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tables/table22.xml" ContentType="application/vnd.openxmlformats-officedocument.spreadsheetml.table+xml"/>
  <Override PartName="/xl/queryTables/queryTable20.xml" ContentType="application/vnd.openxmlformats-officedocument.spreadsheetml.queryTable+xml"/>
  <Override PartName="/xl/tables/table23.xml" ContentType="application/vnd.openxmlformats-officedocument.spreadsheetml.table+xml"/>
  <Override PartName="/xl/queryTables/queryTable21.xml" ContentType="application/vnd.openxmlformats-officedocument.spreadsheetml.queryTable+xml"/>
  <Override PartName="/xl/tables/table24.xml" ContentType="application/vnd.openxmlformats-officedocument.spreadsheetml.table+xml"/>
  <Override PartName="/xl/queryTables/queryTable22.xml" ContentType="application/vnd.openxmlformats-officedocument.spreadsheetml.queryTable+xml"/>
  <Override PartName="/xl/tables/table25.xml" ContentType="application/vnd.openxmlformats-officedocument.spreadsheetml.table+xml"/>
  <Override PartName="/xl/queryTables/queryTable23.xml" ContentType="application/vnd.openxmlformats-officedocument.spreadsheetml.queryTable+xml"/>
  <Override PartName="/xl/tables/table26.xml" ContentType="application/vnd.openxmlformats-officedocument.spreadsheetml.table+xml"/>
  <Override PartName="/xl/queryTables/queryTable24.xml" ContentType="application/vnd.openxmlformats-officedocument.spreadsheetml.queryTable+xml"/>
  <Override PartName="/xl/tables/table27.xml" ContentType="application/vnd.openxmlformats-officedocument.spreadsheetml.table+xml"/>
  <Override PartName="/xl/queryTables/queryTable25.xml" ContentType="application/vnd.openxmlformats-officedocument.spreadsheetml.queryTable+xml"/>
  <Override PartName="/xl/tables/table28.xml" ContentType="application/vnd.openxmlformats-officedocument.spreadsheetml.table+xml"/>
  <Override PartName="/xl/queryTables/queryTable26.xml" ContentType="application/vnd.openxmlformats-officedocument.spreadsheetml.queryTable+xml"/>
  <Override PartName="/xl/tables/table29.xml" ContentType="application/vnd.openxmlformats-officedocument.spreadsheetml.table+xml"/>
  <Override PartName="/xl/queryTables/queryTable27.xml" ContentType="application/vnd.openxmlformats-officedocument.spreadsheetml.queryTable+xml"/>
  <Override PartName="/xl/tables/table30.xml" ContentType="application/vnd.openxmlformats-officedocument.spreadsheetml.table+xml"/>
  <Override PartName="/xl/queryTables/queryTable28.xml" ContentType="application/vnd.openxmlformats-officedocument.spreadsheetml.queryTable+xml"/>
  <Override PartName="/xl/tables/table31.xml" ContentType="application/vnd.openxmlformats-officedocument.spreadsheetml.table+xml"/>
  <Override PartName="/xl/queryTables/queryTable29.xml" ContentType="application/vnd.openxmlformats-officedocument.spreadsheetml.queryTable+xml"/>
  <Override PartName="/xl/tables/table32.xml" ContentType="application/vnd.openxmlformats-officedocument.spreadsheetml.table+xml"/>
  <Override PartName="/xl/queryTables/queryTable30.xml" ContentType="application/vnd.openxmlformats-officedocument.spreadsheetml.queryTable+xml"/>
  <Override PartName="/xl/tables/table33.xml" ContentType="application/vnd.openxmlformats-officedocument.spreadsheetml.table+xml"/>
  <Override PartName="/xl/queryTables/queryTable31.xml" ContentType="application/vnd.openxmlformats-officedocument.spreadsheetml.queryTable+xml"/>
  <Override PartName="/xl/tables/table34.xml" ContentType="application/vnd.openxmlformats-officedocument.spreadsheetml.table+xml"/>
  <Override PartName="/xl/queryTables/queryTable32.xml" ContentType="application/vnd.openxmlformats-officedocument.spreadsheetml.queryTable+xml"/>
  <Override PartName="/xl/tables/table35.xml" ContentType="application/vnd.openxmlformats-officedocument.spreadsheetml.table+xml"/>
  <Override PartName="/xl/queryTables/queryTable33.xml" ContentType="application/vnd.openxmlformats-officedocument.spreadsheetml.queryTable+xml"/>
  <Override PartName="/xl/tables/table36.xml" ContentType="application/vnd.openxmlformats-officedocument.spreadsheetml.table+xml"/>
  <Override PartName="/xl/queryTables/queryTable34.xml" ContentType="application/vnd.openxmlformats-officedocument.spreadsheetml.queryTable+xml"/>
  <Override PartName="/xl/tables/table37.xml" ContentType="application/vnd.openxmlformats-officedocument.spreadsheetml.table+xml"/>
  <Override PartName="/xl/queryTables/queryTable35.xml" ContentType="application/vnd.openxmlformats-officedocument.spreadsheetml.queryTable+xml"/>
  <Override PartName="/xl/tables/table38.xml" ContentType="application/vnd.openxmlformats-officedocument.spreadsheetml.table+xml"/>
  <Override PartName="/xl/queryTables/queryTable36.xml" ContentType="application/vnd.openxmlformats-officedocument.spreadsheetml.queryTable+xml"/>
  <Override PartName="/xl/tables/table39.xml" ContentType="application/vnd.openxmlformats-officedocument.spreadsheetml.table+xml"/>
  <Override PartName="/xl/queryTables/queryTable37.xml" ContentType="application/vnd.openxmlformats-officedocument.spreadsheetml.queryTable+xml"/>
  <Override PartName="/xl/tables/table40.xml" ContentType="application/vnd.openxmlformats-officedocument.spreadsheetml.table+xml"/>
  <Override PartName="/xl/queryTables/queryTable38.xml" ContentType="application/vnd.openxmlformats-officedocument.spreadsheetml.queryTable+xml"/>
  <Override PartName="/xl/tables/table41.xml" ContentType="application/vnd.openxmlformats-officedocument.spreadsheetml.table+xml"/>
  <Override PartName="/xl/queryTables/queryTable39.xml" ContentType="application/vnd.openxmlformats-officedocument.spreadsheetml.queryTable+xml"/>
  <Override PartName="/xl/tables/table42.xml" ContentType="application/vnd.openxmlformats-officedocument.spreadsheetml.table+xml"/>
  <Override PartName="/xl/queryTables/queryTable40.xml" ContentType="application/vnd.openxmlformats-officedocument.spreadsheetml.queryTable+xml"/>
  <Override PartName="/xl/tables/table43.xml" ContentType="application/vnd.openxmlformats-officedocument.spreadsheetml.table+xml"/>
  <Override PartName="/xl/queryTables/queryTable41.xml" ContentType="application/vnd.openxmlformats-officedocument.spreadsheetml.queryTable+xml"/>
  <Override PartName="/xl/tables/table44.xml" ContentType="application/vnd.openxmlformats-officedocument.spreadsheetml.table+xml"/>
  <Override PartName="/xl/queryTables/queryTable42.xml" ContentType="application/vnd.openxmlformats-officedocument.spreadsheetml.queryTable+xml"/>
  <Override PartName="/xl/tables/table45.xml" ContentType="application/vnd.openxmlformats-officedocument.spreadsheetml.table+xml"/>
  <Override PartName="/xl/queryTables/queryTable43.xml" ContentType="application/vnd.openxmlformats-officedocument.spreadsheetml.queryTable+xml"/>
  <Override PartName="/xl/tables/table46.xml" ContentType="application/vnd.openxmlformats-officedocument.spreadsheetml.table+xml"/>
  <Override PartName="/xl/queryTables/queryTable44.xml" ContentType="application/vnd.openxmlformats-officedocument.spreadsheetml.queryTable+xml"/>
  <Override PartName="/xl/tables/table47.xml" ContentType="application/vnd.openxmlformats-officedocument.spreadsheetml.table+xml"/>
  <Override PartName="/xl/queryTables/queryTable45.xml" ContentType="application/vnd.openxmlformats-officedocument.spreadsheetml.queryTable+xml"/>
  <Override PartName="/xl/tables/table48.xml" ContentType="application/vnd.openxmlformats-officedocument.spreadsheetml.table+xml"/>
  <Override PartName="/xl/queryTables/queryTable46.xml" ContentType="application/vnd.openxmlformats-officedocument.spreadsheetml.queryTable+xml"/>
  <Override PartName="/xl/tables/table49.xml" ContentType="application/vnd.openxmlformats-officedocument.spreadsheetml.table+xml"/>
  <Override PartName="/xl/queryTables/queryTable47.xml" ContentType="application/vnd.openxmlformats-officedocument.spreadsheetml.queryTable+xml"/>
  <Override PartName="/xl/tables/table50.xml" ContentType="application/vnd.openxmlformats-officedocument.spreadsheetml.table+xml"/>
  <Override PartName="/xl/queryTables/queryTable48.xml" ContentType="application/vnd.openxmlformats-officedocument.spreadsheetml.queryTable+xml"/>
  <Override PartName="/xl/tables/table51.xml" ContentType="application/vnd.openxmlformats-officedocument.spreadsheetml.table+xml"/>
  <Override PartName="/xl/queryTables/queryTable49.xml" ContentType="application/vnd.openxmlformats-officedocument.spreadsheetml.queryTable+xml"/>
  <Override PartName="/xl/tables/table52.xml" ContentType="application/vnd.openxmlformats-officedocument.spreadsheetml.table+xml"/>
  <Override PartName="/xl/queryTables/queryTable50.xml" ContentType="application/vnd.openxmlformats-officedocument.spreadsheetml.queryTable+xml"/>
  <Override PartName="/xl/tables/table53.xml" ContentType="application/vnd.openxmlformats-officedocument.spreadsheetml.table+xml"/>
  <Override PartName="/xl/queryTables/queryTable51.xml" ContentType="application/vnd.openxmlformats-officedocument.spreadsheetml.queryTable+xml"/>
  <Override PartName="/xl/tables/table54.xml" ContentType="application/vnd.openxmlformats-officedocument.spreadsheetml.table+xml"/>
  <Override PartName="/xl/queryTables/queryTable52.xml" ContentType="application/vnd.openxmlformats-officedocument.spreadsheetml.queryTable+xml"/>
  <Override PartName="/xl/tables/table55.xml" ContentType="application/vnd.openxmlformats-officedocument.spreadsheetml.table+xml"/>
  <Override PartName="/xl/queryTables/queryTable53.xml" ContentType="application/vnd.openxmlformats-officedocument.spreadsheetml.queryTable+xml"/>
  <Override PartName="/xl/tables/table56.xml" ContentType="application/vnd.openxmlformats-officedocument.spreadsheetml.table+xml"/>
  <Override PartName="/xl/queryTables/queryTable54.xml" ContentType="application/vnd.openxmlformats-officedocument.spreadsheetml.queryTable+xml"/>
  <Override PartName="/xl/tables/table57.xml" ContentType="application/vnd.openxmlformats-officedocument.spreadsheetml.table+xml"/>
  <Override PartName="/xl/queryTables/queryTable55.xml" ContentType="application/vnd.openxmlformats-officedocument.spreadsheetml.queryTable+xml"/>
  <Override PartName="/xl/tables/table58.xml" ContentType="application/vnd.openxmlformats-officedocument.spreadsheetml.table+xml"/>
  <Override PartName="/xl/queryTables/queryTable56.xml" ContentType="application/vnd.openxmlformats-officedocument.spreadsheetml.queryTable+xml"/>
  <Override PartName="/xl/tables/table59.xml" ContentType="application/vnd.openxmlformats-officedocument.spreadsheetml.table+xml"/>
  <Override PartName="/xl/queryTables/queryTable57.xml" ContentType="application/vnd.openxmlformats-officedocument.spreadsheetml.queryTable+xml"/>
  <Override PartName="/xl/tables/table60.xml" ContentType="application/vnd.openxmlformats-officedocument.spreadsheetml.table+xml"/>
  <Override PartName="/xl/queryTables/queryTable58.xml" ContentType="application/vnd.openxmlformats-officedocument.spreadsheetml.queryTable+xml"/>
  <Override PartName="/xl/tables/table61.xml" ContentType="application/vnd.openxmlformats-officedocument.spreadsheetml.table+xml"/>
  <Override PartName="/xl/queryTables/queryTable59.xml" ContentType="application/vnd.openxmlformats-officedocument.spreadsheetml.queryTable+xml"/>
  <Override PartName="/xl/tables/table62.xml" ContentType="application/vnd.openxmlformats-officedocument.spreadsheetml.table+xml"/>
  <Override PartName="/xl/queryTables/queryTable60.xml" ContentType="application/vnd.openxmlformats-officedocument.spreadsheetml.queryTable+xml"/>
  <Override PartName="/xl/tables/table63.xml" ContentType="application/vnd.openxmlformats-officedocument.spreadsheetml.table+xml"/>
  <Override PartName="/xl/queryTables/queryTable61.xml" ContentType="application/vnd.openxmlformats-officedocument.spreadsheetml.queryTable+xml"/>
  <Override PartName="/xl/tables/table64.xml" ContentType="application/vnd.openxmlformats-officedocument.spreadsheetml.table+xml"/>
  <Override PartName="/xl/queryTables/queryTable62.xml" ContentType="application/vnd.openxmlformats-officedocument.spreadsheetml.queryTable+xml"/>
  <Override PartName="/xl/tables/table65.xml" ContentType="application/vnd.openxmlformats-officedocument.spreadsheetml.table+xml"/>
  <Override PartName="/xl/queryTables/queryTable63.xml" ContentType="application/vnd.openxmlformats-officedocument.spreadsheetml.queryTable+xml"/>
  <Override PartName="/xl/tables/table66.xml" ContentType="application/vnd.openxmlformats-officedocument.spreadsheetml.table+xml"/>
  <Override PartName="/xl/queryTables/queryTable64.xml" ContentType="application/vnd.openxmlformats-officedocument.spreadsheetml.queryTable+xml"/>
  <Override PartName="/xl/tables/table67.xml" ContentType="application/vnd.openxmlformats-officedocument.spreadsheetml.table+xml"/>
  <Override PartName="/xl/queryTables/queryTable65.xml" ContentType="application/vnd.openxmlformats-officedocument.spreadsheetml.queryTable+xml"/>
  <Override PartName="/xl/tables/table68.xml" ContentType="application/vnd.openxmlformats-officedocument.spreadsheetml.table+xml"/>
  <Override PartName="/xl/queryTables/queryTable66.xml" ContentType="application/vnd.openxmlformats-officedocument.spreadsheetml.queryTable+xml"/>
  <Override PartName="/xl/tables/table69.xml" ContentType="application/vnd.openxmlformats-officedocument.spreadsheetml.table+xml"/>
  <Override PartName="/xl/queryTables/queryTable67.xml" ContentType="application/vnd.openxmlformats-officedocument.spreadsheetml.queryTable+xml"/>
  <Override PartName="/xl/tables/table70.xml" ContentType="application/vnd.openxmlformats-officedocument.spreadsheetml.table+xml"/>
  <Override PartName="/xl/queryTables/queryTable68.xml" ContentType="application/vnd.openxmlformats-officedocument.spreadsheetml.queryTable+xml"/>
  <Override PartName="/xl/tables/table71.xml" ContentType="application/vnd.openxmlformats-officedocument.spreadsheetml.table+xml"/>
  <Override PartName="/xl/queryTables/queryTable69.xml" ContentType="application/vnd.openxmlformats-officedocument.spreadsheetml.queryTable+xml"/>
  <Override PartName="/xl/tables/table72.xml" ContentType="application/vnd.openxmlformats-officedocument.spreadsheetml.table+xml"/>
  <Override PartName="/xl/queryTables/queryTable70.xml" ContentType="application/vnd.openxmlformats-officedocument.spreadsheetml.queryTable+xml"/>
  <Override PartName="/xl/tables/table73.xml" ContentType="application/vnd.openxmlformats-officedocument.spreadsheetml.table+xml"/>
  <Override PartName="/xl/queryTables/queryTable71.xml" ContentType="application/vnd.openxmlformats-officedocument.spreadsheetml.queryTable+xml"/>
  <Override PartName="/xl/tables/table74.xml" ContentType="application/vnd.openxmlformats-officedocument.spreadsheetml.table+xml"/>
  <Override PartName="/xl/queryTables/queryTable72.xml" ContentType="application/vnd.openxmlformats-officedocument.spreadsheetml.queryTable+xml"/>
  <Override PartName="/xl/tables/table75.xml" ContentType="application/vnd.openxmlformats-officedocument.spreadsheetml.table+xml"/>
  <Override PartName="/xl/queryTables/queryTable73.xml" ContentType="application/vnd.openxmlformats-officedocument.spreadsheetml.queryTable+xml"/>
  <Override PartName="/xl/tables/table76.xml" ContentType="application/vnd.openxmlformats-officedocument.spreadsheetml.table+xml"/>
  <Override PartName="/xl/queryTables/queryTable74.xml" ContentType="application/vnd.openxmlformats-officedocument.spreadsheetml.queryTable+xml"/>
  <Override PartName="/xl/tables/table77.xml" ContentType="application/vnd.openxmlformats-officedocument.spreadsheetml.table+xml"/>
  <Override PartName="/xl/queryTables/queryTable75.xml" ContentType="application/vnd.openxmlformats-officedocument.spreadsheetml.queryTable+xml"/>
  <Override PartName="/xl/tables/table78.xml" ContentType="application/vnd.openxmlformats-officedocument.spreadsheetml.table+xml"/>
  <Override PartName="/xl/queryTables/queryTable76.xml" ContentType="application/vnd.openxmlformats-officedocument.spreadsheetml.queryTable+xml"/>
  <Override PartName="/xl/tables/table79.xml" ContentType="application/vnd.openxmlformats-officedocument.spreadsheetml.table+xml"/>
  <Override PartName="/xl/queryTables/queryTable77.xml" ContentType="application/vnd.openxmlformats-officedocument.spreadsheetml.queryTable+xml"/>
  <Override PartName="/xl/tables/table80.xml" ContentType="application/vnd.openxmlformats-officedocument.spreadsheetml.table+xml"/>
  <Override PartName="/xl/queryTables/queryTable78.xml" ContentType="application/vnd.openxmlformats-officedocument.spreadsheetml.queryTable+xml"/>
  <Override PartName="/xl/tables/table81.xml" ContentType="application/vnd.openxmlformats-officedocument.spreadsheetml.table+xml"/>
  <Override PartName="/xl/queryTables/queryTable79.xml" ContentType="application/vnd.openxmlformats-officedocument.spreadsheetml.queryTable+xml"/>
  <Override PartName="/xl/tables/table82.xml" ContentType="application/vnd.openxmlformats-officedocument.spreadsheetml.table+xml"/>
  <Override PartName="/xl/queryTables/queryTable80.xml" ContentType="application/vnd.openxmlformats-officedocument.spreadsheetml.queryTable+xml"/>
  <Override PartName="/xl/tables/table83.xml" ContentType="application/vnd.openxmlformats-officedocument.spreadsheetml.table+xml"/>
  <Override PartName="/xl/queryTables/queryTable81.xml" ContentType="application/vnd.openxmlformats-officedocument.spreadsheetml.queryTable+xml"/>
  <Override PartName="/xl/tables/table84.xml" ContentType="application/vnd.openxmlformats-officedocument.spreadsheetml.table+xml"/>
  <Override PartName="/xl/queryTables/queryTable82.xml" ContentType="application/vnd.openxmlformats-officedocument.spreadsheetml.queryTable+xml"/>
  <Override PartName="/xl/tables/table85.xml" ContentType="application/vnd.openxmlformats-officedocument.spreadsheetml.table+xml"/>
  <Override PartName="/xl/queryTables/queryTable83.xml" ContentType="application/vnd.openxmlformats-officedocument.spreadsheetml.queryTable+xml"/>
  <Override PartName="/xl/tables/table86.xml" ContentType="application/vnd.openxmlformats-officedocument.spreadsheetml.table+xml"/>
  <Override PartName="/xl/queryTables/queryTable84.xml" ContentType="application/vnd.openxmlformats-officedocument.spreadsheetml.queryTable+xml"/>
  <Override PartName="/xl/tables/table87.xml" ContentType="application/vnd.openxmlformats-officedocument.spreadsheetml.table+xml"/>
  <Override PartName="/xl/queryTables/queryTable85.xml" ContentType="application/vnd.openxmlformats-officedocument.spreadsheetml.queryTable+xml"/>
  <Override PartName="/xl/tables/table88.xml" ContentType="application/vnd.openxmlformats-officedocument.spreadsheetml.table+xml"/>
  <Override PartName="/xl/queryTables/queryTable86.xml" ContentType="application/vnd.openxmlformats-officedocument.spreadsheetml.queryTable+xml"/>
  <Override PartName="/xl/tables/table89.xml" ContentType="application/vnd.openxmlformats-officedocument.spreadsheetml.table+xml"/>
  <Override PartName="/xl/queryTables/queryTable87.xml" ContentType="application/vnd.openxmlformats-officedocument.spreadsheetml.queryTable+xml"/>
  <Override PartName="/xl/tables/table90.xml" ContentType="application/vnd.openxmlformats-officedocument.spreadsheetml.table+xml"/>
  <Override PartName="/xl/queryTables/queryTable88.xml" ContentType="application/vnd.openxmlformats-officedocument.spreadsheetml.queryTable+xml"/>
  <Override PartName="/xl/tables/table91.xml" ContentType="application/vnd.openxmlformats-officedocument.spreadsheetml.table+xml"/>
  <Override PartName="/xl/queryTables/queryTable89.xml" ContentType="application/vnd.openxmlformats-officedocument.spreadsheetml.queryTable+xml"/>
  <Override PartName="/xl/tables/table92.xml" ContentType="application/vnd.openxmlformats-officedocument.spreadsheetml.table+xml"/>
  <Override PartName="/xl/queryTables/queryTable90.xml" ContentType="application/vnd.openxmlformats-officedocument.spreadsheetml.queryTable+xml"/>
  <Override PartName="/xl/tables/table93.xml" ContentType="application/vnd.openxmlformats-officedocument.spreadsheetml.table+xml"/>
  <Override PartName="/xl/queryTables/queryTable91.xml" ContentType="application/vnd.openxmlformats-officedocument.spreadsheetml.queryTable+xml"/>
  <Override PartName="/xl/tables/table94.xml" ContentType="application/vnd.openxmlformats-officedocument.spreadsheetml.table+xml"/>
  <Override PartName="/xl/queryTables/queryTable92.xml" ContentType="application/vnd.openxmlformats-officedocument.spreadsheetml.queryTable+xml"/>
  <Override PartName="/xl/tables/table95.xml" ContentType="application/vnd.openxmlformats-officedocument.spreadsheetml.table+xml"/>
  <Override PartName="/xl/queryTables/queryTable93.xml" ContentType="application/vnd.openxmlformats-officedocument.spreadsheetml.queryTable+xml"/>
  <Override PartName="/xl/tables/table96.xml" ContentType="application/vnd.openxmlformats-officedocument.spreadsheetml.table+xml"/>
  <Override PartName="/xl/queryTables/queryTable94.xml" ContentType="application/vnd.openxmlformats-officedocument.spreadsheetml.queryTable+xml"/>
  <Override PartName="/xl/tables/table97.xml" ContentType="application/vnd.openxmlformats-officedocument.spreadsheetml.table+xml"/>
  <Override PartName="/xl/queryTables/queryTable95.xml" ContentType="application/vnd.openxmlformats-officedocument.spreadsheetml.queryTable+xml"/>
  <Override PartName="/xl/tables/table98.xml" ContentType="application/vnd.openxmlformats-officedocument.spreadsheetml.table+xml"/>
  <Override PartName="/xl/queryTables/queryTable96.xml" ContentType="application/vnd.openxmlformats-officedocument.spreadsheetml.queryTable+xml"/>
  <Override PartName="/xl/tables/table99.xml" ContentType="application/vnd.openxmlformats-officedocument.spreadsheetml.table+xml"/>
  <Override PartName="/xl/queryTables/queryTable97.xml" ContentType="application/vnd.openxmlformats-officedocument.spreadsheetml.queryTable+xml"/>
  <Override PartName="/xl/tables/table100.xml" ContentType="application/vnd.openxmlformats-officedocument.spreadsheetml.table+xml"/>
  <Override PartName="/xl/queryTables/queryTable98.xml" ContentType="application/vnd.openxmlformats-officedocument.spreadsheetml.queryTable+xml"/>
  <Override PartName="/xl/tables/table101.xml" ContentType="application/vnd.openxmlformats-officedocument.spreadsheetml.table+xml"/>
  <Override PartName="/xl/queryTables/queryTable99.xml" ContentType="application/vnd.openxmlformats-officedocument.spreadsheetml.queryTable+xml"/>
  <Override PartName="/xl/tables/table102.xml" ContentType="application/vnd.openxmlformats-officedocument.spreadsheetml.table+xml"/>
  <Override PartName="/xl/queryTables/queryTable100.xml" ContentType="application/vnd.openxmlformats-officedocument.spreadsheetml.queryTable+xml"/>
  <Override PartName="/xl/tables/table103.xml" ContentType="application/vnd.openxmlformats-officedocument.spreadsheetml.table+xml"/>
  <Override PartName="/xl/queryTables/queryTable101.xml" ContentType="application/vnd.openxmlformats-officedocument.spreadsheetml.queryTable+xml"/>
  <Override PartName="/xl/tables/table104.xml" ContentType="application/vnd.openxmlformats-officedocument.spreadsheetml.table+xml"/>
  <Override PartName="/xl/queryTables/queryTable102.xml" ContentType="application/vnd.openxmlformats-officedocument.spreadsheetml.queryTable+xml"/>
  <Override PartName="/xl/tables/table105.xml" ContentType="application/vnd.openxmlformats-officedocument.spreadsheetml.table+xml"/>
  <Override PartName="/xl/queryTables/queryTable103.xml" ContentType="application/vnd.openxmlformats-officedocument.spreadsheetml.queryTable+xml"/>
  <Override PartName="/xl/tables/table106.xml" ContentType="application/vnd.openxmlformats-officedocument.spreadsheetml.table+xml"/>
  <Override PartName="/xl/queryTables/queryTable104.xml" ContentType="application/vnd.openxmlformats-officedocument.spreadsheetml.queryTable+xml"/>
  <Override PartName="/xl/tables/table107.xml" ContentType="application/vnd.openxmlformats-officedocument.spreadsheetml.table+xml"/>
  <Override PartName="/xl/queryTables/queryTable105.xml" ContentType="application/vnd.openxmlformats-officedocument.spreadsheetml.queryTable+xml"/>
  <Override PartName="/xl/tables/table108.xml" ContentType="application/vnd.openxmlformats-officedocument.spreadsheetml.table+xml"/>
  <Override PartName="/xl/queryTables/queryTable106.xml" ContentType="application/vnd.openxmlformats-officedocument.spreadsheetml.queryTable+xml"/>
  <Override PartName="/xl/tables/table109.xml" ContentType="application/vnd.openxmlformats-officedocument.spreadsheetml.table+xml"/>
  <Override PartName="/xl/queryTables/queryTable107.xml" ContentType="application/vnd.openxmlformats-officedocument.spreadsheetml.queryTable+xml"/>
  <Override PartName="/xl/tables/table110.xml" ContentType="application/vnd.openxmlformats-officedocument.spreadsheetml.table+xml"/>
  <Override PartName="/xl/queryTables/queryTable108.xml" ContentType="application/vnd.openxmlformats-officedocument.spreadsheetml.queryTable+xml"/>
  <Override PartName="/xl/tables/table111.xml" ContentType="application/vnd.openxmlformats-officedocument.spreadsheetml.table+xml"/>
  <Override PartName="/xl/queryTables/queryTable109.xml" ContentType="application/vnd.openxmlformats-officedocument.spreadsheetml.queryTable+xml"/>
  <Override PartName="/xl/tables/table112.xml" ContentType="application/vnd.openxmlformats-officedocument.spreadsheetml.table+xml"/>
  <Override PartName="/xl/queryTables/queryTable110.xml" ContentType="application/vnd.openxmlformats-officedocument.spreadsheetml.queryTable+xml"/>
  <Override PartName="/xl/tables/table113.xml" ContentType="application/vnd.openxmlformats-officedocument.spreadsheetml.table+xml"/>
  <Override PartName="/xl/queryTables/queryTable111.xml" ContentType="application/vnd.openxmlformats-officedocument.spreadsheetml.queryTable+xml"/>
  <Override PartName="/xl/tables/table114.xml" ContentType="application/vnd.openxmlformats-officedocument.spreadsheetml.table+xml"/>
  <Override PartName="/xl/queryTables/queryTable112.xml" ContentType="application/vnd.openxmlformats-officedocument.spreadsheetml.queryTable+xml"/>
  <Override PartName="/xl/tables/table115.xml" ContentType="application/vnd.openxmlformats-officedocument.spreadsheetml.table+xml"/>
  <Override PartName="/xl/queryTables/queryTable113.xml" ContentType="application/vnd.openxmlformats-officedocument.spreadsheetml.queryTable+xml"/>
  <Override PartName="/xl/tables/table116.xml" ContentType="application/vnd.openxmlformats-officedocument.spreadsheetml.table+xml"/>
  <Override PartName="/xl/queryTables/queryTable114.xml" ContentType="application/vnd.openxmlformats-officedocument.spreadsheetml.queryTable+xml"/>
  <Override PartName="/xl/tables/table117.xml" ContentType="application/vnd.openxmlformats-officedocument.spreadsheetml.table+xml"/>
  <Override PartName="/xl/queryTables/queryTable115.xml" ContentType="application/vnd.openxmlformats-officedocument.spreadsheetml.queryTable+xml"/>
  <Override PartName="/xl/tables/table118.xml" ContentType="application/vnd.openxmlformats-officedocument.spreadsheetml.table+xml"/>
  <Override PartName="/xl/queryTables/queryTable116.xml" ContentType="application/vnd.openxmlformats-officedocument.spreadsheetml.queryTable+xml"/>
  <Override PartName="/xl/tables/table119.xml" ContentType="application/vnd.openxmlformats-officedocument.spreadsheetml.table+xml"/>
  <Override PartName="/xl/queryTables/queryTable117.xml" ContentType="application/vnd.openxmlformats-officedocument.spreadsheetml.queryTable+xml"/>
  <Override PartName="/xl/tables/table120.xml" ContentType="application/vnd.openxmlformats-officedocument.spreadsheetml.table+xml"/>
  <Override PartName="/xl/queryTables/queryTable118.xml" ContentType="application/vnd.openxmlformats-officedocument.spreadsheetml.queryTable+xml"/>
  <Override PartName="/xl/tables/table121.xml" ContentType="application/vnd.openxmlformats-officedocument.spreadsheetml.table+xml"/>
  <Override PartName="/xl/queryTables/queryTable119.xml" ContentType="application/vnd.openxmlformats-officedocument.spreadsheetml.queryTable+xml"/>
  <Override PartName="/xl/tables/table122.xml" ContentType="application/vnd.openxmlformats-officedocument.spreadsheetml.table+xml"/>
  <Override PartName="/xl/queryTables/queryTable120.xml" ContentType="application/vnd.openxmlformats-officedocument.spreadsheetml.queryTable+xml"/>
  <Override PartName="/xl/tables/table123.xml" ContentType="application/vnd.openxmlformats-officedocument.spreadsheetml.table+xml"/>
  <Override PartName="/xl/queryTables/queryTable121.xml" ContentType="application/vnd.openxmlformats-officedocument.spreadsheetml.queryTable+xml"/>
  <Override PartName="/xl/tables/table124.xml" ContentType="application/vnd.openxmlformats-officedocument.spreadsheetml.table+xml"/>
  <Override PartName="/xl/queryTables/queryTable122.xml" ContentType="application/vnd.openxmlformats-officedocument.spreadsheetml.queryTable+xml"/>
  <Override PartName="/xl/tables/table125.xml" ContentType="application/vnd.openxmlformats-officedocument.spreadsheetml.table+xml"/>
  <Override PartName="/xl/queryTables/queryTable123.xml" ContentType="application/vnd.openxmlformats-officedocument.spreadsheetml.queryTable+xml"/>
  <Override PartName="/xl/tables/table126.xml" ContentType="application/vnd.openxmlformats-officedocument.spreadsheetml.table+xml"/>
  <Override PartName="/xl/queryTables/queryTable124.xml" ContentType="application/vnd.openxmlformats-officedocument.spreadsheetml.queryTable+xml"/>
  <Override PartName="/xl/tables/table127.xml" ContentType="application/vnd.openxmlformats-officedocument.spreadsheetml.table+xml"/>
  <Override PartName="/xl/queryTables/queryTable125.xml" ContentType="application/vnd.openxmlformats-officedocument.spreadsheetml.queryTable+xml"/>
  <Override PartName="/xl/tables/table128.xml" ContentType="application/vnd.openxmlformats-officedocument.spreadsheetml.table+xml"/>
  <Override PartName="/xl/queryTables/queryTable126.xml" ContentType="application/vnd.openxmlformats-officedocument.spreadsheetml.queryTable+xml"/>
  <Override PartName="/xl/tables/table129.xml" ContentType="application/vnd.openxmlformats-officedocument.spreadsheetml.table+xml"/>
  <Override PartName="/xl/queryTables/queryTable127.xml" ContentType="application/vnd.openxmlformats-officedocument.spreadsheetml.queryTable+xml"/>
  <Override PartName="/xl/tables/table130.xml" ContentType="application/vnd.openxmlformats-officedocument.spreadsheetml.table+xml"/>
  <Override PartName="/xl/queryTables/queryTable128.xml" ContentType="application/vnd.openxmlformats-officedocument.spreadsheetml.queryTable+xml"/>
  <Override PartName="/xl/tables/table131.xml" ContentType="application/vnd.openxmlformats-officedocument.spreadsheetml.table+xml"/>
  <Override PartName="/xl/queryTables/queryTable129.xml" ContentType="application/vnd.openxmlformats-officedocument.spreadsheetml.queryTable+xml"/>
  <Override PartName="/xl/tables/table132.xml" ContentType="application/vnd.openxmlformats-officedocument.spreadsheetml.table+xml"/>
  <Override PartName="/xl/queryTables/queryTable130.xml" ContentType="application/vnd.openxmlformats-officedocument.spreadsheetml.queryTable+xml"/>
  <Override PartName="/xl/tables/table133.xml" ContentType="application/vnd.openxmlformats-officedocument.spreadsheetml.table+xml"/>
  <Override PartName="/xl/queryTables/queryTable131.xml" ContentType="application/vnd.openxmlformats-officedocument.spreadsheetml.queryTable+xml"/>
  <Override PartName="/xl/tables/table134.xml" ContentType="application/vnd.openxmlformats-officedocument.spreadsheetml.table+xml"/>
  <Override PartName="/xl/queryTables/queryTable132.xml" ContentType="application/vnd.openxmlformats-officedocument.spreadsheetml.queryTable+xml"/>
  <Override PartName="/xl/tables/table135.xml" ContentType="application/vnd.openxmlformats-officedocument.spreadsheetml.table+xml"/>
  <Override PartName="/xl/queryTables/queryTable133.xml" ContentType="application/vnd.openxmlformats-officedocument.spreadsheetml.queryTable+xml"/>
  <Override PartName="/xl/tables/table136.xml" ContentType="application/vnd.openxmlformats-officedocument.spreadsheetml.table+xml"/>
  <Override PartName="/xl/queryTables/queryTable134.xml" ContentType="application/vnd.openxmlformats-officedocument.spreadsheetml.queryTable+xml"/>
  <Override PartName="/xl/tables/table137.xml" ContentType="application/vnd.openxmlformats-officedocument.spreadsheetml.table+xml"/>
  <Override PartName="/xl/queryTables/queryTable135.xml" ContentType="application/vnd.openxmlformats-officedocument.spreadsheetml.queryTable+xml"/>
  <Override PartName="/xl/tables/table138.xml" ContentType="application/vnd.openxmlformats-officedocument.spreadsheetml.table+xml"/>
  <Override PartName="/xl/queryTables/queryTable136.xml" ContentType="application/vnd.openxmlformats-officedocument.spreadsheetml.queryTable+xml"/>
  <Override PartName="/xl/tables/table139.xml" ContentType="application/vnd.openxmlformats-officedocument.spreadsheetml.table+xml"/>
  <Override PartName="/xl/queryTables/queryTable137.xml" ContentType="application/vnd.openxmlformats-officedocument.spreadsheetml.queryTable+xml"/>
  <Override PartName="/xl/tables/table140.xml" ContentType="application/vnd.openxmlformats-officedocument.spreadsheetml.table+xml"/>
  <Override PartName="/xl/queryTables/queryTable13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BB170EDB-5AE6-4ADF-B997-C56FD8C41084}" xr6:coauthVersionLast="47" xr6:coauthVersionMax="47" xr10:uidLastSave="{00000000-0000-0000-0000-000000000000}"/>
  <bookViews>
    <workbookView xWindow="-120" yWindow="-120" windowWidth="28110" windowHeight="16440" activeTab="4" xr2:uid="{00000000-000D-0000-FFFF-FFFF00000000}"/>
  </bookViews>
  <sheets>
    <sheet name="TradeSheet" sheetId="3" r:id="rId1"/>
    <sheet name="Buylist" sheetId="7" r:id="rId2"/>
    <sheet name="TypeIDs" sheetId="2" r:id="rId3"/>
    <sheet name="TargetInput" sheetId="5" r:id="rId4"/>
    <sheet name="AverageVolume" sheetId="8" r:id="rId5"/>
    <sheet name="Tutorial" sheetId="1" r:id="rId6"/>
  </sheets>
  <definedNames>
    <definedName name="CurrentDate">AverageVolume!$J$9</definedName>
    <definedName name="ExternalData_1" localSheetId="4" hidden="1">AverageVolume!$B$3:$F$17</definedName>
    <definedName name="ExternalData_1" localSheetId="3" hidden="1">TargetInput!$A$1:$K$6768</definedName>
    <definedName name="ExternalData_101" localSheetId="4" hidden="1">AverageVolume!$B$18:$F$32</definedName>
    <definedName name="ExternalData_102" localSheetId="4" hidden="1">AverageVolume!$B$33:$F$47</definedName>
    <definedName name="ExternalData_103" localSheetId="4" hidden="1">AverageVolume!$B$48:$F$62</definedName>
    <definedName name="ExternalData_104" localSheetId="4" hidden="1">AverageVolume!$B$63:$F$77</definedName>
    <definedName name="ExternalData_105" localSheetId="4" hidden="1">AverageVolume!$B$78:$F$92</definedName>
    <definedName name="ExternalData_106" localSheetId="4" hidden="1">AverageVolume!$B$93:$F$107</definedName>
    <definedName name="ExternalData_107" localSheetId="4" hidden="1">AverageVolume!$B$108:$F$122</definedName>
    <definedName name="ExternalData_108" localSheetId="4" hidden="1">AverageVolume!$B$123:$F$137</definedName>
    <definedName name="ExternalData_109" localSheetId="4" hidden="1">AverageVolume!$B$138:$F$152</definedName>
    <definedName name="ExternalData_110" localSheetId="4" hidden="1">AverageVolume!$B$153:$F$167</definedName>
    <definedName name="ExternalData_111" localSheetId="4" hidden="1">AverageVolume!$B$168:$F$182</definedName>
    <definedName name="ExternalData_112" localSheetId="4" hidden="1">AverageVolume!$B$183:$F$197</definedName>
    <definedName name="ExternalData_113" localSheetId="4" hidden="1">AverageVolume!$B$198:$F$212</definedName>
    <definedName name="ExternalData_114" localSheetId="4" hidden="1">AverageVolume!$B$213:$F$227</definedName>
    <definedName name="ExternalData_115" localSheetId="4" hidden="1">AverageVolume!$B$228:$F$242</definedName>
    <definedName name="ExternalData_116" localSheetId="4" hidden="1">AverageVolume!$B$243:$F$257</definedName>
    <definedName name="ExternalData_117" localSheetId="4" hidden="1">AverageVolume!$B$258:$F$272</definedName>
    <definedName name="ExternalData_118" localSheetId="4" hidden="1">AverageVolume!$B$273:$F$287</definedName>
    <definedName name="ExternalData_119" localSheetId="4" hidden="1">AverageVolume!$B$288:$F$302</definedName>
    <definedName name="ExternalData_120" localSheetId="4" hidden="1">AverageVolume!$B$303:$F$317</definedName>
    <definedName name="ExternalData_121" localSheetId="4" hidden="1">AverageVolume!$B$318:$F$332</definedName>
    <definedName name="ExternalData_122" localSheetId="4" hidden="1">AverageVolume!$B$333:$F$347</definedName>
    <definedName name="ExternalData_123" localSheetId="4" hidden="1">AverageVolume!$B$348:$F$362</definedName>
    <definedName name="ExternalData_124" localSheetId="4" hidden="1">AverageVolume!$B$363:$F$377</definedName>
    <definedName name="ExternalData_125" localSheetId="4" hidden="1">AverageVolume!$B$378:$F$392</definedName>
    <definedName name="ExternalData_126" localSheetId="4" hidden="1">AverageVolume!$B$393:$F$407</definedName>
    <definedName name="ExternalData_127" localSheetId="4" hidden="1">AverageVolume!$B$408:$F$422</definedName>
    <definedName name="ExternalData_128" localSheetId="4" hidden="1">AverageVolume!$B$423:$F$437</definedName>
    <definedName name="ExternalData_129" localSheetId="4" hidden="1">AverageVolume!$B$438:$F$452</definedName>
    <definedName name="ExternalData_130" localSheetId="4" hidden="1">AverageVolume!$B$453:$F$467</definedName>
    <definedName name="ExternalData_131" localSheetId="4" hidden="1">AverageVolume!$B$468:$F$482</definedName>
    <definedName name="ExternalData_132" localSheetId="4" hidden="1">AverageVolume!$B$483:$F$497</definedName>
    <definedName name="ExternalData_133" localSheetId="4" hidden="1">AverageVolume!$B$498:$F$512</definedName>
    <definedName name="ExternalData_134" localSheetId="4" hidden="1">AverageVolume!$B$513:$F$527</definedName>
    <definedName name="ExternalData_135" localSheetId="4" hidden="1">AverageVolume!$B$528:$F$542</definedName>
    <definedName name="ExternalData_136" localSheetId="4" hidden="1">AverageVolume!$B$543:$F$557</definedName>
    <definedName name="ExternalData_137" localSheetId="4" hidden="1">AverageVolume!$B$558:$F$572</definedName>
    <definedName name="ExternalData_138" localSheetId="4" hidden="1">AverageVolume!$B$573:$F$587</definedName>
    <definedName name="ExternalData_139" localSheetId="4" hidden="1">AverageVolume!$B$588:$F$602</definedName>
    <definedName name="ExternalData_140" localSheetId="4" hidden="1">AverageVolume!$B$603:$F$617</definedName>
    <definedName name="ExternalData_141" localSheetId="4" hidden="1">AverageVolume!$B$618:$F$632</definedName>
    <definedName name="ExternalData_142" localSheetId="4" hidden="1">AverageVolume!$B$633:$F$647</definedName>
    <definedName name="ExternalData_143" localSheetId="4" hidden="1">AverageVolume!$B$648:$F$662</definedName>
    <definedName name="ExternalData_144" localSheetId="4" hidden="1">AverageVolume!$B$663:$F$677</definedName>
    <definedName name="ExternalData_145" localSheetId="4" hidden="1">AverageVolume!$B$678:$F$692</definedName>
    <definedName name="ExternalData_146" localSheetId="4" hidden="1">AverageVolume!$B$693:$F$707</definedName>
    <definedName name="ExternalData_147" localSheetId="4" hidden="1">AverageVolume!$B$708:$F$722</definedName>
    <definedName name="ExternalData_148" localSheetId="4" hidden="1">AverageVolume!$B$723:$F$737</definedName>
    <definedName name="ExternalData_149" localSheetId="4" hidden="1">AverageVolume!$B$738:$F$752</definedName>
    <definedName name="ExternalData_150" localSheetId="4" hidden="1">AverageVolume!$B$753:$F$767</definedName>
    <definedName name="ExternalData_151" localSheetId="4" hidden="1">AverageVolume!$B$768:$F$782</definedName>
    <definedName name="ExternalData_152" localSheetId="4" hidden="1">AverageVolume!$B$783:$F$797</definedName>
    <definedName name="ExternalData_153" localSheetId="4" hidden="1">AverageVolume!$B$798:$F$812</definedName>
    <definedName name="ExternalData_154" localSheetId="4" hidden="1">AverageVolume!$B$813:$F$827</definedName>
    <definedName name="ExternalData_155" localSheetId="4" hidden="1">AverageVolume!$B$828:$F$842</definedName>
    <definedName name="ExternalData_156" localSheetId="4" hidden="1">AverageVolume!$B$843:$F$857</definedName>
    <definedName name="ExternalData_157" localSheetId="4" hidden="1">AverageVolume!$B$858:$F$872</definedName>
    <definedName name="ExternalData_158" localSheetId="4" hidden="1">AverageVolume!$B$873:$F$887</definedName>
    <definedName name="ExternalData_159" localSheetId="4" hidden="1">AverageVolume!$B$888:$F$902</definedName>
    <definedName name="ExternalData_160" localSheetId="4" hidden="1">AverageVolume!$B$903:$F$917</definedName>
    <definedName name="ExternalData_161" localSheetId="4" hidden="1">AverageVolume!$B$918:$F$932</definedName>
    <definedName name="ExternalData_162" localSheetId="4" hidden="1">AverageVolume!$B$933:$F$947</definedName>
    <definedName name="ExternalData_163" localSheetId="4" hidden="1">AverageVolume!$B$948:$F$962</definedName>
    <definedName name="ExternalData_164" localSheetId="4" hidden="1">AverageVolume!$B$963:$F$977</definedName>
    <definedName name="ExternalData_165" localSheetId="4" hidden="1">AverageVolume!$B$978:$F$992</definedName>
    <definedName name="ExternalData_166" localSheetId="4" hidden="1">AverageVolume!$B$993:$F$1007</definedName>
    <definedName name="ExternalData_167" localSheetId="4" hidden="1">AverageVolume!$B$1008:$F$1022</definedName>
    <definedName name="ExternalData_168" localSheetId="4" hidden="1">AverageVolume!$B$1023:$F$1037</definedName>
    <definedName name="ExternalData_169" localSheetId="4" hidden="1">AverageVolume!$B$1038:$F$1052</definedName>
    <definedName name="ExternalData_170" localSheetId="4" hidden="1">AverageVolume!$B$1053:$F$1067</definedName>
    <definedName name="ExternalData_171" localSheetId="4" hidden="1">AverageVolume!$B$1068:$F$1082</definedName>
    <definedName name="ExternalData_172" localSheetId="4" hidden="1">AverageVolume!$B$1083:$F$1097</definedName>
    <definedName name="ExternalData_173" localSheetId="4" hidden="1">AverageVolume!$B$1098:$F$1112</definedName>
    <definedName name="ExternalData_174" localSheetId="4" hidden="1">AverageVolume!$B$1113:$F$1127</definedName>
    <definedName name="ExternalData_175" localSheetId="4" hidden="1">AverageVolume!$B$1128:$F$1142</definedName>
    <definedName name="ExternalData_176" localSheetId="4" hidden="1">AverageVolume!$B$1143:$F$1157</definedName>
    <definedName name="ExternalData_177" localSheetId="4" hidden="1">AverageVolume!$B$1158:$F$1172</definedName>
    <definedName name="ExternalData_178" localSheetId="4" hidden="1">AverageVolume!$B$1173:$F$1187</definedName>
    <definedName name="ExternalData_179" localSheetId="4" hidden="1">AverageVolume!$B$1188:$F$1202</definedName>
    <definedName name="ExternalData_180" localSheetId="4" hidden="1">AverageVolume!$B$1203:$F$1217</definedName>
    <definedName name="ExternalData_181" localSheetId="4" hidden="1">AverageVolume!$B$1218:$F$1232</definedName>
    <definedName name="ExternalData_182" localSheetId="4" hidden="1">AverageVolume!$B$1233:$F$1247</definedName>
    <definedName name="ExternalData_183" localSheetId="4" hidden="1">AverageVolume!$B$1248:$F$1262</definedName>
    <definedName name="ExternalData_184" localSheetId="4" hidden="1">AverageVolume!$B$1263:$F$1277</definedName>
    <definedName name="ExternalData_185" localSheetId="4" hidden="1">AverageVolume!$B$1278:$F$1292</definedName>
    <definedName name="ExternalData_186" localSheetId="4" hidden="1">AverageVolume!$B$1293:$F$1307</definedName>
    <definedName name="ExternalData_187" localSheetId="4" hidden="1">AverageVolume!$B$1308:$F$1322</definedName>
    <definedName name="ExternalData_188" localSheetId="4" hidden="1">AverageVolume!$B$1323:$F$1337</definedName>
    <definedName name="ExternalData_189" localSheetId="4" hidden="1">AverageVolume!$B$1338:$F$1352</definedName>
    <definedName name="ExternalData_190" localSheetId="4" hidden="1">AverageVolume!$B$1353:$F$1367</definedName>
    <definedName name="ExternalData_191" localSheetId="4" hidden="1">AverageVolume!$B$1368:$F$1382</definedName>
    <definedName name="ExternalData_192" localSheetId="4" hidden="1">AverageVolume!$B$1383:$F$1397</definedName>
    <definedName name="ExternalData_193" localSheetId="4" hidden="1">AverageVolume!$B$1398:$F$1412</definedName>
    <definedName name="ExternalData_194" localSheetId="4" hidden="1">AverageVolume!$B$1413:$F$1427</definedName>
    <definedName name="ExternalData_195" localSheetId="4" hidden="1">AverageVolume!$B$1428:$F$1442</definedName>
    <definedName name="ExternalData_196" localSheetId="4" hidden="1">AverageVolume!$B$1443:$F$1457</definedName>
    <definedName name="ExternalData_197" localSheetId="4" hidden="1">AverageVolume!$B$1458:$F$1472</definedName>
    <definedName name="ExternalData_198" localSheetId="4" hidden="1">AverageVolume!$B$1473:$F$1487</definedName>
    <definedName name="ExternalData_199" localSheetId="4" hidden="1">AverageVolume!$B$1488:$F$1502</definedName>
    <definedName name="ExternalData_200" localSheetId="4" hidden="1">AverageVolume!$B$1503:$F$1517</definedName>
    <definedName name="ExternalData_201" localSheetId="4" hidden="1">AverageVolume!$B$1518:$F$1532</definedName>
    <definedName name="ExternalData_202" localSheetId="4" hidden="1">AverageVolume!$B$1533:$F$1547</definedName>
    <definedName name="ExternalData_203" localSheetId="4" hidden="1">AverageVolume!$B$1548:$F$1562</definedName>
    <definedName name="ExternalData_204" localSheetId="4" hidden="1">AverageVolume!$B$1563:$F$1577</definedName>
    <definedName name="ExternalData_205" localSheetId="4" hidden="1">AverageVolume!$B$1578:$F$1592</definedName>
    <definedName name="ExternalData_206" localSheetId="4" hidden="1">AverageVolume!$B$1593:$F$1607</definedName>
    <definedName name="ExternalData_207" localSheetId="4" hidden="1">AverageVolume!$B$1608:$F$1622</definedName>
    <definedName name="ExternalData_208" localSheetId="4" hidden="1">AverageVolume!$B$1623:$F$1637</definedName>
    <definedName name="ExternalData_209" localSheetId="4" hidden="1">AverageVolume!$B$1638:$F$1652</definedName>
    <definedName name="ExternalData_210" localSheetId="4" hidden="1">AverageVolume!$B$1653:$F$1667</definedName>
    <definedName name="ExternalData_211" localSheetId="4" hidden="1">AverageVolume!$B$1668:$F$1682</definedName>
    <definedName name="ExternalData_212" localSheetId="4" hidden="1">AverageVolume!$B$1683:$F$1697</definedName>
    <definedName name="ExternalData_213" localSheetId="4" hidden="1">AverageVolume!$B$1698:$F$1712</definedName>
    <definedName name="ExternalData_214" localSheetId="4" hidden="1">AverageVolume!$B$1713:$F$1727</definedName>
    <definedName name="ExternalData_215" localSheetId="4" hidden="1">AverageVolume!$B$1728:$F$1742</definedName>
    <definedName name="ExternalData_216" localSheetId="4" hidden="1">AverageVolume!$B$1743:$F$1757</definedName>
    <definedName name="ExternalData_217" localSheetId="4" hidden="1">AverageVolume!$B$1758:$F$1772</definedName>
    <definedName name="ExternalData_218" localSheetId="4" hidden="1">AverageVolume!$B$1773:$F$1787</definedName>
    <definedName name="ExternalData_219" localSheetId="4" hidden="1">AverageVolume!$B$1788:$F$1802</definedName>
    <definedName name="ExternalData_220" localSheetId="4" hidden="1">AverageVolume!$B$1803:$F$1817</definedName>
    <definedName name="ExternalData_221" localSheetId="4" hidden="1">AverageVolume!$B$1818:$F$1832</definedName>
    <definedName name="ExternalData_222" localSheetId="4" hidden="1">AverageVolume!$B$1833:$F$1847</definedName>
    <definedName name="ExternalData_223" localSheetId="4" hidden="1">AverageVolume!$B$1848:$F$1862</definedName>
    <definedName name="ExternalData_224" localSheetId="4" hidden="1">AverageVolume!$B$1863:$F$1877</definedName>
    <definedName name="ExternalData_225" localSheetId="4" hidden="1">AverageVolume!$B$1878:$F$1892</definedName>
    <definedName name="ExternalData_226" localSheetId="4" hidden="1">AverageVolume!$B$1893:$F$1907</definedName>
    <definedName name="ExternalData_227" localSheetId="4" hidden="1">AverageVolume!$B$1908:$F$1922</definedName>
    <definedName name="ExternalData_228" localSheetId="4" hidden="1">AverageVolume!$B$1923:$F$1937</definedName>
    <definedName name="ExternalData_229" localSheetId="4" hidden="1">AverageVolume!$B$1938:$F$1952</definedName>
    <definedName name="ExternalData_230" localSheetId="4" hidden="1">AverageVolume!$B$1953:$F$1967</definedName>
    <definedName name="ExternalData_231" localSheetId="4" hidden="1">AverageVolume!$B$1968:$F$1982</definedName>
    <definedName name="ExternalData_232" localSheetId="4" hidden="1">AverageVolume!$B$1983:$F$1997</definedName>
    <definedName name="ExternalData_233" localSheetId="4" hidden="1">AverageVolume!$B$1998:$F$2012</definedName>
    <definedName name="ExternalData_234" localSheetId="4" hidden="1">AverageVolume!$B$2013:$F$2027</definedName>
    <definedName name="ExternalData_235" localSheetId="4" hidden="1">AverageVolume!$B$2028:$F$2042</definedName>
    <definedName name="ExternalData_236" localSheetId="4" hidden="1">AverageVolume!$B$2043:$F$2057</definedName>
    <definedName name="input001">AverageVolume!$A$3</definedName>
    <definedName name="input002">AverageVolume!$A$18</definedName>
    <definedName name="input003">AverageVolume!$A$33</definedName>
    <definedName name="input004">AverageVolume!$A$48</definedName>
    <definedName name="input005">AverageVolume!$A$63</definedName>
    <definedName name="input006">AverageVolume!$A$78</definedName>
    <definedName name="input007">AverageVolume!$A$93</definedName>
    <definedName name="input008">AverageVolume!$A$108</definedName>
    <definedName name="input009">AverageVolume!$A$123</definedName>
    <definedName name="input010">AverageVolume!$A$138</definedName>
    <definedName name="input011">AverageVolume!$A$153</definedName>
    <definedName name="input012">AverageVolume!$A$168</definedName>
    <definedName name="input013">AverageVolume!$A$183</definedName>
    <definedName name="input014">AverageVolume!$A$198</definedName>
    <definedName name="input015">AverageVolume!$A$213</definedName>
    <definedName name="input016">AverageVolume!$A$228</definedName>
    <definedName name="input017">AverageVolume!$A$243</definedName>
    <definedName name="input018">AverageVolume!$A$258</definedName>
    <definedName name="input019">AverageVolume!$A$273</definedName>
    <definedName name="input020">AverageVolume!$A$288</definedName>
    <definedName name="input021">AverageVolume!$A$303</definedName>
    <definedName name="input022">AverageVolume!$A$318</definedName>
    <definedName name="input023">AverageVolume!$A$333</definedName>
    <definedName name="input024">AverageVolume!$A$348</definedName>
    <definedName name="input025">AverageVolume!$A$363</definedName>
    <definedName name="input026">AverageVolume!$A$378</definedName>
    <definedName name="input027">AverageVolume!$A$393</definedName>
    <definedName name="input028">AverageVolume!$A$408</definedName>
    <definedName name="input029">AverageVolume!$A$423</definedName>
    <definedName name="input030">AverageVolume!$A$438</definedName>
    <definedName name="input031">AverageVolume!$A$453</definedName>
    <definedName name="input032">AverageVolume!$A$468</definedName>
    <definedName name="input033">AverageVolume!$A$483</definedName>
    <definedName name="input034">AverageVolume!$A$498</definedName>
    <definedName name="input035">AverageVolume!$A$513</definedName>
    <definedName name="input036">AverageVolume!$A$528</definedName>
    <definedName name="input037">AverageVolume!$A$543</definedName>
    <definedName name="input038">AverageVolume!$A$558</definedName>
    <definedName name="input039">AverageVolume!$A$573</definedName>
    <definedName name="input040">AverageVolume!$A$588</definedName>
    <definedName name="input041">AverageVolume!$A$603</definedName>
    <definedName name="input042">AverageVolume!$A$618</definedName>
    <definedName name="input043">AverageVolume!$A$633</definedName>
    <definedName name="input044">AverageVolume!$A$648</definedName>
    <definedName name="input045">AverageVolume!$A$663</definedName>
    <definedName name="input046">AverageVolume!$A$678</definedName>
    <definedName name="input047">AverageVolume!$A$693</definedName>
    <definedName name="input048">AverageVolume!$A$708</definedName>
    <definedName name="input049">AverageVolume!$A$723</definedName>
    <definedName name="input050">AverageVolume!$A$738</definedName>
    <definedName name="input051">AverageVolume!$A$753</definedName>
    <definedName name="input052">AverageVolume!$A$768</definedName>
    <definedName name="input053">AverageVolume!$A$783</definedName>
    <definedName name="input054">AverageVolume!$A$798</definedName>
    <definedName name="input055">AverageVolume!$A$813</definedName>
    <definedName name="input056">AverageVolume!$A$828</definedName>
    <definedName name="input057">AverageVolume!$A$843</definedName>
    <definedName name="input058">AverageVolume!$A$858</definedName>
    <definedName name="input059">AverageVolume!$A$873</definedName>
    <definedName name="input060">AverageVolume!$A$888</definedName>
    <definedName name="input061">AverageVolume!$A$903</definedName>
    <definedName name="input062">AverageVolume!$A$918</definedName>
    <definedName name="input063">AverageVolume!$A$933</definedName>
    <definedName name="input064">AverageVolume!$A$948</definedName>
    <definedName name="input065">AverageVolume!$A$963</definedName>
    <definedName name="input066">AverageVolume!$A$978</definedName>
    <definedName name="input067">AverageVolume!$A$993</definedName>
    <definedName name="input068">AverageVolume!$A$1008</definedName>
    <definedName name="input069">AverageVolume!$A$1023</definedName>
    <definedName name="input070">AverageVolume!$A$1038</definedName>
    <definedName name="input071">AverageVolume!$A$1053</definedName>
    <definedName name="input072">AverageVolume!$A$1068</definedName>
    <definedName name="input073">AverageVolume!$A$1083</definedName>
    <definedName name="input074">AverageVolume!$A$1098</definedName>
    <definedName name="input075">AverageVolume!$A$1113</definedName>
    <definedName name="input076">AverageVolume!$A$1128</definedName>
    <definedName name="input077">AverageVolume!$A$1143</definedName>
    <definedName name="input078">AverageVolume!$A$1158</definedName>
    <definedName name="input079">AverageVolume!$A$1173</definedName>
    <definedName name="input080">AverageVolume!$A$1188</definedName>
    <definedName name="input081">AverageVolume!$A$1203</definedName>
    <definedName name="input082">AverageVolume!$A$1218</definedName>
    <definedName name="input083">AverageVolume!$A$1233</definedName>
    <definedName name="input084">AverageVolume!$A$1248</definedName>
    <definedName name="input085">AverageVolume!$A$1263</definedName>
    <definedName name="input086">AverageVolume!$A$1278</definedName>
    <definedName name="input087">AverageVolume!$A$1293</definedName>
    <definedName name="input088">AverageVolume!$A$1308</definedName>
    <definedName name="input089">AverageVolume!$A$1323</definedName>
    <definedName name="input090">AverageVolume!$A$1338</definedName>
    <definedName name="input091">AverageVolume!$A$1353</definedName>
    <definedName name="input092">AverageVolume!$A$1368</definedName>
    <definedName name="input093">AverageVolume!$A$1383</definedName>
    <definedName name="input094">AverageVolume!$A$1398</definedName>
    <definedName name="input095">AverageVolume!$A$1413</definedName>
    <definedName name="input096">AverageVolume!$A$1428</definedName>
    <definedName name="input097">AverageVolume!$A$1443</definedName>
    <definedName name="input098">AverageVolume!$A$1458</definedName>
    <definedName name="input099">AverageVolume!$A$1473</definedName>
    <definedName name="input100">AverageVolume!$A$1488</definedName>
    <definedName name="input101">AverageVolume!$A$1503</definedName>
    <definedName name="input102">AverageVolume!$A$1518</definedName>
    <definedName name="input103">AverageVolume!$A$1533</definedName>
    <definedName name="input104">AverageVolume!$A$1548</definedName>
    <definedName name="input105">AverageVolume!$A$1563</definedName>
    <definedName name="input106">AverageVolume!$A$1578</definedName>
    <definedName name="input107">AverageVolume!$A$1593</definedName>
    <definedName name="input108">AverageVolume!$A$1608</definedName>
    <definedName name="input109">AverageVolume!$A$1623</definedName>
    <definedName name="input110">AverageVolume!$A$1638</definedName>
    <definedName name="input111">AverageVolume!$A$1653</definedName>
    <definedName name="input112">AverageVolume!$A$1668</definedName>
    <definedName name="input113">AverageVolume!$A$1683</definedName>
    <definedName name="input114">AverageVolume!$A$1698</definedName>
    <definedName name="input115">AverageVolume!$A$1713</definedName>
    <definedName name="input116">AverageVolume!$A$1728</definedName>
    <definedName name="input117">AverageVolume!$A$1743</definedName>
    <definedName name="input118">AverageVolume!$A$1758</definedName>
    <definedName name="input119">AverageVolume!$A$1773</definedName>
    <definedName name="input120">AverageVolume!$A$1788</definedName>
    <definedName name="input121">AverageVolume!$A$1803</definedName>
    <definedName name="input122">AverageVolume!$A$1818</definedName>
    <definedName name="input123">AverageVolume!$A$1833</definedName>
    <definedName name="input124">AverageVolume!$A$1848</definedName>
    <definedName name="input125">AverageVolume!$A$1863</definedName>
    <definedName name="input126">AverageVolume!$A$1878</definedName>
    <definedName name="input127">AverageVolume!$A$1893</definedName>
    <definedName name="input128">AverageVolume!$A$1908</definedName>
    <definedName name="input129">AverageVolume!$A$1923</definedName>
    <definedName name="input130">AverageVolume!$A$1938</definedName>
    <definedName name="input131">AverageVolume!$A$1953</definedName>
    <definedName name="input132">AverageVolume!$A$1968</definedName>
    <definedName name="input133">AverageVolume!$A$1983</definedName>
    <definedName name="input134">AverageVolume!$A$1998</definedName>
    <definedName name="input135">AverageVolume!$A$2013</definedName>
    <definedName name="input136">AverageVolume!$A$2028</definedName>
    <definedName name="input137">AverageVolume!$A$2043</definedName>
    <definedName name="Jita">TradeSheet!$BF$44</definedName>
    <definedName name="result100">AverageVolume!$A$1500</definedName>
    <definedName name="result101">AverageVolume!$A$1515</definedName>
    <definedName name="result102">AverageVolume!$A$1530</definedName>
    <definedName name="result103">AverageVolume!$A$1545</definedName>
    <definedName name="result104">AverageVolume!$A$1560</definedName>
    <definedName name="result105">AverageVolume!$A$1575</definedName>
    <definedName name="result106">AverageVolume!$A$1590</definedName>
    <definedName name="result107">AverageVolume!$A$1605</definedName>
    <definedName name="result108">AverageVolume!$A$1620</definedName>
    <definedName name="result109">AverageVolume!$A$1635</definedName>
    <definedName name="result110">AverageVolume!$A$1650</definedName>
    <definedName name="result111">AverageVolume!$A$1665</definedName>
    <definedName name="result112">AverageVolume!$A$1680</definedName>
    <definedName name="result113">AverageVolume!$A$1695</definedName>
    <definedName name="result114">AverageVolume!$A$1710</definedName>
    <definedName name="result115">AverageVolume!$A$1725</definedName>
    <definedName name="result116">AverageVolume!$A$1740</definedName>
    <definedName name="result117">AverageVolume!$A$1755</definedName>
    <definedName name="result118">AverageVolume!$A$1770</definedName>
    <definedName name="result119">AverageVolume!$A$1785</definedName>
    <definedName name="result120">AverageVolume!$A$1800</definedName>
    <definedName name="result121">AverageVolume!$A$1815</definedName>
    <definedName name="result122">AverageVolume!$A$1830</definedName>
    <definedName name="result123">AverageVolume!$A$1845</definedName>
    <definedName name="result124">AverageVolume!$A$1860</definedName>
    <definedName name="result125">AverageVolume!$A$1875</definedName>
    <definedName name="result126">AverageVolume!$A$1890</definedName>
    <definedName name="result127">AverageVolume!$A$1905</definedName>
    <definedName name="result128">AverageVolume!$A$1920</definedName>
    <definedName name="result129">AverageVolume!$A$1935</definedName>
    <definedName name="result130">AverageVolume!$A$1950</definedName>
    <definedName name="result131">AverageVolume!$A$1965</definedName>
    <definedName name="result132">AverageVolume!$A$1980</definedName>
    <definedName name="result133">AverageVolume!$A$1995</definedName>
    <definedName name="result134">AverageVolume!$A$2010</definedName>
    <definedName name="result135">AverageVolume!$A$2025</definedName>
    <definedName name="result136">AverageVolume!$A$2040</definedName>
    <definedName name="result137">AverageVolume!$A$2055</definedName>
    <definedName name="ShippingCost">TradeSheet!$BH$8</definedName>
    <definedName name="swag026">AverageVolume!$A$379</definedName>
    <definedName name="SwaggerURL">AverageVolume!$B$1</definedName>
    <definedName name="swagURL001">AverageVolume!$A$4</definedName>
    <definedName name="swagURL002">AverageVolume!$A$19</definedName>
    <definedName name="swagURL003">AverageVolume!$A$34</definedName>
    <definedName name="swagURL004">AverageVolume!$A$49</definedName>
    <definedName name="swagURL005">AverageVolume!$A$64</definedName>
    <definedName name="swagURL006">AverageVolume!$A$79</definedName>
    <definedName name="swagURL007">AverageVolume!$A$94</definedName>
    <definedName name="swagURL008">AverageVolume!$A$109</definedName>
    <definedName name="swagURL009">AverageVolume!$A$124</definedName>
    <definedName name="swagURL010">AverageVolume!$A$139</definedName>
    <definedName name="swagURL011">AverageVolume!$A$154</definedName>
    <definedName name="swagURL012">AverageVolume!$A$169</definedName>
    <definedName name="swagURL013">AverageVolume!$A$184</definedName>
    <definedName name="swagURL014">AverageVolume!$A$199</definedName>
    <definedName name="swagURL015">AverageVolume!$A$214</definedName>
    <definedName name="swagURL016">AverageVolume!$A$229</definedName>
    <definedName name="swagURL017">AverageVolume!$A$244</definedName>
    <definedName name="swagURL018">AverageVolume!$A$259</definedName>
    <definedName name="swagURL019">AverageVolume!$A$274</definedName>
    <definedName name="swagURL020">AverageVolume!$A$289</definedName>
    <definedName name="swagURL021">AverageVolume!$A$304</definedName>
    <definedName name="swagURL022">AverageVolume!$A$319</definedName>
    <definedName name="swagURL023">AverageVolume!$A$334</definedName>
    <definedName name="swagURL024">AverageVolume!$A$349</definedName>
    <definedName name="swagURL025">AverageVolume!$A$364</definedName>
    <definedName name="swagURL026">AverageVolume!$A$379</definedName>
    <definedName name="swagURL027">AverageVolume!$A$394</definedName>
    <definedName name="swagURL028">AverageVolume!$A$409</definedName>
    <definedName name="swagURL029">AverageVolume!$A$424</definedName>
    <definedName name="swagURL030">AverageVolume!$A$439</definedName>
    <definedName name="swagURL031">AverageVolume!$A$454</definedName>
    <definedName name="swagURL032">AverageVolume!$A$469</definedName>
    <definedName name="swagURL033">AverageVolume!$A$484</definedName>
    <definedName name="swagURL034">AverageVolume!$A$499</definedName>
    <definedName name="swagURL035">AverageVolume!$A$514</definedName>
    <definedName name="swagURL036">AverageVolume!$A$529</definedName>
    <definedName name="swagURL037">AverageVolume!$A$544</definedName>
    <definedName name="swagURL038">AverageVolume!$A$559</definedName>
    <definedName name="swagURL039">AverageVolume!$A$574</definedName>
    <definedName name="swagURL040">AverageVolume!$A$589</definedName>
    <definedName name="swagURL041">AverageVolume!$A$604</definedName>
    <definedName name="swagURL042">AverageVolume!$A$619</definedName>
    <definedName name="swagURL043">AverageVolume!$A$634</definedName>
    <definedName name="swagURL044">AverageVolume!$A$649</definedName>
    <definedName name="swagURL045">AverageVolume!$A$664</definedName>
    <definedName name="swagURL046">AverageVolume!$A$679</definedName>
    <definedName name="swagURL047">AverageVolume!$A$694</definedName>
    <definedName name="swagURL048">AverageVolume!$A$709</definedName>
    <definedName name="swagURL049">AverageVolume!$A$724</definedName>
    <definedName name="swagURL050">AverageVolume!$A$739</definedName>
    <definedName name="swagURL051">AverageVolume!$A$754</definedName>
    <definedName name="swagURL052">AverageVolume!$A$769</definedName>
    <definedName name="swagURL053">AverageVolume!$A$784</definedName>
    <definedName name="swagURL054">AverageVolume!$A$799</definedName>
    <definedName name="swagURL055">AverageVolume!$A$814</definedName>
    <definedName name="swagURL056">AverageVolume!$A$829</definedName>
    <definedName name="swagURL057">AverageVolume!$A$844</definedName>
    <definedName name="swagURL058">AverageVolume!$A$859</definedName>
    <definedName name="swagURL059">AverageVolume!$A$874</definedName>
    <definedName name="swagURL060">AverageVolume!$A$889</definedName>
    <definedName name="swagURL061">AverageVolume!$A$904</definedName>
    <definedName name="swagURL062">AverageVolume!$A$919</definedName>
    <definedName name="swagURL063">AverageVolume!$A$934</definedName>
    <definedName name="swagURL064">AverageVolume!$A$949</definedName>
    <definedName name="swagURL065">AverageVolume!$A$964</definedName>
    <definedName name="swagURL066">AverageVolume!$A$979</definedName>
    <definedName name="swagURL067">AverageVolume!$A$994</definedName>
    <definedName name="swagURL068">AverageVolume!$A$1009</definedName>
    <definedName name="swagURL069">AverageVolume!$A$1024</definedName>
    <definedName name="swagURL070">AverageVolume!$A$1039</definedName>
    <definedName name="swagURL071">AverageVolume!$A$1054</definedName>
    <definedName name="swagURL072">AverageVolume!$A$1069</definedName>
    <definedName name="swagURL073">AverageVolume!$A$1084</definedName>
    <definedName name="swagURL074">AverageVolume!$A$1099</definedName>
    <definedName name="swagURL075">AverageVolume!$A$1114</definedName>
    <definedName name="swagURL076">AverageVolume!$A$1129</definedName>
    <definedName name="swagURL077">AverageVolume!$A$1144</definedName>
    <definedName name="swagURL078">AverageVolume!$A$1159</definedName>
    <definedName name="swagURL079">AverageVolume!$A$1174</definedName>
    <definedName name="swagURL080">AverageVolume!$A$1189</definedName>
    <definedName name="swagURL081">AverageVolume!$A$1204</definedName>
    <definedName name="swagURL082">AverageVolume!$A$1219</definedName>
    <definedName name="swagURL083">AverageVolume!$A$1234</definedName>
    <definedName name="swagURL084">AverageVolume!$A$1249</definedName>
    <definedName name="swagURL085">AverageVolume!$A$1264</definedName>
    <definedName name="swagURL086">AverageVolume!$A$1279</definedName>
    <definedName name="swagURL087">AverageVolume!$A$1294</definedName>
    <definedName name="swagURL088">AverageVolume!$A$1309</definedName>
    <definedName name="swagURL089">AverageVolume!$A$1324</definedName>
    <definedName name="swagURL090">AverageVolume!$A$1339</definedName>
    <definedName name="swagURL091">AverageVolume!$A$1354</definedName>
    <definedName name="swagURL092">AverageVolume!$A$1369</definedName>
    <definedName name="swagURL093">AverageVolume!$A$1384</definedName>
    <definedName name="swagURL094">AverageVolume!$A$1399</definedName>
    <definedName name="swagURL095">AverageVolume!$A$1414</definedName>
    <definedName name="swagURL096">AverageVolume!$A$1429</definedName>
    <definedName name="swagURL097">AverageVolume!$A$1444</definedName>
    <definedName name="swagURL098">AverageVolume!$A$1459</definedName>
    <definedName name="swagURL099">AverageVolume!$A$1474</definedName>
    <definedName name="swagURL100">AverageVolume!$A$1489</definedName>
    <definedName name="swagurl101">AverageVolume!$A$1504</definedName>
    <definedName name="swagurl102">AverageVolume!$A$1519</definedName>
    <definedName name="swagurl103">AverageVolume!$A$1534</definedName>
    <definedName name="swagurl104">AverageVolume!$A$1549</definedName>
    <definedName name="swagurl105">AverageVolume!$A$1564</definedName>
    <definedName name="swagurl106">AverageVolume!$A$1579</definedName>
    <definedName name="swagurl107">AverageVolume!$A$1594</definedName>
    <definedName name="swagurl108">AverageVolume!$A$1609</definedName>
    <definedName name="swagurl109">AverageVolume!$A$1624</definedName>
    <definedName name="swagurl110">AverageVolume!$A$1639</definedName>
    <definedName name="swagurl111">AverageVolume!$A$1654</definedName>
    <definedName name="swagurl112">AverageVolume!$A$1669</definedName>
    <definedName name="swagurl113">AverageVolume!$A$1684</definedName>
    <definedName name="swagurl114">AverageVolume!$A$1699</definedName>
    <definedName name="swagurl115">AverageVolume!$A$1714</definedName>
    <definedName name="swagurl116">AverageVolume!$A$1729</definedName>
    <definedName name="swagurl117">AverageVolume!$A$1744</definedName>
    <definedName name="swagurl118">AverageVolume!$A$1759</definedName>
    <definedName name="swagurl119">AverageVolume!$A$1774</definedName>
    <definedName name="swagurl120">AverageVolume!$A$1789</definedName>
    <definedName name="swagurl121">AverageVolume!$A$1804</definedName>
    <definedName name="swagurl122">AverageVolume!$A$1819</definedName>
    <definedName name="swagurl123">AverageVolume!$A$1834</definedName>
    <definedName name="swagurl124">AverageVolume!$A$1849</definedName>
    <definedName name="swagurl125">AverageVolume!$A$1864</definedName>
    <definedName name="swagurl126">AverageVolume!$A$1879</definedName>
    <definedName name="swagurl127">AverageVolume!$A$1894</definedName>
    <definedName name="swagurl128">AverageVolume!$A$1909</definedName>
    <definedName name="swagurl129">AverageVolume!$A$1924</definedName>
    <definedName name="swagurl130">AverageVolume!$A$1939</definedName>
    <definedName name="swagurl131">AverageVolume!$A$1954</definedName>
    <definedName name="swagurl132">AverageVolume!$A$1969</definedName>
    <definedName name="swagurl133">AverageVolume!$A$1984</definedName>
    <definedName name="swagurl134">AverageVolume!$A$1999</definedName>
    <definedName name="swagurl135">AverageVolume!$A$2014</definedName>
    <definedName name="swagurl136">AverageVolume!$A$2029</definedName>
    <definedName name="swagurl137">AverageVolume!$A$2044</definedName>
    <definedName name="swagURL3">AverageVolume!$A$34</definedName>
    <definedName name="Target">TradeSheet!$BF$49</definedName>
    <definedName name="TaxRate">TradeSheet!$BH$10</definedName>
    <definedName name="TimeZone">AverageVolume!$J$8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8" l="1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B347" i="3"/>
  <c r="B278" i="3"/>
  <c r="B184" i="3"/>
  <c r="B93" i="3"/>
  <c r="B5" i="3"/>
  <c r="B39" i="3"/>
  <c r="B25" i="7"/>
  <c r="B2" i="7"/>
  <c r="B11" i="7"/>
  <c r="B79" i="7"/>
  <c r="B21" i="7"/>
  <c r="B18" i="7"/>
  <c r="B3" i="7"/>
  <c r="B17" i="7"/>
  <c r="B74" i="7"/>
  <c r="B65" i="7"/>
  <c r="B33" i="7"/>
  <c r="B42" i="7"/>
  <c r="B67" i="7"/>
  <c r="B37" i="7"/>
  <c r="B39" i="7"/>
  <c r="B70" i="7"/>
  <c r="B26" i="7"/>
  <c r="B28" i="7"/>
  <c r="B30" i="7"/>
  <c r="B31" i="7"/>
  <c r="B23" i="7"/>
  <c r="B24" i="7"/>
  <c r="B64" i="7"/>
  <c r="B36" i="7"/>
  <c r="B29" i="7"/>
  <c r="B44" i="7"/>
  <c r="B20" i="7"/>
  <c r="B5" i="7"/>
  <c r="B16" i="7"/>
  <c r="B4" i="7"/>
  <c r="B75" i="7"/>
  <c r="B46" i="7"/>
  <c r="B9" i="7"/>
  <c r="B15" i="7"/>
  <c r="B8" i="7"/>
  <c r="B59" i="7"/>
  <c r="B73" i="7"/>
  <c r="B19" i="7"/>
  <c r="B51" i="7"/>
  <c r="B61" i="7"/>
  <c r="B53" i="7"/>
  <c r="B55" i="7"/>
  <c r="B78" i="7"/>
  <c r="B54" i="7"/>
  <c r="B14" i="7"/>
  <c r="B63" i="7"/>
  <c r="B62" i="7"/>
  <c r="B45" i="7"/>
  <c r="B52" i="7"/>
  <c r="B13" i="7"/>
  <c r="B14" i="3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B346" i="3"/>
  <c r="B276" i="3"/>
  <c r="B266" i="3"/>
  <c r="B179" i="3"/>
  <c r="B94" i="3"/>
  <c r="B3" i="3"/>
  <c r="B98" i="3"/>
  <c r="G2044" i="8"/>
  <c r="G2045" i="8"/>
  <c r="G2046" i="8"/>
  <c r="G2047" i="8"/>
  <c r="G2048" i="8"/>
  <c r="G2049" i="8"/>
  <c r="G2050" i="8"/>
  <c r="G2051" i="8"/>
  <c r="G2052" i="8"/>
  <c r="G2053" i="8"/>
  <c r="G2054" i="8"/>
  <c r="G2055" i="8"/>
  <c r="A2048" i="8" s="1"/>
  <c r="G2056" i="8"/>
  <c r="G2057" i="8"/>
  <c r="G2029" i="8"/>
  <c r="G2030" i="8"/>
  <c r="G2031" i="8"/>
  <c r="G2032" i="8"/>
  <c r="G2033" i="8"/>
  <c r="G2034" i="8"/>
  <c r="G2035" i="8"/>
  <c r="G2036" i="8"/>
  <c r="G2037" i="8"/>
  <c r="G2038" i="8"/>
  <c r="G2039" i="8"/>
  <c r="G2040" i="8"/>
  <c r="G2041" i="8"/>
  <c r="G2042" i="8"/>
  <c r="G2014" i="8"/>
  <c r="G2015" i="8"/>
  <c r="G2016" i="8"/>
  <c r="G2017" i="8"/>
  <c r="G2018" i="8"/>
  <c r="G2019" i="8"/>
  <c r="G2020" i="8"/>
  <c r="G2021" i="8"/>
  <c r="G2022" i="8"/>
  <c r="G2023" i="8"/>
  <c r="G2024" i="8"/>
  <c r="G2025" i="8"/>
  <c r="A2018" i="8" s="1"/>
  <c r="G2026" i="8"/>
  <c r="G2027" i="8"/>
  <c r="G1999" i="8"/>
  <c r="G2000" i="8"/>
  <c r="G2001" i="8"/>
  <c r="G2002" i="8"/>
  <c r="G2003" i="8"/>
  <c r="G2004" i="8"/>
  <c r="G2005" i="8"/>
  <c r="G2006" i="8"/>
  <c r="G2007" i="8"/>
  <c r="G2008" i="8"/>
  <c r="G2009" i="8"/>
  <c r="G2010" i="8"/>
  <c r="G2011" i="8"/>
  <c r="G2012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A1973" i="8" s="1"/>
  <c r="G1981" i="8"/>
  <c r="G1982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A1958" i="8" s="1"/>
  <c r="G1966" i="8"/>
  <c r="G1967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894" i="8"/>
  <c r="G1895" i="8"/>
  <c r="G1896" i="8"/>
  <c r="G1897" i="8"/>
  <c r="G1898" i="8"/>
  <c r="G1899" i="8"/>
  <c r="G1900" i="8"/>
  <c r="G1901" i="8"/>
  <c r="A1898" i="8" s="1"/>
  <c r="G1902" i="8"/>
  <c r="G1903" i="8"/>
  <c r="G1904" i="8"/>
  <c r="G1905" i="8"/>
  <c r="G1906" i="8"/>
  <c r="G1907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34" i="8"/>
  <c r="G1835" i="8"/>
  <c r="G1836" i="8"/>
  <c r="G1837" i="8"/>
  <c r="G1838" i="8"/>
  <c r="G1839" i="8"/>
  <c r="G1840" i="8"/>
  <c r="G1841" i="8"/>
  <c r="A1838" i="8" s="1"/>
  <c r="G1842" i="8"/>
  <c r="G1843" i="8"/>
  <c r="G1844" i="8"/>
  <c r="G1845" i="8"/>
  <c r="G1846" i="8"/>
  <c r="G1847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789" i="8"/>
  <c r="G1790" i="8"/>
  <c r="G1791" i="8"/>
  <c r="G1792" i="8"/>
  <c r="G1793" i="8"/>
  <c r="G1794" i="8"/>
  <c r="G1795" i="8"/>
  <c r="G1796" i="8"/>
  <c r="A1793" i="8" s="1"/>
  <c r="G1797" i="8"/>
  <c r="G1798" i="8"/>
  <c r="G1799" i="8"/>
  <c r="G1800" i="8"/>
  <c r="G1801" i="8"/>
  <c r="G1802" i="8"/>
  <c r="G1774" i="8"/>
  <c r="G1775" i="8"/>
  <c r="G1776" i="8"/>
  <c r="G1777" i="8"/>
  <c r="G1778" i="8"/>
  <c r="G1779" i="8"/>
  <c r="G1780" i="8"/>
  <c r="G1781" i="8"/>
  <c r="G1782" i="8"/>
  <c r="G1783" i="8"/>
  <c r="G1784" i="8"/>
  <c r="A1778" i="8" s="1"/>
  <c r="G1785" i="8"/>
  <c r="G1786" i="8"/>
  <c r="G1787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699" i="8"/>
  <c r="G1700" i="8"/>
  <c r="G1701" i="8"/>
  <c r="G1702" i="8"/>
  <c r="G1703" i="8"/>
  <c r="G1704" i="8"/>
  <c r="G1705" i="8"/>
  <c r="G1706" i="8"/>
  <c r="G1707" i="8"/>
  <c r="G1708" i="8"/>
  <c r="G1709" i="8"/>
  <c r="A1703" i="8" s="1"/>
  <c r="G1710" i="8"/>
  <c r="G1711" i="8"/>
  <c r="G1712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A1688" i="8" s="1"/>
  <c r="G1696" i="8"/>
  <c r="G1697" i="8"/>
  <c r="G1669" i="8"/>
  <c r="G1670" i="8"/>
  <c r="G1671" i="8"/>
  <c r="G1672" i="8"/>
  <c r="G1673" i="8"/>
  <c r="G1674" i="8"/>
  <c r="G1675" i="8"/>
  <c r="G1676" i="8"/>
  <c r="G1677" i="8"/>
  <c r="G1678" i="8"/>
  <c r="G1679" i="8"/>
  <c r="A1673" i="8" s="1"/>
  <c r="G1680" i="8"/>
  <c r="G1681" i="8"/>
  <c r="G1682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64" i="8"/>
  <c r="G1565" i="8"/>
  <c r="G1566" i="8"/>
  <c r="G1567" i="8"/>
  <c r="G1568" i="8"/>
  <c r="G1569" i="8"/>
  <c r="G1570" i="8"/>
  <c r="G1571" i="8"/>
  <c r="G1572" i="8"/>
  <c r="G1573" i="8"/>
  <c r="G1574" i="8"/>
  <c r="A1568" i="8" s="1"/>
  <c r="G1575" i="8"/>
  <c r="G1576" i="8"/>
  <c r="G1577" i="8"/>
  <c r="G1534" i="8"/>
  <c r="G1535" i="8"/>
  <c r="G1536" i="8"/>
  <c r="G1537" i="8"/>
  <c r="G1538" i="8"/>
  <c r="G1539" i="8"/>
  <c r="G1540" i="8"/>
  <c r="G1541" i="8"/>
  <c r="A1538" i="8" s="1"/>
  <c r="G1542" i="8"/>
  <c r="G1543" i="8"/>
  <c r="G1544" i="8"/>
  <c r="G1545" i="8"/>
  <c r="G1546" i="8"/>
  <c r="G1547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44" i="8"/>
  <c r="G1445" i="8"/>
  <c r="G1446" i="8"/>
  <c r="G1447" i="8"/>
  <c r="G1448" i="8"/>
  <c r="G1449" i="8"/>
  <c r="G1450" i="8"/>
  <c r="G1451" i="8"/>
  <c r="G1452" i="8"/>
  <c r="G1453" i="8"/>
  <c r="G1454" i="8"/>
  <c r="A1448" i="8" s="1"/>
  <c r="G1455" i="8"/>
  <c r="G1456" i="8"/>
  <c r="G1457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A1433" i="8" s="1"/>
  <c r="G1441" i="8"/>
  <c r="G1442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69" i="8"/>
  <c r="G1370" i="8"/>
  <c r="G1371" i="8"/>
  <c r="G1372" i="8"/>
  <c r="G1373" i="8"/>
  <c r="G1374" i="8"/>
  <c r="G1375" i="8"/>
  <c r="G1376" i="8"/>
  <c r="G1377" i="8"/>
  <c r="G1378" i="8"/>
  <c r="G1379" i="8"/>
  <c r="A1373" i="8" s="1"/>
  <c r="G1380" i="8"/>
  <c r="G1381" i="8"/>
  <c r="G1382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A1238" i="8" s="1"/>
  <c r="G1246" i="8"/>
  <c r="G1247" i="8"/>
  <c r="G1219" i="8"/>
  <c r="G1220" i="8"/>
  <c r="G1221" i="8"/>
  <c r="G1222" i="8"/>
  <c r="G1223" i="8"/>
  <c r="G1224" i="8"/>
  <c r="G1225" i="8"/>
  <c r="G1226" i="8"/>
  <c r="G1227" i="8"/>
  <c r="G1228" i="8"/>
  <c r="G1229" i="8"/>
  <c r="A1223" i="8" s="1"/>
  <c r="G1230" i="8"/>
  <c r="G1231" i="8"/>
  <c r="G1232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189" i="8"/>
  <c r="G1190" i="8"/>
  <c r="G1191" i="8"/>
  <c r="G1192" i="8"/>
  <c r="G1193" i="8"/>
  <c r="G1194" i="8"/>
  <c r="G1195" i="8"/>
  <c r="G1196" i="8"/>
  <c r="A1193" i="8" s="1"/>
  <c r="G1197" i="8"/>
  <c r="G1198" i="8"/>
  <c r="G1199" i="8"/>
  <c r="G1200" i="8"/>
  <c r="G1201" i="8"/>
  <c r="G1202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A1133" i="8" s="1"/>
  <c r="G1141" i="8"/>
  <c r="G1142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14" i="8"/>
  <c r="G1115" i="8"/>
  <c r="G1116" i="8"/>
  <c r="G1117" i="8"/>
  <c r="G1118" i="8"/>
  <c r="G1119" i="8"/>
  <c r="G1120" i="8"/>
  <c r="G1121" i="8"/>
  <c r="G1122" i="8"/>
  <c r="G1123" i="8"/>
  <c r="G1124" i="8"/>
  <c r="A1118" i="8" s="1"/>
  <c r="G1125" i="8"/>
  <c r="G1126" i="8"/>
  <c r="G1127" i="8"/>
  <c r="G1099" i="8"/>
  <c r="G1100" i="8"/>
  <c r="G1101" i="8"/>
  <c r="G1102" i="8"/>
  <c r="G1103" i="8"/>
  <c r="G1104" i="8"/>
  <c r="G1105" i="8"/>
  <c r="G1106" i="8"/>
  <c r="G1107" i="8"/>
  <c r="A1103" i="8" s="1"/>
  <c r="G1108" i="8"/>
  <c r="G1109" i="8"/>
  <c r="G1110" i="8"/>
  <c r="G1111" i="8"/>
  <c r="G1112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A1058" i="8" s="1"/>
  <c r="G1066" i="8"/>
  <c r="G1067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A998" i="8" s="1"/>
  <c r="G1006" i="8"/>
  <c r="G1007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A983" i="8" s="1"/>
  <c r="G991" i="8"/>
  <c r="G992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04" i="8"/>
  <c r="G905" i="8"/>
  <c r="G906" i="8"/>
  <c r="G907" i="8"/>
  <c r="G908" i="8"/>
  <c r="G909" i="8"/>
  <c r="G910" i="8"/>
  <c r="G911" i="8"/>
  <c r="G912" i="8"/>
  <c r="A908" i="8" s="1"/>
  <c r="G913" i="8"/>
  <c r="G914" i="8"/>
  <c r="G915" i="8"/>
  <c r="G916" i="8"/>
  <c r="G917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A803" i="8" s="1"/>
  <c r="G811" i="8"/>
  <c r="G812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A788" i="8" s="1"/>
  <c r="G796" i="8"/>
  <c r="G797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A713" i="8" s="1"/>
  <c r="G721" i="8"/>
  <c r="G722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A593" i="8" s="1"/>
  <c r="G601" i="8"/>
  <c r="G602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54" i="8"/>
  <c r="G155" i="8"/>
  <c r="G156" i="8"/>
  <c r="G157" i="8"/>
  <c r="G158" i="8"/>
  <c r="G159" i="8"/>
  <c r="G160" i="8"/>
  <c r="G161" i="8"/>
  <c r="G162" i="8"/>
  <c r="G163" i="8"/>
  <c r="G164" i="8"/>
  <c r="A158" i="8" s="1"/>
  <c r="G165" i="8"/>
  <c r="G166" i="8"/>
  <c r="G167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A1883" i="8"/>
  <c r="A1508" i="8"/>
  <c r="A1478" i="8"/>
  <c r="A1313" i="8"/>
  <c r="A1043" i="8"/>
  <c r="A1013" i="8"/>
  <c r="B72" i="7"/>
  <c r="A2043" i="8"/>
  <c r="B189" i="3"/>
  <c r="A2028" i="8"/>
  <c r="A2013" i="8"/>
  <c r="A1998" i="8"/>
  <c r="A1983" i="8"/>
  <c r="A1968" i="8"/>
  <c r="A1953" i="8"/>
  <c r="A1938" i="8"/>
  <c r="A1923" i="8"/>
  <c r="A1908" i="8"/>
  <c r="A1893" i="8"/>
  <c r="A1878" i="8"/>
  <c r="A1881" i="8"/>
  <c r="B345" i="3"/>
  <c r="B269" i="3"/>
  <c r="B180" i="3"/>
  <c r="B7" i="3"/>
  <c r="B26" i="3"/>
  <c r="B2" i="3"/>
  <c r="E2" i="3" s="1"/>
  <c r="A1863" i="8"/>
  <c r="A1848" i="8"/>
  <c r="A1833" i="8"/>
  <c r="A1818" i="8"/>
  <c r="A1803" i="8"/>
  <c r="A1788" i="8"/>
  <c r="A1773" i="8"/>
  <c r="A1758" i="8"/>
  <c r="A1743" i="8"/>
  <c r="A1728" i="8"/>
  <c r="A1713" i="8"/>
  <c r="A1698" i="8"/>
  <c r="A1683" i="8"/>
  <c r="A1668" i="8"/>
  <c r="A1653" i="8"/>
  <c r="A1638" i="8"/>
  <c r="A1623" i="8"/>
  <c r="A1608" i="8"/>
  <c r="A1593" i="8"/>
  <c r="A1578" i="8"/>
  <c r="A1563" i="8"/>
  <c r="A1548" i="8"/>
  <c r="A1533" i="8"/>
  <c r="A1518" i="8"/>
  <c r="A1503" i="8"/>
  <c r="J10" i="8"/>
  <c r="B198" i="3"/>
  <c r="C14" i="7" l="1"/>
  <c r="C54" i="7"/>
  <c r="C63" i="7"/>
  <c r="C78" i="7"/>
  <c r="C55" i="7"/>
  <c r="C11" i="7"/>
  <c r="C45" i="7"/>
  <c r="C62" i="7"/>
  <c r="C8" i="7"/>
  <c r="C64" i="7"/>
  <c r="C33" i="7"/>
  <c r="C15" i="7"/>
  <c r="C24" i="7"/>
  <c r="C65" i="7"/>
  <c r="C59" i="7"/>
  <c r="C9" i="7"/>
  <c r="C23" i="7"/>
  <c r="C74" i="7"/>
  <c r="C42" i="7"/>
  <c r="C46" i="7"/>
  <c r="C31" i="7"/>
  <c r="C17" i="7"/>
  <c r="C75" i="7"/>
  <c r="C30" i="7"/>
  <c r="C3" i="7"/>
  <c r="C36" i="7"/>
  <c r="C4" i="7"/>
  <c r="C28" i="7"/>
  <c r="C18" i="7"/>
  <c r="C53" i="7"/>
  <c r="C16" i="7"/>
  <c r="C26" i="7"/>
  <c r="C21" i="7"/>
  <c r="C61" i="7"/>
  <c r="C5" i="7"/>
  <c r="C70" i="7"/>
  <c r="C79" i="7"/>
  <c r="E72" i="7"/>
  <c r="J72" i="7" s="1"/>
  <c r="C51" i="7"/>
  <c r="C20" i="7"/>
  <c r="C39" i="7"/>
  <c r="E13" i="7"/>
  <c r="J13" i="7" s="1"/>
  <c r="C19" i="7"/>
  <c r="C44" i="7"/>
  <c r="C37" i="7"/>
  <c r="C2" i="7"/>
  <c r="C73" i="7"/>
  <c r="C29" i="7"/>
  <c r="C67" i="7"/>
  <c r="C25" i="7"/>
  <c r="G25" i="7"/>
  <c r="E25" i="7"/>
  <c r="J25" i="7" s="1"/>
  <c r="G2" i="7"/>
  <c r="E2" i="7"/>
  <c r="J2" i="7" s="1"/>
  <c r="G11" i="7"/>
  <c r="G79" i="7"/>
  <c r="E79" i="7"/>
  <c r="J79" i="7" s="1"/>
  <c r="G21" i="7"/>
  <c r="E21" i="7"/>
  <c r="J21" i="7" s="1"/>
  <c r="G18" i="7"/>
  <c r="E18" i="7"/>
  <c r="J18" i="7" s="1"/>
  <c r="G3" i="7"/>
  <c r="E3" i="7"/>
  <c r="J3" i="7" s="1"/>
  <c r="G17" i="7"/>
  <c r="E17" i="7"/>
  <c r="J17" i="7" s="1"/>
  <c r="G74" i="7"/>
  <c r="E74" i="7"/>
  <c r="J74" i="7" s="1"/>
  <c r="G65" i="7"/>
  <c r="E65" i="7"/>
  <c r="J65" i="7" s="1"/>
  <c r="G33" i="7"/>
  <c r="E33" i="7"/>
  <c r="J33" i="7" s="1"/>
  <c r="G42" i="7"/>
  <c r="E42" i="7"/>
  <c r="J42" i="7" s="1"/>
  <c r="G67" i="7"/>
  <c r="E67" i="7"/>
  <c r="J67" i="7" s="1"/>
  <c r="G39" i="7"/>
  <c r="G37" i="7"/>
  <c r="E39" i="7"/>
  <c r="J39" i="7" s="1"/>
  <c r="E37" i="7"/>
  <c r="J37" i="7" s="1"/>
  <c r="G70" i="7"/>
  <c r="E70" i="7"/>
  <c r="J70" i="7" s="1"/>
  <c r="G30" i="7"/>
  <c r="G28" i="7"/>
  <c r="G26" i="7"/>
  <c r="E30" i="7"/>
  <c r="J30" i="7" s="1"/>
  <c r="E28" i="7"/>
  <c r="J28" i="7" s="1"/>
  <c r="E26" i="7"/>
  <c r="J26" i="7" s="1"/>
  <c r="G24" i="7"/>
  <c r="G23" i="7"/>
  <c r="G31" i="7"/>
  <c r="E24" i="7"/>
  <c r="J24" i="7" s="1"/>
  <c r="E23" i="7"/>
  <c r="J23" i="7" s="1"/>
  <c r="E31" i="7"/>
  <c r="J31" i="7" s="1"/>
  <c r="G64" i="7"/>
  <c r="E64" i="7"/>
  <c r="J64" i="7" s="1"/>
  <c r="G36" i="7"/>
  <c r="E36" i="7"/>
  <c r="J36" i="7" s="1"/>
  <c r="G29" i="7"/>
  <c r="E29" i="7"/>
  <c r="J29" i="7" s="1"/>
  <c r="G44" i="7"/>
  <c r="E44" i="7"/>
  <c r="J44" i="7" s="1"/>
  <c r="G20" i="7"/>
  <c r="E20" i="7"/>
  <c r="J20" i="7" s="1"/>
  <c r="G16" i="7"/>
  <c r="G5" i="7"/>
  <c r="E16" i="7"/>
  <c r="J16" i="7" s="1"/>
  <c r="E5" i="7"/>
  <c r="J5" i="7" s="1"/>
  <c r="G4" i="7"/>
  <c r="E4" i="7"/>
  <c r="J4" i="7" s="1"/>
  <c r="G75" i="7"/>
  <c r="G46" i="7"/>
  <c r="G15" i="7"/>
  <c r="G9" i="7"/>
  <c r="G8" i="7"/>
  <c r="G59" i="7"/>
  <c r="G73" i="7"/>
  <c r="G19" i="7"/>
  <c r="G51" i="7"/>
  <c r="G61" i="7"/>
  <c r="G53" i="7"/>
  <c r="G55" i="7"/>
  <c r="G78" i="7"/>
  <c r="G54" i="7"/>
  <c r="C52" i="7"/>
  <c r="C72" i="7"/>
  <c r="C13" i="7"/>
  <c r="G14" i="7"/>
  <c r="G63" i="7"/>
  <c r="G62" i="7"/>
  <c r="G45" i="7"/>
  <c r="G52" i="7"/>
  <c r="G13" i="7"/>
  <c r="A2033" i="8"/>
  <c r="A2003" i="8"/>
  <c r="A1988" i="8"/>
  <c r="A1943" i="8"/>
  <c r="A1928" i="8"/>
  <c r="A1913" i="8"/>
  <c r="A1868" i="8"/>
  <c r="A1853" i="8"/>
  <c r="A1823" i="8"/>
  <c r="A1808" i="8"/>
  <c r="A1763" i="8"/>
  <c r="A1748" i="8"/>
  <c r="A1733" i="8"/>
  <c r="A1718" i="8"/>
  <c r="A1658" i="8"/>
  <c r="A1643" i="8"/>
  <c r="A1628" i="8"/>
  <c r="A1613" i="8"/>
  <c r="A1598" i="8"/>
  <c r="A1583" i="8"/>
  <c r="A1523" i="8"/>
  <c r="A1553" i="8"/>
  <c r="A1493" i="8"/>
  <c r="A1463" i="8"/>
  <c r="A1418" i="8"/>
  <c r="A1403" i="8"/>
  <c r="A1388" i="8"/>
  <c r="A1358" i="8"/>
  <c r="A1343" i="8"/>
  <c r="A1328" i="8"/>
  <c r="A1298" i="8"/>
  <c r="A1283" i="8"/>
  <c r="A1268" i="8"/>
  <c r="A1253" i="8"/>
  <c r="A1208" i="8"/>
  <c r="A1178" i="8"/>
  <c r="A1163" i="8"/>
  <c r="A1148" i="8"/>
  <c r="A1088" i="8"/>
  <c r="A1073" i="8"/>
  <c r="A968" i="8"/>
  <c r="A1028" i="8"/>
  <c r="A953" i="8"/>
  <c r="A938" i="8"/>
  <c r="A923" i="8"/>
  <c r="A893" i="8"/>
  <c r="A878" i="8"/>
  <c r="A863" i="8"/>
  <c r="A848" i="8"/>
  <c r="A833" i="8"/>
  <c r="A818" i="8"/>
  <c r="A758" i="8"/>
  <c r="A773" i="8"/>
  <c r="A608" i="8"/>
  <c r="A338" i="8"/>
  <c r="A218" i="8"/>
  <c r="A203" i="8"/>
  <c r="A143" i="8"/>
  <c r="A83" i="8"/>
  <c r="A398" i="8"/>
  <c r="A563" i="8"/>
  <c r="A683" i="8"/>
  <c r="A743" i="8"/>
  <c r="A728" i="8"/>
  <c r="A698" i="8"/>
  <c r="A668" i="8"/>
  <c r="A653" i="8"/>
  <c r="A638" i="8"/>
  <c r="A623" i="8"/>
  <c r="A578" i="8"/>
  <c r="A548" i="8"/>
  <c r="A533" i="8"/>
  <c r="A518" i="8"/>
  <c r="A503" i="8"/>
  <c r="A488" i="8"/>
  <c r="A473" i="8"/>
  <c r="A458" i="8"/>
  <c r="A443" i="8"/>
  <c r="A383" i="8"/>
  <c r="A413" i="8"/>
  <c r="A428" i="8"/>
  <c r="A368" i="8"/>
  <c r="A353" i="8"/>
  <c r="A323" i="8"/>
  <c r="A308" i="8"/>
  <c r="A293" i="8"/>
  <c r="A278" i="8"/>
  <c r="A263" i="8"/>
  <c r="A248" i="8"/>
  <c r="A233" i="8"/>
  <c r="A188" i="8"/>
  <c r="A173" i="8"/>
  <c r="A128" i="8"/>
  <c r="A113" i="8"/>
  <c r="A98" i="8"/>
  <c r="A68" i="8"/>
  <c r="A53" i="8"/>
  <c r="A38" i="8"/>
  <c r="A23" i="8"/>
  <c r="A8" i="8"/>
  <c r="A2046" i="8"/>
  <c r="A2031" i="8"/>
  <c r="A2016" i="8"/>
  <c r="A2001" i="8"/>
  <c r="A1986" i="8"/>
  <c r="A1971" i="8"/>
  <c r="A1956" i="8"/>
  <c r="A1941" i="8"/>
  <c r="A1926" i="8"/>
  <c r="A1911" i="8"/>
  <c r="A1896" i="8"/>
  <c r="A1888" i="8"/>
  <c r="A1886" i="8"/>
  <c r="A1885" i="8"/>
  <c r="A1866" i="8"/>
  <c r="A1851" i="8"/>
  <c r="A1836" i="8"/>
  <c r="A1821" i="8"/>
  <c r="A1806" i="8"/>
  <c r="A1791" i="8"/>
  <c r="A1776" i="8"/>
  <c r="A1761" i="8"/>
  <c r="A1746" i="8"/>
  <c r="A1731" i="8"/>
  <c r="A1716" i="8"/>
  <c r="A1701" i="8"/>
  <c r="A1686" i="8"/>
  <c r="A1671" i="8"/>
  <c r="A1656" i="8"/>
  <c r="A1641" i="8"/>
  <c r="A1626" i="8"/>
  <c r="A1611" i="8"/>
  <c r="A1596" i="8"/>
  <c r="A1581" i="8"/>
  <c r="A1566" i="8"/>
  <c r="A1551" i="8"/>
  <c r="A1536" i="8"/>
  <c r="A1521" i="8"/>
  <c r="A1506" i="8"/>
  <c r="A1491" i="8"/>
  <c r="A1476" i="8"/>
  <c r="A1461" i="8"/>
  <c r="A1468" i="8" s="1"/>
  <c r="A1446" i="8"/>
  <c r="A1431" i="8"/>
  <c r="A1416" i="8"/>
  <c r="A1401" i="8"/>
  <c r="A1386" i="8"/>
  <c r="A1371" i="8"/>
  <c r="A1356" i="8"/>
  <c r="A1341" i="8"/>
  <c r="A1326" i="8"/>
  <c r="A1311" i="8"/>
  <c r="A1296" i="8"/>
  <c r="A1281" i="8"/>
  <c r="A1266" i="8"/>
  <c r="A1251" i="8"/>
  <c r="A1236" i="8"/>
  <c r="A1221" i="8"/>
  <c r="A1206" i="8"/>
  <c r="A1191" i="8"/>
  <c r="A1176" i="8"/>
  <c r="A1161" i="8"/>
  <c r="A1146" i="8"/>
  <c r="A1131" i="8"/>
  <c r="A1116" i="8"/>
  <c r="A1101" i="8"/>
  <c r="A1086" i="8"/>
  <c r="A1071" i="8"/>
  <c r="A1056" i="8"/>
  <c r="A1041" i="8"/>
  <c r="A1026" i="8"/>
  <c r="A1011" i="8"/>
  <c r="A996" i="8"/>
  <c r="A981" i="8"/>
  <c r="A966" i="8"/>
  <c r="A951" i="8"/>
  <c r="A936" i="8"/>
  <c r="A921" i="8"/>
  <c r="A906" i="8"/>
  <c r="A891" i="8"/>
  <c r="A876" i="8"/>
  <c r="A861" i="8"/>
  <c r="A846" i="8"/>
  <c r="A831" i="8"/>
  <c r="A816" i="8"/>
  <c r="A801" i="8"/>
  <c r="A786" i="8"/>
  <c r="A771" i="8"/>
  <c r="A756" i="8"/>
  <c r="A741" i="8"/>
  <c r="A726" i="8"/>
  <c r="A711" i="8"/>
  <c r="A696" i="8"/>
  <c r="A681" i="8"/>
  <c r="A666" i="8"/>
  <c r="A651" i="8"/>
  <c r="A636" i="8"/>
  <c r="A621" i="8"/>
  <c r="A606" i="8"/>
  <c r="A591" i="8"/>
  <c r="A576" i="8"/>
  <c r="A561" i="8"/>
  <c r="A546" i="8"/>
  <c r="A531" i="8"/>
  <c r="A516" i="8"/>
  <c r="A501" i="8"/>
  <c r="A486" i="8"/>
  <c r="A471" i="8"/>
  <c r="A456" i="8"/>
  <c r="A441" i="8"/>
  <c r="A426" i="8"/>
  <c r="A411" i="8"/>
  <c r="A396" i="8"/>
  <c r="A381" i="8"/>
  <c r="A366" i="8"/>
  <c r="A351" i="8"/>
  <c r="A336" i="8"/>
  <c r="A321" i="8"/>
  <c r="A306" i="8"/>
  <c r="A291" i="8"/>
  <c r="A276" i="8"/>
  <c r="A261" i="8"/>
  <c r="A246" i="8"/>
  <c r="A231" i="8"/>
  <c r="A216" i="8"/>
  <c r="A201" i="8"/>
  <c r="A186" i="8"/>
  <c r="A171" i="8"/>
  <c r="A156" i="8"/>
  <c r="A141" i="8"/>
  <c r="A126" i="8"/>
  <c r="A111" i="8"/>
  <c r="A96" i="8"/>
  <c r="A81" i="8"/>
  <c r="A66" i="8"/>
  <c r="A51" i="8"/>
  <c r="A58" i="8" s="1"/>
  <c r="A36" i="8"/>
  <c r="A21" i="8"/>
  <c r="G72" i="7"/>
  <c r="A6" i="8"/>
  <c r="C10" i="1"/>
  <c r="C9" i="1"/>
  <c r="J1502" i="8"/>
  <c r="J1502" i="8" a="1"/>
  <c r="I1502" i="8" a="1"/>
  <c r="I1502" i="8" s="1"/>
  <c r="J1501" i="8"/>
  <c r="J1501" i="8" a="1"/>
  <c r="I1501" i="8" a="1"/>
  <c r="I1501" i="8" s="1"/>
  <c r="J1500" i="8"/>
  <c r="J1500" i="8" a="1"/>
  <c r="I1500" i="8" a="1"/>
  <c r="I1500" i="8" s="1"/>
  <c r="J1499" i="8"/>
  <c r="J1499" i="8" a="1"/>
  <c r="I1499" i="8" a="1"/>
  <c r="I1499" i="8" s="1"/>
  <c r="J1498" i="8"/>
  <c r="J1498" i="8" a="1"/>
  <c r="I1498" i="8" a="1"/>
  <c r="I1498" i="8" s="1"/>
  <c r="J1497" i="8"/>
  <c r="J1497" i="8" a="1"/>
  <c r="I1497" i="8" a="1"/>
  <c r="I1497" i="8" s="1"/>
  <c r="J1496" i="8"/>
  <c r="J1496" i="8" a="1"/>
  <c r="I1496" i="8" a="1"/>
  <c r="I1496" i="8" s="1"/>
  <c r="J1495" i="8"/>
  <c r="J1495" i="8" a="1"/>
  <c r="I1495" i="8" a="1"/>
  <c r="I1495" i="8" s="1"/>
  <c r="J1494" i="8"/>
  <c r="J1494" i="8" a="1"/>
  <c r="I1494" i="8" a="1"/>
  <c r="I1494" i="8" s="1"/>
  <c r="J1493" i="8"/>
  <c r="J1493" i="8" a="1"/>
  <c r="I1493" i="8" a="1"/>
  <c r="I1493" i="8" s="1"/>
  <c r="J1492" i="8"/>
  <c r="J1492" i="8" a="1"/>
  <c r="I1492" i="8" a="1"/>
  <c r="I1492" i="8" s="1"/>
  <c r="J1491" i="8"/>
  <c r="J1491" i="8" a="1"/>
  <c r="I1491" i="8" a="1"/>
  <c r="I1491" i="8" s="1"/>
  <c r="J1490" i="8"/>
  <c r="J1490" i="8" a="1"/>
  <c r="I1490" i="8" a="1"/>
  <c r="I1490" i="8" s="1"/>
  <c r="J1489" i="8"/>
  <c r="J1489" i="8" a="1"/>
  <c r="I1489" i="8" a="1"/>
  <c r="I1489" i="8" s="1"/>
  <c r="A1488" i="8"/>
  <c r="A1473" i="8"/>
  <c r="A1458" i="8"/>
  <c r="A1443" i="8"/>
  <c r="A1428" i="8"/>
  <c r="A1413" i="8"/>
  <c r="A1398" i="8"/>
  <c r="A1383" i="8"/>
  <c r="A1368" i="8"/>
  <c r="A1353" i="8"/>
  <c r="A1338" i="8"/>
  <c r="A1323" i="8"/>
  <c r="A1308" i="8"/>
  <c r="A1293" i="8"/>
  <c r="A1278" i="8"/>
  <c r="A1263" i="8"/>
  <c r="A1248" i="8"/>
  <c r="A1233" i="8"/>
  <c r="A1218" i="8"/>
  <c r="A1203" i="8"/>
  <c r="A1188" i="8"/>
  <c r="A1173" i="8"/>
  <c r="A1158" i="8"/>
  <c r="A1143" i="8"/>
  <c r="A1128" i="8"/>
  <c r="A1113" i="8"/>
  <c r="A1098" i="8"/>
  <c r="A1083" i="8"/>
  <c r="A1068" i="8"/>
  <c r="A1053" i="8"/>
  <c r="A1038" i="8"/>
  <c r="A1023" i="8"/>
  <c r="A1008" i="8"/>
  <c r="A993" i="8"/>
  <c r="A978" i="8"/>
  <c r="A963" i="8"/>
  <c r="A948" i="8"/>
  <c r="A933" i="8"/>
  <c r="A918" i="8"/>
  <c r="A903" i="8"/>
  <c r="A888" i="8"/>
  <c r="A873" i="8"/>
  <c r="A858" i="8"/>
  <c r="A843" i="8"/>
  <c r="A828" i="8"/>
  <c r="A813" i="8"/>
  <c r="A798" i="8"/>
  <c r="A783" i="8"/>
  <c r="A768" i="8"/>
  <c r="A753" i="8"/>
  <c r="A738" i="8"/>
  <c r="A723" i="8"/>
  <c r="A708" i="8"/>
  <c r="A693" i="8"/>
  <c r="A678" i="8"/>
  <c r="A663" i="8"/>
  <c r="A648" i="8"/>
  <c r="A633" i="8"/>
  <c r="A618" i="8"/>
  <c r="A603" i="8"/>
  <c r="A588" i="8"/>
  <c r="A573" i="8"/>
  <c r="A558" i="8"/>
  <c r="A543" i="8"/>
  <c r="A528" i="8"/>
  <c r="A513" i="8"/>
  <c r="A498" i="8"/>
  <c r="A483" i="8"/>
  <c r="A468" i="8"/>
  <c r="A453" i="8"/>
  <c r="A438" i="8"/>
  <c r="A423" i="8"/>
  <c r="A408" i="8"/>
  <c r="A393" i="8"/>
  <c r="A378" i="8"/>
  <c r="A363" i="8"/>
  <c r="A348" i="8"/>
  <c r="A333" i="8"/>
  <c r="A318" i="8"/>
  <c r="A303" i="8"/>
  <c r="A288" i="8"/>
  <c r="A273" i="8"/>
  <c r="A258" i="8"/>
  <c r="A243" i="8"/>
  <c r="A228" i="8"/>
  <c r="A213" i="8"/>
  <c r="A198" i="8"/>
  <c r="A183" i="8"/>
  <c r="A168" i="8"/>
  <c r="A153" i="8"/>
  <c r="A138" i="8"/>
  <c r="A123" i="8"/>
  <c r="A108" i="8"/>
  <c r="A93" i="8"/>
  <c r="A78" i="8"/>
  <c r="A63" i="8"/>
  <c r="A48" i="8"/>
  <c r="A33" i="8"/>
  <c r="A18" i="8"/>
  <c r="J7" i="8"/>
  <c r="B1" i="8" s="1"/>
  <c r="A1969" i="8" s="1"/>
  <c r="H4" i="8" a="1"/>
  <c r="H4" i="8" s="1"/>
  <c r="A3" i="8"/>
  <c r="N1" i="5"/>
  <c r="B80" i="7"/>
  <c r="C80" i="7" s="1"/>
  <c r="B77" i="7"/>
  <c r="C77" i="7" s="1"/>
  <c r="B76" i="7"/>
  <c r="C76" i="7" s="1"/>
  <c r="B71" i="7"/>
  <c r="C71" i="7" s="1"/>
  <c r="B69" i="7"/>
  <c r="C69" i="7" s="1"/>
  <c r="B68" i="7"/>
  <c r="C68" i="7" s="1"/>
  <c r="B66" i="7"/>
  <c r="C66" i="7" s="1"/>
  <c r="B60" i="7"/>
  <c r="B58" i="7"/>
  <c r="B57" i="7"/>
  <c r="C57" i="7" s="1"/>
  <c r="B56" i="7"/>
  <c r="B50" i="7"/>
  <c r="C50" i="7" s="1"/>
  <c r="B49" i="7"/>
  <c r="B48" i="7"/>
  <c r="B47" i="7"/>
  <c r="B43" i="7"/>
  <c r="C43" i="7" s="1"/>
  <c r="B41" i="7"/>
  <c r="C41" i="7" s="1"/>
  <c r="B40" i="7"/>
  <c r="C40" i="7" s="1"/>
  <c r="B38" i="7"/>
  <c r="C38" i="7" s="1"/>
  <c r="B35" i="7"/>
  <c r="C35" i="7" s="1"/>
  <c r="B34" i="7"/>
  <c r="C34" i="7" s="1"/>
  <c r="B32" i="7"/>
  <c r="C32" i="7" s="1"/>
  <c r="B27" i="7"/>
  <c r="C27" i="7" s="1"/>
  <c r="B22" i="7"/>
  <c r="B12" i="7"/>
  <c r="B10" i="7"/>
  <c r="B7" i="7"/>
  <c r="C7" i="7" s="1"/>
  <c r="B6" i="7"/>
  <c r="C6" i="7" s="1"/>
  <c r="K400" i="3"/>
  <c r="G400" i="3"/>
  <c r="L400" i="3" s="1"/>
  <c r="E400" i="3"/>
  <c r="F400" i="3" s="1"/>
  <c r="K399" i="3"/>
  <c r="G399" i="3"/>
  <c r="L399" i="3" s="1"/>
  <c r="E399" i="3"/>
  <c r="F399" i="3" s="1"/>
  <c r="K398" i="3"/>
  <c r="G398" i="3"/>
  <c r="L398" i="3" s="1"/>
  <c r="E398" i="3"/>
  <c r="F398" i="3" s="1"/>
  <c r="K397" i="3"/>
  <c r="G397" i="3"/>
  <c r="L397" i="3" s="1"/>
  <c r="E397" i="3"/>
  <c r="F397" i="3" s="1"/>
  <c r="K396" i="3"/>
  <c r="K395" i="3"/>
  <c r="K394" i="3"/>
  <c r="K393" i="3"/>
  <c r="E393" i="3"/>
  <c r="F393" i="3" s="1"/>
  <c r="K392" i="3"/>
  <c r="B392" i="3"/>
  <c r="K391" i="3"/>
  <c r="B391" i="3"/>
  <c r="K390" i="3"/>
  <c r="B390" i="3"/>
  <c r="G390" i="3" s="1"/>
  <c r="L390" i="3" s="1"/>
  <c r="K389" i="3"/>
  <c r="B389" i="3"/>
  <c r="K388" i="3"/>
  <c r="B388" i="3"/>
  <c r="K387" i="3"/>
  <c r="B387" i="3"/>
  <c r="K386" i="3"/>
  <c r="B386" i="3"/>
  <c r="K385" i="3"/>
  <c r="B385" i="3"/>
  <c r="K384" i="3"/>
  <c r="B384" i="3"/>
  <c r="E384" i="3" s="1"/>
  <c r="F384" i="3" s="1"/>
  <c r="K383" i="3"/>
  <c r="B383" i="3"/>
  <c r="K382" i="3"/>
  <c r="B382" i="3"/>
  <c r="K381" i="3"/>
  <c r="B381" i="3"/>
  <c r="E381" i="3" s="1"/>
  <c r="F381" i="3" s="1"/>
  <c r="K380" i="3"/>
  <c r="B380" i="3"/>
  <c r="K379" i="3"/>
  <c r="B379" i="3"/>
  <c r="K378" i="3"/>
  <c r="B378" i="3"/>
  <c r="K377" i="3"/>
  <c r="B377" i="3"/>
  <c r="K376" i="3"/>
  <c r="B376" i="3"/>
  <c r="K375" i="3"/>
  <c r="B375" i="3"/>
  <c r="K374" i="3"/>
  <c r="B374" i="3"/>
  <c r="K373" i="3"/>
  <c r="B373" i="3"/>
  <c r="K372" i="3"/>
  <c r="B372" i="3"/>
  <c r="G372" i="3" s="1"/>
  <c r="L372" i="3" s="1"/>
  <c r="K371" i="3"/>
  <c r="B371" i="3"/>
  <c r="K370" i="3"/>
  <c r="B370" i="3"/>
  <c r="K369" i="3"/>
  <c r="B369" i="3"/>
  <c r="G369" i="3" s="1"/>
  <c r="L369" i="3" s="1"/>
  <c r="K368" i="3"/>
  <c r="B368" i="3"/>
  <c r="K367" i="3"/>
  <c r="B367" i="3"/>
  <c r="K366" i="3"/>
  <c r="B366" i="3"/>
  <c r="E366" i="3" s="1"/>
  <c r="F366" i="3" s="1"/>
  <c r="K365" i="3"/>
  <c r="B365" i="3"/>
  <c r="K364" i="3"/>
  <c r="B364" i="3"/>
  <c r="K363" i="3"/>
  <c r="B363" i="3"/>
  <c r="E363" i="3" s="1"/>
  <c r="F363" i="3" s="1"/>
  <c r="K362" i="3"/>
  <c r="B362" i="3"/>
  <c r="K361" i="3"/>
  <c r="B361" i="3"/>
  <c r="K360" i="3"/>
  <c r="B360" i="3"/>
  <c r="G360" i="3" s="1"/>
  <c r="L360" i="3" s="1"/>
  <c r="K359" i="3"/>
  <c r="B359" i="3"/>
  <c r="K358" i="3"/>
  <c r="B358" i="3"/>
  <c r="K357" i="3"/>
  <c r="B357" i="3"/>
  <c r="K356" i="3"/>
  <c r="B356" i="3"/>
  <c r="K355" i="3"/>
  <c r="B355" i="3"/>
  <c r="K354" i="3"/>
  <c r="B354" i="3"/>
  <c r="K353" i="3"/>
  <c r="B353" i="3"/>
  <c r="K352" i="3"/>
  <c r="B352" i="3"/>
  <c r="K351" i="3"/>
  <c r="B351" i="3"/>
  <c r="G351" i="3" s="1"/>
  <c r="L351" i="3" s="1"/>
  <c r="K350" i="3"/>
  <c r="B350" i="3"/>
  <c r="K349" i="3"/>
  <c r="B349" i="3"/>
  <c r="K348" i="3"/>
  <c r="B348" i="3"/>
  <c r="K347" i="3"/>
  <c r="K346" i="3"/>
  <c r="K345" i="3"/>
  <c r="K344" i="3"/>
  <c r="B344" i="3"/>
  <c r="K343" i="3"/>
  <c r="B343" i="3"/>
  <c r="K342" i="3"/>
  <c r="B342" i="3"/>
  <c r="G342" i="3" s="1"/>
  <c r="L342" i="3" s="1"/>
  <c r="K341" i="3"/>
  <c r="B341" i="3"/>
  <c r="K340" i="3"/>
  <c r="B340" i="3"/>
  <c r="K339" i="3"/>
  <c r="B339" i="3"/>
  <c r="K338" i="3"/>
  <c r="B338" i="3"/>
  <c r="K337" i="3"/>
  <c r="B337" i="3"/>
  <c r="K336" i="3"/>
  <c r="B336" i="3"/>
  <c r="G336" i="3" s="1"/>
  <c r="L336" i="3" s="1"/>
  <c r="K335" i="3"/>
  <c r="B335" i="3"/>
  <c r="K334" i="3"/>
  <c r="B334" i="3"/>
  <c r="K333" i="3"/>
  <c r="B333" i="3"/>
  <c r="G333" i="3" s="1"/>
  <c r="L333" i="3" s="1"/>
  <c r="K332" i="3"/>
  <c r="B332" i="3"/>
  <c r="K331" i="3"/>
  <c r="B331" i="3"/>
  <c r="K330" i="3"/>
  <c r="B330" i="3"/>
  <c r="K329" i="3"/>
  <c r="B329" i="3"/>
  <c r="K328" i="3"/>
  <c r="B328" i="3"/>
  <c r="K327" i="3"/>
  <c r="B327" i="3"/>
  <c r="G327" i="3" s="1"/>
  <c r="L327" i="3" s="1"/>
  <c r="K326" i="3"/>
  <c r="B326" i="3"/>
  <c r="K325" i="3"/>
  <c r="B325" i="3"/>
  <c r="K324" i="3"/>
  <c r="B324" i="3"/>
  <c r="G324" i="3" s="1"/>
  <c r="L324" i="3" s="1"/>
  <c r="K323" i="3"/>
  <c r="B323" i="3"/>
  <c r="K322" i="3"/>
  <c r="B322" i="3"/>
  <c r="K321" i="3"/>
  <c r="B321" i="3"/>
  <c r="K320" i="3"/>
  <c r="B320" i="3"/>
  <c r="K319" i="3"/>
  <c r="B319" i="3"/>
  <c r="K318" i="3"/>
  <c r="B318" i="3"/>
  <c r="G318" i="3" s="1"/>
  <c r="L318" i="3" s="1"/>
  <c r="K317" i="3"/>
  <c r="B317" i="3"/>
  <c r="K316" i="3"/>
  <c r="B316" i="3"/>
  <c r="K315" i="3"/>
  <c r="B315" i="3"/>
  <c r="G315" i="3" s="1"/>
  <c r="L315" i="3" s="1"/>
  <c r="K314" i="3"/>
  <c r="B314" i="3"/>
  <c r="K313" i="3"/>
  <c r="B313" i="3"/>
  <c r="K312" i="3"/>
  <c r="B312" i="3"/>
  <c r="K311" i="3"/>
  <c r="B311" i="3"/>
  <c r="K310" i="3"/>
  <c r="B310" i="3"/>
  <c r="K309" i="3"/>
  <c r="B309" i="3"/>
  <c r="G309" i="3" s="1"/>
  <c r="L309" i="3" s="1"/>
  <c r="K308" i="3"/>
  <c r="B308" i="3"/>
  <c r="K307" i="3"/>
  <c r="B307" i="3"/>
  <c r="K306" i="3"/>
  <c r="B306" i="3"/>
  <c r="G306" i="3" s="1"/>
  <c r="L306" i="3" s="1"/>
  <c r="K305" i="3"/>
  <c r="B305" i="3"/>
  <c r="G305" i="3" s="1"/>
  <c r="L305" i="3" s="1"/>
  <c r="K304" i="3"/>
  <c r="B304" i="3"/>
  <c r="K303" i="3"/>
  <c r="B303" i="3"/>
  <c r="E303" i="3" s="1"/>
  <c r="F303" i="3" s="1"/>
  <c r="K302" i="3"/>
  <c r="B302" i="3"/>
  <c r="E302" i="3" s="1"/>
  <c r="F302" i="3" s="1"/>
  <c r="K301" i="3"/>
  <c r="B301" i="3"/>
  <c r="E301" i="3" s="1"/>
  <c r="F301" i="3" s="1"/>
  <c r="K300" i="3"/>
  <c r="B300" i="3"/>
  <c r="K299" i="3"/>
  <c r="B299" i="3"/>
  <c r="G299" i="3" s="1"/>
  <c r="L299" i="3" s="1"/>
  <c r="K298" i="3"/>
  <c r="B298" i="3"/>
  <c r="K297" i="3"/>
  <c r="B297" i="3"/>
  <c r="G297" i="3" s="1"/>
  <c r="L297" i="3" s="1"/>
  <c r="K296" i="3"/>
  <c r="B296" i="3"/>
  <c r="K295" i="3"/>
  <c r="B295" i="3"/>
  <c r="G295" i="3" s="1"/>
  <c r="L295" i="3" s="1"/>
  <c r="K294" i="3"/>
  <c r="B294" i="3"/>
  <c r="K293" i="3"/>
  <c r="B293" i="3"/>
  <c r="K292" i="3"/>
  <c r="B292" i="3"/>
  <c r="E292" i="3" s="1"/>
  <c r="F292" i="3" s="1"/>
  <c r="K291" i="3"/>
  <c r="B291" i="3"/>
  <c r="G291" i="3" s="1"/>
  <c r="L291" i="3" s="1"/>
  <c r="K290" i="3"/>
  <c r="B290" i="3"/>
  <c r="E290" i="3" s="1"/>
  <c r="F290" i="3" s="1"/>
  <c r="K289" i="3"/>
  <c r="B289" i="3"/>
  <c r="E289" i="3" s="1"/>
  <c r="F289" i="3" s="1"/>
  <c r="K288" i="3"/>
  <c r="B288" i="3"/>
  <c r="K287" i="3"/>
  <c r="B287" i="3"/>
  <c r="E287" i="3" s="1"/>
  <c r="F287" i="3" s="1"/>
  <c r="K286" i="3"/>
  <c r="B286" i="3"/>
  <c r="E286" i="3" s="1"/>
  <c r="F286" i="3" s="1"/>
  <c r="K285" i="3"/>
  <c r="B285" i="3"/>
  <c r="G285" i="3" s="1"/>
  <c r="L285" i="3" s="1"/>
  <c r="K284" i="3"/>
  <c r="B284" i="3"/>
  <c r="K283" i="3"/>
  <c r="B283" i="3"/>
  <c r="E283" i="3" s="1"/>
  <c r="F283" i="3" s="1"/>
  <c r="K282" i="3"/>
  <c r="B282" i="3"/>
  <c r="G282" i="3" s="1"/>
  <c r="L282" i="3" s="1"/>
  <c r="K281" i="3"/>
  <c r="B281" i="3"/>
  <c r="K280" i="3"/>
  <c r="B280" i="3"/>
  <c r="K279" i="3"/>
  <c r="B279" i="3"/>
  <c r="E279" i="3" s="1"/>
  <c r="F279" i="3" s="1"/>
  <c r="K278" i="3"/>
  <c r="G278" i="3"/>
  <c r="L278" i="3" s="1"/>
  <c r="K277" i="3"/>
  <c r="B277" i="3"/>
  <c r="K276" i="3"/>
  <c r="G276" i="3"/>
  <c r="L276" i="3" s="1"/>
  <c r="K275" i="3"/>
  <c r="B275" i="3"/>
  <c r="G275" i="3" s="1"/>
  <c r="L275" i="3" s="1"/>
  <c r="K274" i="3"/>
  <c r="B274" i="3"/>
  <c r="K273" i="3"/>
  <c r="B273" i="3"/>
  <c r="K272" i="3"/>
  <c r="B272" i="3"/>
  <c r="G272" i="3" s="1"/>
  <c r="L272" i="3" s="1"/>
  <c r="K271" i="3"/>
  <c r="B271" i="3"/>
  <c r="E271" i="3" s="1"/>
  <c r="F271" i="3" s="1"/>
  <c r="K270" i="3"/>
  <c r="B270" i="3"/>
  <c r="E270" i="3" s="1"/>
  <c r="F270" i="3" s="1"/>
  <c r="K269" i="3"/>
  <c r="G269" i="3"/>
  <c r="L269" i="3" s="1"/>
  <c r="K268" i="3"/>
  <c r="B268" i="3"/>
  <c r="K267" i="3"/>
  <c r="B267" i="3"/>
  <c r="E267" i="3" s="1"/>
  <c r="F267" i="3" s="1"/>
  <c r="K266" i="3"/>
  <c r="E266" i="3"/>
  <c r="F266" i="3" s="1"/>
  <c r="K265" i="3"/>
  <c r="B265" i="3"/>
  <c r="E265" i="3" s="1"/>
  <c r="F265" i="3" s="1"/>
  <c r="K264" i="3"/>
  <c r="B264" i="3"/>
  <c r="E264" i="3" s="1"/>
  <c r="F264" i="3" s="1"/>
  <c r="K263" i="3"/>
  <c r="B263" i="3"/>
  <c r="G263" i="3" s="1"/>
  <c r="L263" i="3" s="1"/>
  <c r="K262" i="3"/>
  <c r="B262" i="3"/>
  <c r="K261" i="3"/>
  <c r="B261" i="3"/>
  <c r="K260" i="3"/>
  <c r="B260" i="3"/>
  <c r="G260" i="3" s="1"/>
  <c r="L260" i="3" s="1"/>
  <c r="K259" i="3"/>
  <c r="B259" i="3"/>
  <c r="K258" i="3"/>
  <c r="B258" i="3"/>
  <c r="G258" i="3" s="1"/>
  <c r="L258" i="3" s="1"/>
  <c r="K257" i="3"/>
  <c r="B257" i="3"/>
  <c r="E257" i="3" s="1"/>
  <c r="F257" i="3" s="1"/>
  <c r="K256" i="3"/>
  <c r="B256" i="3"/>
  <c r="K255" i="3"/>
  <c r="B255" i="3"/>
  <c r="K254" i="3"/>
  <c r="B254" i="3"/>
  <c r="K253" i="3"/>
  <c r="B253" i="3"/>
  <c r="E253" i="3" s="1"/>
  <c r="F253" i="3" s="1"/>
  <c r="K252" i="3"/>
  <c r="B252" i="3"/>
  <c r="K251" i="3"/>
  <c r="B251" i="3"/>
  <c r="K250" i="3"/>
  <c r="B250" i="3"/>
  <c r="E250" i="3" s="1"/>
  <c r="F250" i="3" s="1"/>
  <c r="K249" i="3"/>
  <c r="B249" i="3"/>
  <c r="G249" i="3" s="1"/>
  <c r="L249" i="3" s="1"/>
  <c r="K248" i="3"/>
  <c r="B248" i="3"/>
  <c r="G248" i="3" s="1"/>
  <c r="L248" i="3" s="1"/>
  <c r="K247" i="3"/>
  <c r="B247" i="3"/>
  <c r="G247" i="3" s="1"/>
  <c r="L247" i="3" s="1"/>
  <c r="K246" i="3"/>
  <c r="B246" i="3"/>
  <c r="G246" i="3" s="1"/>
  <c r="L246" i="3" s="1"/>
  <c r="K245" i="3"/>
  <c r="B245" i="3"/>
  <c r="K244" i="3"/>
  <c r="B244" i="3"/>
  <c r="G244" i="3" s="1"/>
  <c r="L244" i="3" s="1"/>
  <c r="K243" i="3"/>
  <c r="B243" i="3"/>
  <c r="K242" i="3"/>
  <c r="B242" i="3"/>
  <c r="G242" i="3" s="1"/>
  <c r="L242" i="3" s="1"/>
  <c r="K241" i="3"/>
  <c r="B241" i="3"/>
  <c r="K240" i="3"/>
  <c r="B240" i="3"/>
  <c r="E240" i="3" s="1"/>
  <c r="F240" i="3" s="1"/>
  <c r="K239" i="3"/>
  <c r="B239" i="3"/>
  <c r="E239" i="3" s="1"/>
  <c r="F239" i="3" s="1"/>
  <c r="K238" i="3"/>
  <c r="B238" i="3"/>
  <c r="G238" i="3" s="1"/>
  <c r="L238" i="3" s="1"/>
  <c r="K237" i="3"/>
  <c r="B237" i="3"/>
  <c r="K236" i="3"/>
  <c r="B236" i="3"/>
  <c r="K235" i="3"/>
  <c r="B235" i="3"/>
  <c r="K234" i="3"/>
  <c r="B234" i="3"/>
  <c r="E234" i="3" s="1"/>
  <c r="F234" i="3" s="1"/>
  <c r="K233" i="3"/>
  <c r="B233" i="3"/>
  <c r="K232" i="3"/>
  <c r="B232" i="3"/>
  <c r="K231" i="3"/>
  <c r="B231" i="3"/>
  <c r="K230" i="3"/>
  <c r="B230" i="3"/>
  <c r="K229" i="3"/>
  <c r="B229" i="3"/>
  <c r="G229" i="3" s="1"/>
  <c r="L229" i="3" s="1"/>
  <c r="K228" i="3"/>
  <c r="B228" i="3"/>
  <c r="K227" i="3"/>
  <c r="B227" i="3"/>
  <c r="K226" i="3"/>
  <c r="B226" i="3"/>
  <c r="E226" i="3" s="1"/>
  <c r="F226" i="3" s="1"/>
  <c r="K225" i="3"/>
  <c r="B225" i="3"/>
  <c r="K224" i="3"/>
  <c r="B224" i="3"/>
  <c r="G224" i="3" s="1"/>
  <c r="L224" i="3" s="1"/>
  <c r="K223" i="3"/>
  <c r="B223" i="3"/>
  <c r="E223" i="3" s="1"/>
  <c r="F223" i="3" s="1"/>
  <c r="K222" i="3"/>
  <c r="B222" i="3"/>
  <c r="E222" i="3" s="1"/>
  <c r="F222" i="3" s="1"/>
  <c r="K221" i="3"/>
  <c r="B221" i="3"/>
  <c r="K220" i="3"/>
  <c r="B220" i="3"/>
  <c r="K219" i="3"/>
  <c r="B219" i="3"/>
  <c r="E219" i="3" s="1"/>
  <c r="F219" i="3" s="1"/>
  <c r="K218" i="3"/>
  <c r="B218" i="3"/>
  <c r="E218" i="3" s="1"/>
  <c r="F218" i="3" s="1"/>
  <c r="K217" i="3"/>
  <c r="B217" i="3"/>
  <c r="K216" i="3"/>
  <c r="B216" i="3"/>
  <c r="K215" i="3"/>
  <c r="B215" i="3"/>
  <c r="K214" i="3"/>
  <c r="B214" i="3"/>
  <c r="E214" i="3" s="1"/>
  <c r="F214" i="3" s="1"/>
  <c r="K213" i="3"/>
  <c r="B213" i="3"/>
  <c r="G213" i="3" s="1"/>
  <c r="L213" i="3" s="1"/>
  <c r="K212" i="3"/>
  <c r="B212" i="3"/>
  <c r="K211" i="3"/>
  <c r="B211" i="3"/>
  <c r="G211" i="3" s="1"/>
  <c r="L211" i="3" s="1"/>
  <c r="K210" i="3"/>
  <c r="B210" i="3"/>
  <c r="G210" i="3" s="1"/>
  <c r="L210" i="3" s="1"/>
  <c r="K209" i="3"/>
  <c r="B209" i="3"/>
  <c r="K208" i="3"/>
  <c r="B208" i="3"/>
  <c r="K207" i="3"/>
  <c r="B207" i="3"/>
  <c r="G207" i="3" s="1"/>
  <c r="L207" i="3" s="1"/>
  <c r="K206" i="3"/>
  <c r="B206" i="3"/>
  <c r="G206" i="3" s="1"/>
  <c r="L206" i="3" s="1"/>
  <c r="K205" i="3"/>
  <c r="B205" i="3"/>
  <c r="K204" i="3"/>
  <c r="B204" i="3"/>
  <c r="G204" i="3" s="1"/>
  <c r="L204" i="3" s="1"/>
  <c r="K203" i="3"/>
  <c r="B203" i="3"/>
  <c r="E203" i="3" s="1"/>
  <c r="F203" i="3" s="1"/>
  <c r="K202" i="3"/>
  <c r="B202" i="3"/>
  <c r="K201" i="3"/>
  <c r="B201" i="3"/>
  <c r="G201" i="3" s="1"/>
  <c r="L201" i="3" s="1"/>
  <c r="K200" i="3"/>
  <c r="B200" i="3"/>
  <c r="K199" i="3"/>
  <c r="B199" i="3"/>
  <c r="E199" i="3" s="1"/>
  <c r="F199" i="3" s="1"/>
  <c r="K198" i="3"/>
  <c r="G198" i="3"/>
  <c r="L198" i="3" s="1"/>
  <c r="E198" i="3"/>
  <c r="F198" i="3" s="1"/>
  <c r="K197" i="3"/>
  <c r="B197" i="3"/>
  <c r="K196" i="3"/>
  <c r="B196" i="3"/>
  <c r="E196" i="3" s="1"/>
  <c r="F196" i="3" s="1"/>
  <c r="K195" i="3"/>
  <c r="B195" i="3"/>
  <c r="K194" i="3"/>
  <c r="B194" i="3"/>
  <c r="G194" i="3" s="1"/>
  <c r="L194" i="3" s="1"/>
  <c r="K193" i="3"/>
  <c r="B193" i="3"/>
  <c r="K192" i="3"/>
  <c r="B192" i="3"/>
  <c r="G192" i="3" s="1"/>
  <c r="L192" i="3" s="1"/>
  <c r="K191" i="3"/>
  <c r="B191" i="3"/>
  <c r="G191" i="3" s="1"/>
  <c r="L191" i="3" s="1"/>
  <c r="K190" i="3"/>
  <c r="B190" i="3"/>
  <c r="G190" i="3" s="1"/>
  <c r="L190" i="3" s="1"/>
  <c r="K189" i="3"/>
  <c r="K188" i="3"/>
  <c r="B188" i="3"/>
  <c r="K187" i="3"/>
  <c r="B187" i="3"/>
  <c r="K186" i="3"/>
  <c r="B186" i="3"/>
  <c r="K185" i="3"/>
  <c r="B185" i="3"/>
  <c r="E185" i="3" s="1"/>
  <c r="F185" i="3" s="1"/>
  <c r="K184" i="3"/>
  <c r="E184" i="3"/>
  <c r="F184" i="3" s="1"/>
  <c r="K183" i="3"/>
  <c r="B183" i="3"/>
  <c r="G183" i="3" s="1"/>
  <c r="L183" i="3" s="1"/>
  <c r="K182" i="3"/>
  <c r="B182" i="3"/>
  <c r="E182" i="3" s="1"/>
  <c r="F182" i="3" s="1"/>
  <c r="K181" i="3"/>
  <c r="B181" i="3"/>
  <c r="G181" i="3" s="1"/>
  <c r="L181" i="3" s="1"/>
  <c r="K180" i="3"/>
  <c r="E180" i="3"/>
  <c r="F180" i="3" s="1"/>
  <c r="G180" i="3"/>
  <c r="L180" i="3" s="1"/>
  <c r="K179" i="3"/>
  <c r="G179" i="3"/>
  <c r="L179" i="3" s="1"/>
  <c r="K178" i="3"/>
  <c r="B178" i="3"/>
  <c r="E178" i="3" s="1"/>
  <c r="F178" i="3" s="1"/>
  <c r="K177" i="3"/>
  <c r="B177" i="3"/>
  <c r="E177" i="3" s="1"/>
  <c r="F177" i="3" s="1"/>
  <c r="K176" i="3"/>
  <c r="B176" i="3"/>
  <c r="K175" i="3"/>
  <c r="B175" i="3"/>
  <c r="G175" i="3" s="1"/>
  <c r="L175" i="3" s="1"/>
  <c r="K174" i="3"/>
  <c r="B174" i="3"/>
  <c r="G174" i="3" s="1"/>
  <c r="L174" i="3" s="1"/>
  <c r="K173" i="3"/>
  <c r="B173" i="3"/>
  <c r="E173" i="3" s="1"/>
  <c r="F173" i="3" s="1"/>
  <c r="K172" i="3"/>
  <c r="B172" i="3"/>
  <c r="K171" i="3"/>
  <c r="B171" i="3"/>
  <c r="E171" i="3" s="1"/>
  <c r="F171" i="3" s="1"/>
  <c r="K170" i="3"/>
  <c r="B170" i="3"/>
  <c r="K169" i="3"/>
  <c r="B169" i="3"/>
  <c r="E169" i="3" s="1"/>
  <c r="F169" i="3" s="1"/>
  <c r="K168" i="3"/>
  <c r="B168" i="3"/>
  <c r="G168" i="3" s="1"/>
  <c r="L168" i="3" s="1"/>
  <c r="K167" i="3"/>
  <c r="B167" i="3"/>
  <c r="E167" i="3" s="1"/>
  <c r="F167" i="3" s="1"/>
  <c r="K166" i="3"/>
  <c r="B166" i="3"/>
  <c r="K165" i="3"/>
  <c r="B165" i="3"/>
  <c r="K164" i="3"/>
  <c r="B164" i="3"/>
  <c r="K163" i="3"/>
  <c r="B163" i="3"/>
  <c r="K162" i="3"/>
  <c r="B162" i="3"/>
  <c r="K161" i="3"/>
  <c r="B161" i="3"/>
  <c r="E161" i="3" s="1"/>
  <c r="F161" i="3" s="1"/>
  <c r="K160" i="3"/>
  <c r="B160" i="3"/>
  <c r="K159" i="3"/>
  <c r="B159" i="3"/>
  <c r="E159" i="3" s="1"/>
  <c r="F159" i="3" s="1"/>
  <c r="K158" i="3"/>
  <c r="B158" i="3"/>
  <c r="G158" i="3" s="1"/>
  <c r="L158" i="3" s="1"/>
  <c r="K157" i="3"/>
  <c r="B157" i="3"/>
  <c r="G157" i="3" s="1"/>
  <c r="L157" i="3" s="1"/>
  <c r="K156" i="3"/>
  <c r="B156" i="3"/>
  <c r="G156" i="3" s="1"/>
  <c r="L156" i="3" s="1"/>
  <c r="K155" i="3"/>
  <c r="B155" i="3"/>
  <c r="K154" i="3"/>
  <c r="B154" i="3"/>
  <c r="G154" i="3" s="1"/>
  <c r="L154" i="3" s="1"/>
  <c r="K153" i="3"/>
  <c r="B153" i="3"/>
  <c r="K152" i="3"/>
  <c r="B152" i="3"/>
  <c r="K151" i="3"/>
  <c r="B151" i="3"/>
  <c r="G151" i="3" s="1"/>
  <c r="L151" i="3" s="1"/>
  <c r="K150" i="3"/>
  <c r="B150" i="3"/>
  <c r="K149" i="3"/>
  <c r="B149" i="3"/>
  <c r="E149" i="3" s="1"/>
  <c r="F149" i="3" s="1"/>
  <c r="K148" i="3"/>
  <c r="B148" i="3"/>
  <c r="E148" i="3" s="1"/>
  <c r="F148" i="3" s="1"/>
  <c r="K147" i="3"/>
  <c r="B147" i="3"/>
  <c r="G147" i="3" s="1"/>
  <c r="L147" i="3" s="1"/>
  <c r="K146" i="3"/>
  <c r="B146" i="3"/>
  <c r="K145" i="3"/>
  <c r="B145" i="3"/>
  <c r="G145" i="3" s="1"/>
  <c r="L145" i="3" s="1"/>
  <c r="K144" i="3"/>
  <c r="B144" i="3"/>
  <c r="E144" i="3" s="1"/>
  <c r="F144" i="3" s="1"/>
  <c r="K143" i="3"/>
  <c r="B143" i="3"/>
  <c r="K142" i="3"/>
  <c r="B142" i="3"/>
  <c r="G142" i="3" s="1"/>
  <c r="L142" i="3" s="1"/>
  <c r="K141" i="3"/>
  <c r="B141" i="3"/>
  <c r="E141" i="3" s="1"/>
  <c r="F141" i="3" s="1"/>
  <c r="K140" i="3"/>
  <c r="B140" i="3"/>
  <c r="K139" i="3"/>
  <c r="B139" i="3"/>
  <c r="K138" i="3"/>
  <c r="B138" i="3"/>
  <c r="G138" i="3" s="1"/>
  <c r="L138" i="3" s="1"/>
  <c r="K137" i="3"/>
  <c r="B137" i="3"/>
  <c r="K136" i="3"/>
  <c r="B136" i="3"/>
  <c r="K135" i="3"/>
  <c r="B135" i="3"/>
  <c r="B134" i="3"/>
  <c r="B133" i="3"/>
  <c r="B132" i="3"/>
  <c r="G132" i="3" s="1"/>
  <c r="B131" i="3"/>
  <c r="B130" i="3"/>
  <c r="B129" i="3"/>
  <c r="B128" i="3"/>
  <c r="E128" i="3" s="1"/>
  <c r="F128" i="3" s="1"/>
  <c r="B127" i="3"/>
  <c r="G127" i="3" s="1"/>
  <c r="B126" i="3"/>
  <c r="B125" i="3"/>
  <c r="B124" i="3"/>
  <c r="B123" i="3"/>
  <c r="B122" i="3"/>
  <c r="B121" i="3"/>
  <c r="E121" i="3" s="1"/>
  <c r="F121" i="3" s="1"/>
  <c r="B120" i="3"/>
  <c r="E120" i="3" s="1"/>
  <c r="F120" i="3" s="1"/>
  <c r="B119" i="3"/>
  <c r="G119" i="3" s="1"/>
  <c r="B118" i="3"/>
  <c r="B117" i="3"/>
  <c r="G117" i="3" s="1"/>
  <c r="B116" i="3"/>
  <c r="G116" i="3" s="1"/>
  <c r="B115" i="3"/>
  <c r="B114" i="3"/>
  <c r="E114" i="3" s="1"/>
  <c r="F114" i="3" s="1"/>
  <c r="B113" i="3"/>
  <c r="E113" i="3" s="1"/>
  <c r="F113" i="3" s="1"/>
  <c r="B112" i="3"/>
  <c r="B111" i="3"/>
  <c r="B110" i="3"/>
  <c r="E110" i="3" s="1"/>
  <c r="F110" i="3" s="1"/>
  <c r="B109" i="3"/>
  <c r="B108" i="3"/>
  <c r="B107" i="3"/>
  <c r="G107" i="3" s="1"/>
  <c r="B106" i="3"/>
  <c r="B105" i="3"/>
  <c r="E105" i="3" s="1"/>
  <c r="F105" i="3" s="1"/>
  <c r="B104" i="3"/>
  <c r="G104" i="3" s="1"/>
  <c r="B103" i="3"/>
  <c r="E103" i="3" s="1"/>
  <c r="F103" i="3" s="1"/>
  <c r="B102" i="3"/>
  <c r="E102" i="3" s="1"/>
  <c r="F102" i="3" s="1"/>
  <c r="B101" i="3"/>
  <c r="B100" i="3"/>
  <c r="B99" i="3"/>
  <c r="G98" i="3"/>
  <c r="E98" i="3"/>
  <c r="F98" i="3" s="1"/>
  <c r="B97" i="3"/>
  <c r="B96" i="3"/>
  <c r="B95" i="3"/>
  <c r="G95" i="3" s="1"/>
  <c r="E93" i="3"/>
  <c r="F93" i="3" s="1"/>
  <c r="B92" i="3"/>
  <c r="B91" i="3"/>
  <c r="B90" i="3"/>
  <c r="E90" i="3" s="1"/>
  <c r="F90" i="3" s="1"/>
  <c r="B89" i="3"/>
  <c r="B88" i="3"/>
  <c r="G88" i="3" s="1"/>
  <c r="B87" i="3"/>
  <c r="E87" i="3" s="1"/>
  <c r="F87" i="3" s="1"/>
  <c r="B86" i="3"/>
  <c r="G86" i="3" s="1"/>
  <c r="B85" i="3"/>
  <c r="G85" i="3" s="1"/>
  <c r="B84" i="3"/>
  <c r="G84" i="3" s="1"/>
  <c r="B83" i="3"/>
  <c r="G83" i="3" s="1"/>
  <c r="B82" i="3"/>
  <c r="G82" i="3" s="1"/>
  <c r="B81" i="3"/>
  <c r="G81" i="3" s="1"/>
  <c r="B80" i="3"/>
  <c r="B79" i="3"/>
  <c r="E79" i="3" s="1"/>
  <c r="F79" i="3" s="1"/>
  <c r="B78" i="3"/>
  <c r="B77" i="3"/>
  <c r="E77" i="3" s="1"/>
  <c r="F77" i="3" s="1"/>
  <c r="B76" i="3"/>
  <c r="G76" i="3" s="1"/>
  <c r="B75" i="3"/>
  <c r="B74" i="3"/>
  <c r="B73" i="3"/>
  <c r="E73" i="3" s="1"/>
  <c r="F73" i="3" s="1"/>
  <c r="B72" i="3"/>
  <c r="B71" i="3"/>
  <c r="G71" i="3" s="1"/>
  <c r="B70" i="3"/>
  <c r="E70" i="3" s="1"/>
  <c r="F70" i="3" s="1"/>
  <c r="B69" i="3"/>
  <c r="B68" i="3"/>
  <c r="B67" i="3"/>
  <c r="G67" i="3" s="1"/>
  <c r="B66" i="3"/>
  <c r="B65" i="3"/>
  <c r="G65" i="3" s="1"/>
  <c r="B64" i="3"/>
  <c r="B63" i="3"/>
  <c r="G63" i="3" s="1"/>
  <c r="B62" i="3"/>
  <c r="B61" i="3"/>
  <c r="B60" i="3"/>
  <c r="B59" i="3"/>
  <c r="B58" i="3"/>
  <c r="B57" i="3"/>
  <c r="G57" i="3" s="1"/>
  <c r="B56" i="3"/>
  <c r="B55" i="3"/>
  <c r="B54" i="3"/>
  <c r="B53" i="3"/>
  <c r="B52" i="3"/>
  <c r="G52" i="3" s="1"/>
  <c r="BF51" i="3"/>
  <c r="B51" i="3"/>
  <c r="BF50" i="3"/>
  <c r="B50" i="3"/>
  <c r="E50" i="3" s="1"/>
  <c r="F50" i="3" s="1"/>
  <c r="B49" i="3"/>
  <c r="B48" i="3"/>
  <c r="G48" i="3" s="1"/>
  <c r="B47" i="3"/>
  <c r="B46" i="3"/>
  <c r="E46" i="3" s="1"/>
  <c r="F46" i="3" s="1"/>
  <c r="B45" i="3"/>
  <c r="B44" i="3"/>
  <c r="G44" i="3" s="1"/>
  <c r="B43" i="3"/>
  <c r="B42" i="3"/>
  <c r="B41" i="3"/>
  <c r="G41" i="3" s="1"/>
  <c r="B40" i="3"/>
  <c r="G40" i="3" s="1"/>
  <c r="G39" i="3"/>
  <c r="B38" i="3"/>
  <c r="B37" i="3"/>
  <c r="B36" i="3"/>
  <c r="E36" i="3" s="1"/>
  <c r="F36" i="3" s="1"/>
  <c r="B35" i="3"/>
  <c r="E35" i="3" s="1"/>
  <c r="F35" i="3" s="1"/>
  <c r="B34" i="3"/>
  <c r="B33" i="3"/>
  <c r="E33" i="3" s="1"/>
  <c r="F33" i="3" s="1"/>
  <c r="B32" i="3"/>
  <c r="G32" i="3" s="1"/>
  <c r="B31" i="3"/>
  <c r="B30" i="3"/>
  <c r="G30" i="3" s="1"/>
  <c r="B29" i="3"/>
  <c r="G29" i="3" s="1"/>
  <c r="B28" i="3"/>
  <c r="B27" i="3"/>
  <c r="G26" i="3"/>
  <c r="E26" i="3"/>
  <c r="F26" i="3" s="1"/>
  <c r="B25" i="3"/>
  <c r="B24" i="3"/>
  <c r="B23" i="3"/>
  <c r="B22" i="3"/>
  <c r="E22" i="3" s="1"/>
  <c r="F22" i="3" s="1"/>
  <c r="B21" i="3"/>
  <c r="G21" i="3" s="1"/>
  <c r="B20" i="3"/>
  <c r="G20" i="3" s="1"/>
  <c r="B19" i="3"/>
  <c r="B18" i="3"/>
  <c r="B17" i="3"/>
  <c r="G17" i="3" s="1"/>
  <c r="B16" i="3"/>
  <c r="B15" i="3"/>
  <c r="B13" i="3"/>
  <c r="B12" i="3"/>
  <c r="B11" i="3"/>
  <c r="G11" i="3" s="1"/>
  <c r="B10" i="3"/>
  <c r="B9" i="3"/>
  <c r="B8" i="3"/>
  <c r="G7" i="3"/>
  <c r="E7" i="3"/>
  <c r="F7" i="3" s="1"/>
  <c r="B6" i="3"/>
  <c r="E5" i="3"/>
  <c r="F5" i="3" s="1"/>
  <c r="B4" i="3"/>
  <c r="G2" i="3"/>
  <c r="F2" i="3"/>
  <c r="C18" i="1"/>
  <c r="BF41" i="3"/>
  <c r="BF40" i="3"/>
  <c r="BF39" i="3"/>
  <c r="BF38" i="3"/>
  <c r="BF37" i="3"/>
  <c r="BF36" i="3"/>
  <c r="H72" i="7" l="1"/>
  <c r="H29" i="7"/>
  <c r="H28" i="7"/>
  <c r="H39" i="7"/>
  <c r="H42" i="7"/>
  <c r="H67" i="7"/>
  <c r="H70" i="7"/>
  <c r="H13" i="7"/>
  <c r="H18" i="7"/>
  <c r="H24" i="7"/>
  <c r="H4" i="7"/>
  <c r="H44" i="7"/>
  <c r="H65" i="7"/>
  <c r="H2" i="7"/>
  <c r="H30" i="7"/>
  <c r="H74" i="7"/>
  <c r="H21" i="7"/>
  <c r="H25" i="7"/>
  <c r="H31" i="7"/>
  <c r="H36" i="7"/>
  <c r="H17" i="7"/>
  <c r="H79" i="7"/>
  <c r="H33" i="7"/>
  <c r="H37" i="7"/>
  <c r="H3" i="7"/>
  <c r="H26" i="7"/>
  <c r="H5" i="7"/>
  <c r="H16" i="7"/>
  <c r="H23" i="7"/>
  <c r="H20" i="7"/>
  <c r="H64" i="7"/>
  <c r="S316" i="3"/>
  <c r="S89" i="3"/>
  <c r="S269" i="3"/>
  <c r="S30" i="3"/>
  <c r="S222" i="3"/>
  <c r="S366" i="3"/>
  <c r="S103" i="3"/>
  <c r="S247" i="3"/>
  <c r="S391" i="3"/>
  <c r="S116" i="3"/>
  <c r="S272" i="3"/>
  <c r="S326" i="3"/>
  <c r="S141" i="3"/>
  <c r="S297" i="3"/>
  <c r="S22" i="3"/>
  <c r="S166" i="3"/>
  <c r="S310" i="3"/>
  <c r="S35" i="3"/>
  <c r="S215" i="3"/>
  <c r="S359" i="3"/>
  <c r="S132" i="3"/>
  <c r="S300" i="3"/>
  <c r="S194" i="3"/>
  <c r="S109" i="3"/>
  <c r="S277" i="3"/>
  <c r="S50" i="3"/>
  <c r="S87" i="3"/>
  <c r="S255" i="3"/>
  <c r="S399" i="3"/>
  <c r="S136" i="3"/>
  <c r="S292" i="3"/>
  <c r="S113" i="3"/>
  <c r="S293" i="3"/>
  <c r="S54" i="3"/>
  <c r="S246" i="3"/>
  <c r="S390" i="3"/>
  <c r="S127" i="3"/>
  <c r="S271" i="3"/>
  <c r="S290" i="3"/>
  <c r="S140" i="3"/>
  <c r="S296" i="3"/>
  <c r="S21" i="3"/>
  <c r="S165" i="3"/>
  <c r="S321" i="3"/>
  <c r="S46" i="3"/>
  <c r="S190" i="3"/>
  <c r="S334" i="3"/>
  <c r="S59" i="3"/>
  <c r="S239" i="3"/>
  <c r="S383" i="3"/>
  <c r="S156" i="3"/>
  <c r="S324" i="3"/>
  <c r="S242" i="3"/>
  <c r="S145" i="3"/>
  <c r="S301" i="3"/>
  <c r="S230" i="3"/>
  <c r="S111" i="3"/>
  <c r="S279" i="3"/>
  <c r="S338" i="3"/>
  <c r="S160" i="3"/>
  <c r="C58" i="7"/>
  <c r="S17" i="3"/>
  <c r="S123" i="3"/>
  <c r="S182" i="3"/>
  <c r="S18" i="3"/>
  <c r="S133" i="3"/>
  <c r="S192" i="3"/>
  <c r="S19" i="3"/>
  <c r="S143" i="3"/>
  <c r="S201" i="3"/>
  <c r="S96" i="3"/>
  <c r="S23" i="3"/>
  <c r="S149" i="3"/>
  <c r="S206" i="3"/>
  <c r="S181" i="3"/>
  <c r="S27" i="3"/>
  <c r="S155" i="3"/>
  <c r="S210" i="3"/>
  <c r="S40" i="3"/>
  <c r="S161" i="3"/>
  <c r="S243" i="3"/>
  <c r="S52" i="3"/>
  <c r="S162" i="3"/>
  <c r="S268" i="3"/>
  <c r="S14" i="3"/>
  <c r="S60" i="3"/>
  <c r="S164" i="3"/>
  <c r="S66" i="3"/>
  <c r="S168" i="3"/>
  <c r="S5" i="3"/>
  <c r="S73" i="3"/>
  <c r="S173" i="3"/>
  <c r="S6" i="3"/>
  <c r="S95" i="3"/>
  <c r="S174" i="3"/>
  <c r="S101" i="3"/>
  <c r="S281" i="3"/>
  <c r="S42" i="3"/>
  <c r="S234" i="3"/>
  <c r="S378" i="3"/>
  <c r="S115" i="3"/>
  <c r="S259" i="3"/>
  <c r="S98" i="3"/>
  <c r="S128" i="3"/>
  <c r="S284" i="3"/>
  <c r="S9" i="3"/>
  <c r="S153" i="3"/>
  <c r="S309" i="3"/>
  <c r="S34" i="3"/>
  <c r="S178" i="3"/>
  <c r="S322" i="3"/>
  <c r="S47" i="3"/>
  <c r="S227" i="3"/>
  <c r="S371" i="3"/>
  <c r="S144" i="3"/>
  <c r="S312" i="3"/>
  <c r="S218" i="3"/>
  <c r="S121" i="3"/>
  <c r="S289" i="3"/>
  <c r="S74" i="3"/>
  <c r="S99" i="3"/>
  <c r="S267" i="3"/>
  <c r="S134" i="3"/>
  <c r="S148" i="3"/>
  <c r="S304" i="3"/>
  <c r="S125" i="3"/>
  <c r="S305" i="3"/>
  <c r="S78" i="3"/>
  <c r="S258" i="3"/>
  <c r="S122" i="3"/>
  <c r="S139" i="3"/>
  <c r="S283" i="3"/>
  <c r="S8" i="3"/>
  <c r="S152" i="3"/>
  <c r="S308" i="3"/>
  <c r="S33" i="3"/>
  <c r="S177" i="3"/>
  <c r="S333" i="3"/>
  <c r="S58" i="3"/>
  <c r="S202" i="3"/>
  <c r="S346" i="3"/>
  <c r="S71" i="3"/>
  <c r="S251" i="3"/>
  <c r="S395" i="3"/>
  <c r="S180" i="3"/>
  <c r="S336" i="3"/>
  <c r="S266" i="3"/>
  <c r="S157" i="3"/>
  <c r="S313" i="3"/>
  <c r="S254" i="3"/>
  <c r="S135" i="3"/>
  <c r="S291" i="3"/>
  <c r="S4" i="3"/>
  <c r="S172" i="3"/>
  <c r="S328" i="3"/>
  <c r="S137" i="3"/>
  <c r="S317" i="3"/>
  <c r="S90" i="3"/>
  <c r="S270" i="3"/>
  <c r="S362" i="3"/>
  <c r="S151" i="3"/>
  <c r="S295" i="3"/>
  <c r="S20" i="3"/>
  <c r="S176" i="3"/>
  <c r="S320" i="3"/>
  <c r="S45" i="3"/>
  <c r="S189" i="3"/>
  <c r="S345" i="3"/>
  <c r="S70" i="3"/>
  <c r="S214" i="3"/>
  <c r="S358" i="3"/>
  <c r="S83" i="3"/>
  <c r="S263" i="3"/>
  <c r="S12" i="3"/>
  <c r="S204" i="3"/>
  <c r="S348" i="3"/>
  <c r="S314" i="3"/>
  <c r="S169" i="3"/>
  <c r="S325" i="3"/>
  <c r="S278" i="3"/>
  <c r="S147" i="3"/>
  <c r="S303" i="3"/>
  <c r="S16" i="3"/>
  <c r="S184" i="3"/>
  <c r="S340" i="3"/>
  <c r="S185" i="3"/>
  <c r="S329" i="3"/>
  <c r="S102" i="3"/>
  <c r="S282" i="3"/>
  <c r="S7" i="3"/>
  <c r="S163" i="3"/>
  <c r="S307" i="3"/>
  <c r="S32" i="3"/>
  <c r="S188" i="3"/>
  <c r="S332" i="3"/>
  <c r="S57" i="3"/>
  <c r="S213" i="3"/>
  <c r="S357" i="3"/>
  <c r="S82" i="3"/>
  <c r="S226" i="3"/>
  <c r="S370" i="3"/>
  <c r="S107" i="3"/>
  <c r="S275" i="3"/>
  <c r="S24" i="3"/>
  <c r="S216" i="3"/>
  <c r="S360" i="3"/>
  <c r="S13" i="3"/>
  <c r="S193" i="3"/>
  <c r="S337" i="3"/>
  <c r="S386" i="3"/>
  <c r="S159" i="3"/>
  <c r="S315" i="3"/>
  <c r="S28" i="3"/>
  <c r="S196" i="3"/>
  <c r="S352" i="3"/>
  <c r="S197" i="3"/>
  <c r="S341" i="3"/>
  <c r="S114" i="3"/>
  <c r="S294" i="3"/>
  <c r="S31" i="3"/>
  <c r="S175" i="3"/>
  <c r="S319" i="3"/>
  <c r="S44" i="3"/>
  <c r="S200" i="3"/>
  <c r="S344" i="3"/>
  <c r="S69" i="3"/>
  <c r="S225" i="3"/>
  <c r="S369" i="3"/>
  <c r="S94" i="3"/>
  <c r="S238" i="3"/>
  <c r="S382" i="3"/>
  <c r="S119" i="3"/>
  <c r="S287" i="3"/>
  <c r="S36" i="3"/>
  <c r="S228" i="3"/>
  <c r="S372" i="3"/>
  <c r="S25" i="3"/>
  <c r="S205" i="3"/>
  <c r="S349" i="3"/>
  <c r="S3" i="3"/>
  <c r="S171" i="3"/>
  <c r="S327" i="3"/>
  <c r="S64" i="3"/>
  <c r="S208" i="3"/>
  <c r="S364" i="3"/>
  <c r="S29" i="3"/>
  <c r="S209" i="3"/>
  <c r="S353" i="3"/>
  <c r="S126" i="3"/>
  <c r="S306" i="3"/>
  <c r="S43" i="3"/>
  <c r="S187" i="3"/>
  <c r="S331" i="3"/>
  <c r="S56" i="3"/>
  <c r="S212" i="3"/>
  <c r="S356" i="3"/>
  <c r="S81" i="3"/>
  <c r="S237" i="3"/>
  <c r="S381" i="3"/>
  <c r="S106" i="3"/>
  <c r="S250" i="3"/>
  <c r="S394" i="3"/>
  <c r="S131" i="3"/>
  <c r="S299" i="3"/>
  <c r="S48" i="3"/>
  <c r="S240" i="3"/>
  <c r="S384" i="3"/>
  <c r="S37" i="3"/>
  <c r="S217" i="3"/>
  <c r="S361" i="3"/>
  <c r="S15" i="3"/>
  <c r="S183" i="3"/>
  <c r="S339" i="3"/>
  <c r="S76" i="3"/>
  <c r="S220" i="3"/>
  <c r="S376" i="3"/>
  <c r="S41" i="3"/>
  <c r="S221" i="3"/>
  <c r="S365" i="3"/>
  <c r="S138" i="3"/>
  <c r="S318" i="3"/>
  <c r="S55" i="3"/>
  <c r="S199" i="3"/>
  <c r="S343" i="3"/>
  <c r="S68" i="3"/>
  <c r="S224" i="3"/>
  <c r="S368" i="3"/>
  <c r="S93" i="3"/>
  <c r="S249" i="3"/>
  <c r="S393" i="3"/>
  <c r="S118" i="3"/>
  <c r="S262" i="3"/>
  <c r="S170" i="3"/>
  <c r="S167" i="3"/>
  <c r="S311" i="3"/>
  <c r="S72" i="3"/>
  <c r="S252" i="3"/>
  <c r="S396" i="3"/>
  <c r="S49" i="3"/>
  <c r="S229" i="3"/>
  <c r="S373" i="3"/>
  <c r="S39" i="3"/>
  <c r="S195" i="3"/>
  <c r="S351" i="3"/>
  <c r="S88" i="3"/>
  <c r="S232" i="3"/>
  <c r="S388" i="3"/>
  <c r="S53" i="3"/>
  <c r="S233" i="3"/>
  <c r="S377" i="3"/>
  <c r="S150" i="3"/>
  <c r="S330" i="3"/>
  <c r="S67" i="3"/>
  <c r="S211" i="3"/>
  <c r="S355" i="3"/>
  <c r="S80" i="3"/>
  <c r="S236" i="3"/>
  <c r="S380" i="3"/>
  <c r="S105" i="3"/>
  <c r="S261" i="3"/>
  <c r="S158" i="3"/>
  <c r="S130" i="3"/>
  <c r="S274" i="3"/>
  <c r="S302" i="3"/>
  <c r="S179" i="3"/>
  <c r="S323" i="3"/>
  <c r="S84" i="3"/>
  <c r="S264" i="3"/>
  <c r="S26" i="3"/>
  <c r="S61" i="3"/>
  <c r="S241" i="3"/>
  <c r="S385" i="3"/>
  <c r="S51" i="3"/>
  <c r="S207" i="3"/>
  <c r="S363" i="3"/>
  <c r="S100" i="3"/>
  <c r="S244" i="3"/>
  <c r="S400" i="3"/>
  <c r="S65" i="3"/>
  <c r="S245" i="3"/>
  <c r="S389" i="3"/>
  <c r="S186" i="3"/>
  <c r="S342" i="3"/>
  <c r="S79" i="3"/>
  <c r="S223" i="3"/>
  <c r="S367" i="3"/>
  <c r="S92" i="3"/>
  <c r="S248" i="3"/>
  <c r="S392" i="3"/>
  <c r="S117" i="3"/>
  <c r="S273" i="3"/>
  <c r="S374" i="3"/>
  <c r="S142" i="3"/>
  <c r="S286" i="3"/>
  <c r="S398" i="3"/>
  <c r="S191" i="3"/>
  <c r="S335" i="3"/>
  <c r="S108" i="3"/>
  <c r="S276" i="3"/>
  <c r="S62" i="3"/>
  <c r="S85" i="3"/>
  <c r="S253" i="3"/>
  <c r="S397" i="3"/>
  <c r="S63" i="3"/>
  <c r="S219" i="3"/>
  <c r="S375" i="3"/>
  <c r="S112" i="3"/>
  <c r="S256" i="3"/>
  <c r="S110" i="3"/>
  <c r="S77" i="3"/>
  <c r="S257" i="3"/>
  <c r="S2" i="3"/>
  <c r="S198" i="3"/>
  <c r="S354" i="3"/>
  <c r="S91" i="3"/>
  <c r="S235" i="3"/>
  <c r="S379" i="3"/>
  <c r="S104" i="3"/>
  <c r="S260" i="3"/>
  <c r="S146" i="3"/>
  <c r="S129" i="3"/>
  <c r="S285" i="3"/>
  <c r="S10" i="3"/>
  <c r="S154" i="3"/>
  <c r="S298" i="3"/>
  <c r="S11" i="3"/>
  <c r="S203" i="3"/>
  <c r="S347" i="3"/>
  <c r="S120" i="3"/>
  <c r="S288" i="3"/>
  <c r="S86" i="3"/>
  <c r="S97" i="3"/>
  <c r="S265" i="3"/>
  <c r="S38" i="3"/>
  <c r="S75" i="3"/>
  <c r="S231" i="3"/>
  <c r="S387" i="3"/>
  <c r="S124" i="3"/>
  <c r="S280" i="3"/>
  <c r="S350" i="3"/>
  <c r="G47" i="7"/>
  <c r="C47" i="7"/>
  <c r="G48" i="7"/>
  <c r="C48" i="7"/>
  <c r="G12" i="7"/>
  <c r="C12" i="7"/>
  <c r="G49" i="7"/>
  <c r="C49" i="7"/>
  <c r="G22" i="7"/>
  <c r="C22" i="7"/>
  <c r="G10" i="7"/>
  <c r="C10" i="7"/>
  <c r="G56" i="7"/>
  <c r="C56" i="7"/>
  <c r="G60" i="7"/>
  <c r="C60" i="7"/>
  <c r="E38" i="7"/>
  <c r="J38" i="7" s="1"/>
  <c r="E40" i="7"/>
  <c r="J40" i="7" s="1"/>
  <c r="E68" i="7"/>
  <c r="J68" i="7" s="1"/>
  <c r="E41" i="7"/>
  <c r="J41" i="7" s="1"/>
  <c r="E69" i="7"/>
  <c r="J69" i="7" s="1"/>
  <c r="E43" i="7"/>
  <c r="J43" i="7" s="1"/>
  <c r="E71" i="7"/>
  <c r="J71" i="7" s="1"/>
  <c r="E76" i="7"/>
  <c r="J76" i="7" s="1"/>
  <c r="E32" i="7"/>
  <c r="J32" i="7" s="1"/>
  <c r="E77" i="7"/>
  <c r="J77" i="7" s="1"/>
  <c r="E7" i="7"/>
  <c r="J7" i="7" s="1"/>
  <c r="E80" i="7"/>
  <c r="J80" i="7" s="1"/>
  <c r="E27" i="7"/>
  <c r="J27" i="7" s="1"/>
  <c r="E34" i="7"/>
  <c r="J34" i="7" s="1"/>
  <c r="E35" i="7"/>
  <c r="J35" i="7" s="1"/>
  <c r="E66" i="7"/>
  <c r="J66" i="7" s="1"/>
  <c r="G50" i="7"/>
  <c r="A2053" i="8"/>
  <c r="A2051" i="8"/>
  <c r="A2050" i="8"/>
  <c r="A2038" i="8"/>
  <c r="A2036" i="8"/>
  <c r="A2035" i="8"/>
  <c r="A2023" i="8"/>
  <c r="A2021" i="8"/>
  <c r="A2020" i="8"/>
  <c r="A2008" i="8"/>
  <c r="A2006" i="8"/>
  <c r="A2005" i="8"/>
  <c r="A2010" i="8"/>
  <c r="A1890" i="8"/>
  <c r="I127" i="3" s="1"/>
  <c r="A1993" i="8"/>
  <c r="A1991" i="8"/>
  <c r="A1990" i="8"/>
  <c r="A1978" i="8"/>
  <c r="A1976" i="8"/>
  <c r="A1975" i="8"/>
  <c r="A1963" i="8"/>
  <c r="A1961" i="8"/>
  <c r="A1960" i="8"/>
  <c r="A1965" i="8"/>
  <c r="I132" i="3" s="1"/>
  <c r="A1950" i="8"/>
  <c r="I131" i="3" s="1"/>
  <c r="A1948" i="8"/>
  <c r="A1946" i="8"/>
  <c r="A1945" i="8"/>
  <c r="A1933" i="8"/>
  <c r="A1931" i="8"/>
  <c r="A1930" i="8"/>
  <c r="A1935" i="8"/>
  <c r="I130" i="3" s="1"/>
  <c r="A1918" i="8"/>
  <c r="A1916" i="8"/>
  <c r="A1915" i="8"/>
  <c r="A1903" i="8"/>
  <c r="A1901" i="8"/>
  <c r="A1900" i="8"/>
  <c r="A1873" i="8"/>
  <c r="A1871" i="8"/>
  <c r="A1870" i="8"/>
  <c r="A1858" i="8"/>
  <c r="A1856" i="8"/>
  <c r="A1855" i="8"/>
  <c r="A1843" i="8"/>
  <c r="A1841" i="8"/>
  <c r="A1840" i="8"/>
  <c r="A1828" i="8"/>
  <c r="A1826" i="8"/>
  <c r="A1825" i="8"/>
  <c r="A1813" i="8"/>
  <c r="A1811" i="8"/>
  <c r="A1810" i="8"/>
  <c r="A1798" i="8"/>
  <c r="A1796" i="8"/>
  <c r="A1795" i="8"/>
  <c r="A1783" i="8"/>
  <c r="A1781" i="8"/>
  <c r="A1780" i="8"/>
  <c r="A1768" i="8"/>
  <c r="A1766" i="8"/>
  <c r="A1765" i="8"/>
  <c r="A1753" i="8"/>
  <c r="A1751" i="8"/>
  <c r="A1750" i="8"/>
  <c r="A1738" i="8"/>
  <c r="A1736" i="8"/>
  <c r="A1735" i="8"/>
  <c r="A1723" i="8"/>
  <c r="A1721" i="8"/>
  <c r="A1720" i="8"/>
  <c r="A1708" i="8"/>
  <c r="A1706" i="8"/>
  <c r="A1705" i="8"/>
  <c r="A1693" i="8"/>
  <c r="A1691" i="8"/>
  <c r="A1690" i="8"/>
  <c r="A1678" i="8"/>
  <c r="A1676" i="8"/>
  <c r="A1675" i="8"/>
  <c r="A1663" i="8"/>
  <c r="A1661" i="8"/>
  <c r="A1660" i="8"/>
  <c r="A1648" i="8"/>
  <c r="A1646" i="8"/>
  <c r="A1645" i="8"/>
  <c r="A1633" i="8"/>
  <c r="A1631" i="8"/>
  <c r="A1630" i="8"/>
  <c r="A1618" i="8"/>
  <c r="A1616" i="8"/>
  <c r="A1615" i="8"/>
  <c r="A1603" i="8"/>
  <c r="A1601" i="8"/>
  <c r="A1600" i="8"/>
  <c r="A1588" i="8"/>
  <c r="A1586" i="8"/>
  <c r="A1585" i="8"/>
  <c r="A1590" i="8"/>
  <c r="A1573" i="8"/>
  <c r="A1571" i="8"/>
  <c r="A1570" i="8"/>
  <c r="A1558" i="8"/>
  <c r="A1556" i="8"/>
  <c r="A1555" i="8"/>
  <c r="A1543" i="8"/>
  <c r="A1541" i="8"/>
  <c r="A1540" i="8"/>
  <c r="A1528" i="8"/>
  <c r="A1526" i="8"/>
  <c r="A1525" i="8"/>
  <c r="A1513" i="8"/>
  <c r="A1511" i="8"/>
  <c r="A1510" i="8"/>
  <c r="A1498" i="8"/>
  <c r="A1496" i="8"/>
  <c r="A1495" i="8"/>
  <c r="A1483" i="8"/>
  <c r="A1481" i="8"/>
  <c r="A1480" i="8"/>
  <c r="A1466" i="8"/>
  <c r="A1465" i="8"/>
  <c r="A1453" i="8"/>
  <c r="A1451" i="8"/>
  <c r="A1450" i="8"/>
  <c r="A1438" i="8"/>
  <c r="A1436" i="8"/>
  <c r="A1435" i="8"/>
  <c r="A1423" i="8"/>
  <c r="A1421" i="8"/>
  <c r="A1420" i="8"/>
  <c r="A1408" i="8"/>
  <c r="A1406" i="8"/>
  <c r="A1405" i="8"/>
  <c r="A1393" i="8"/>
  <c r="A1391" i="8"/>
  <c r="A1390" i="8"/>
  <c r="A1378" i="8"/>
  <c r="A1376" i="8"/>
  <c r="A1375" i="8"/>
  <c r="A1363" i="8"/>
  <c r="A1361" i="8"/>
  <c r="A1360" i="8"/>
  <c r="A1348" i="8"/>
  <c r="A1346" i="8"/>
  <c r="A1345" i="8"/>
  <c r="A1333" i="8"/>
  <c r="A1331" i="8"/>
  <c r="A1330" i="8"/>
  <c r="A1318" i="8"/>
  <c r="A1316" i="8"/>
  <c r="A1315" i="8"/>
  <c r="A1303" i="8"/>
  <c r="A1301" i="8"/>
  <c r="A1300" i="8"/>
  <c r="A1288" i="8"/>
  <c r="A1286" i="8"/>
  <c r="A1285" i="8"/>
  <c r="A1273" i="8"/>
  <c r="A1271" i="8"/>
  <c r="A1270" i="8"/>
  <c r="A1258" i="8"/>
  <c r="A1256" i="8"/>
  <c r="A1255" i="8"/>
  <c r="A1243" i="8"/>
  <c r="A1241" i="8"/>
  <c r="A1240" i="8"/>
  <c r="A1228" i="8"/>
  <c r="A1226" i="8"/>
  <c r="A1225" i="8"/>
  <c r="A1213" i="8"/>
  <c r="A1211" i="8"/>
  <c r="A1210" i="8"/>
  <c r="A1198" i="8"/>
  <c r="A1196" i="8"/>
  <c r="A1195" i="8"/>
  <c r="A1183" i="8"/>
  <c r="A1181" i="8"/>
  <c r="A1180" i="8"/>
  <c r="A1168" i="8"/>
  <c r="A1166" i="8"/>
  <c r="A1165" i="8"/>
  <c r="A1153" i="8"/>
  <c r="A1151" i="8"/>
  <c r="A1150" i="8"/>
  <c r="A1138" i="8"/>
  <c r="A1136" i="8"/>
  <c r="A1135" i="8"/>
  <c r="A1123" i="8"/>
  <c r="A1121" i="8"/>
  <c r="A1120" i="8"/>
  <c r="A1108" i="8"/>
  <c r="A1106" i="8"/>
  <c r="A1105" i="8"/>
  <c r="A1093" i="8"/>
  <c r="A1091" i="8"/>
  <c r="A1090" i="8"/>
  <c r="A1078" i="8"/>
  <c r="A1076" i="8"/>
  <c r="A1075" i="8"/>
  <c r="A1063" i="8"/>
  <c r="A1061" i="8"/>
  <c r="A1060" i="8"/>
  <c r="A1048" i="8"/>
  <c r="A1046" i="8"/>
  <c r="A1045" i="8"/>
  <c r="A1033" i="8"/>
  <c r="A1031" i="8"/>
  <c r="A1030" i="8"/>
  <c r="A1018" i="8"/>
  <c r="A1016" i="8"/>
  <c r="A1015" i="8"/>
  <c r="A1003" i="8"/>
  <c r="A1001" i="8"/>
  <c r="A1000" i="8"/>
  <c r="A988" i="8"/>
  <c r="A986" i="8"/>
  <c r="A985" i="8"/>
  <c r="A973" i="8"/>
  <c r="A971" i="8"/>
  <c r="A970" i="8"/>
  <c r="A958" i="8"/>
  <c r="A956" i="8"/>
  <c r="A955" i="8"/>
  <c r="A943" i="8"/>
  <c r="A941" i="8"/>
  <c r="A940" i="8"/>
  <c r="A928" i="8"/>
  <c r="A926" i="8"/>
  <c r="A925" i="8"/>
  <c r="A913" i="8"/>
  <c r="A911" i="8"/>
  <c r="A910" i="8"/>
  <c r="A898" i="8"/>
  <c r="A896" i="8"/>
  <c r="A895" i="8"/>
  <c r="A900" i="8"/>
  <c r="I61" i="3" s="1"/>
  <c r="A883" i="8"/>
  <c r="A881" i="8"/>
  <c r="A880" i="8"/>
  <c r="A868" i="8"/>
  <c r="A866" i="8"/>
  <c r="A865" i="8"/>
  <c r="A853" i="8"/>
  <c r="A851" i="8"/>
  <c r="A850" i="8"/>
  <c r="A838" i="8"/>
  <c r="A836" i="8"/>
  <c r="A835" i="8"/>
  <c r="A823" i="8"/>
  <c r="A821" i="8"/>
  <c r="A820" i="8"/>
  <c r="A808" i="8"/>
  <c r="A806" i="8"/>
  <c r="A805" i="8"/>
  <c r="A793" i="8"/>
  <c r="A791" i="8"/>
  <c r="A790" i="8"/>
  <c r="A778" i="8"/>
  <c r="A776" i="8"/>
  <c r="A775" i="8"/>
  <c r="A763" i="8"/>
  <c r="A761" i="8"/>
  <c r="A760" i="8"/>
  <c r="A748" i="8"/>
  <c r="A746" i="8"/>
  <c r="A745" i="8"/>
  <c r="A733" i="8"/>
  <c r="A731" i="8"/>
  <c r="A730" i="8"/>
  <c r="A718" i="8"/>
  <c r="A716" i="8"/>
  <c r="A715" i="8"/>
  <c r="A703" i="8"/>
  <c r="A701" i="8"/>
  <c r="A700" i="8"/>
  <c r="A688" i="8"/>
  <c r="A686" i="8"/>
  <c r="A685" i="8"/>
  <c r="A673" i="8"/>
  <c r="A671" i="8"/>
  <c r="A670" i="8"/>
  <c r="A658" i="8"/>
  <c r="A656" i="8"/>
  <c r="A655" i="8"/>
  <c r="A643" i="8"/>
  <c r="A641" i="8"/>
  <c r="A640" i="8"/>
  <c r="A628" i="8"/>
  <c r="A626" i="8"/>
  <c r="A625" i="8"/>
  <c r="A613" i="8"/>
  <c r="A611" i="8"/>
  <c r="A610" i="8"/>
  <c r="A598" i="8"/>
  <c r="A596" i="8"/>
  <c r="A595" i="8"/>
  <c r="A583" i="8"/>
  <c r="A581" i="8"/>
  <c r="A580" i="8"/>
  <c r="A568" i="8"/>
  <c r="A566" i="8"/>
  <c r="A565" i="8"/>
  <c r="A553" i="8"/>
  <c r="A551" i="8"/>
  <c r="A550" i="8"/>
  <c r="A538" i="8"/>
  <c r="A536" i="8"/>
  <c r="A535" i="8"/>
  <c r="A523" i="8"/>
  <c r="A521" i="8"/>
  <c r="A520" i="8"/>
  <c r="A508" i="8"/>
  <c r="A506" i="8"/>
  <c r="A505" i="8"/>
  <c r="A493" i="8"/>
  <c r="A491" i="8"/>
  <c r="A490" i="8"/>
  <c r="A478" i="8"/>
  <c r="A476" i="8"/>
  <c r="A475" i="8"/>
  <c r="A463" i="8"/>
  <c r="A461" i="8"/>
  <c r="A460" i="8"/>
  <c r="A448" i="8"/>
  <c r="A446" i="8"/>
  <c r="A445" i="8"/>
  <c r="A433" i="8"/>
  <c r="A431" i="8"/>
  <c r="A430" i="8"/>
  <c r="A435" i="8"/>
  <c r="I30" i="3" s="1"/>
  <c r="A418" i="8"/>
  <c r="A416" i="8"/>
  <c r="A415" i="8"/>
  <c r="A403" i="8"/>
  <c r="A401" i="8"/>
  <c r="A400" i="8"/>
  <c r="A388" i="8"/>
  <c r="A386" i="8"/>
  <c r="A385" i="8"/>
  <c r="A373" i="8"/>
  <c r="A371" i="8"/>
  <c r="A370" i="8"/>
  <c r="A375" i="8"/>
  <c r="A358" i="8"/>
  <c r="A356" i="8"/>
  <c r="A355" i="8"/>
  <c r="A360" i="8"/>
  <c r="A343" i="8"/>
  <c r="A341" i="8"/>
  <c r="A340" i="8"/>
  <c r="A345" i="8"/>
  <c r="I24" i="3" s="1"/>
  <c r="A328" i="8"/>
  <c r="A326" i="8"/>
  <c r="A325" i="8"/>
  <c r="A330" i="8"/>
  <c r="I23" i="3" s="1"/>
  <c r="K23" i="3" s="1"/>
  <c r="E52" i="7" s="1"/>
  <c r="J52" i="7" s="1"/>
  <c r="A313" i="8"/>
  <c r="A311" i="8"/>
  <c r="A310" i="8"/>
  <c r="A298" i="8"/>
  <c r="A296" i="8"/>
  <c r="A295" i="8"/>
  <c r="A283" i="8"/>
  <c r="A281" i="8"/>
  <c r="A280" i="8"/>
  <c r="A268" i="8"/>
  <c r="A266" i="8"/>
  <c r="A265" i="8"/>
  <c r="A253" i="8"/>
  <c r="A251" i="8"/>
  <c r="A250" i="8"/>
  <c r="A238" i="8"/>
  <c r="A236" i="8"/>
  <c r="A235" i="8"/>
  <c r="A223" i="8"/>
  <c r="A221" i="8"/>
  <c r="A220" i="8"/>
  <c r="A208" i="8"/>
  <c r="A206" i="8"/>
  <c r="A205" i="8"/>
  <c r="A193" i="8"/>
  <c r="A191" i="8"/>
  <c r="A190" i="8"/>
  <c r="A178" i="8"/>
  <c r="A176" i="8"/>
  <c r="A175" i="8"/>
  <c r="A163" i="8"/>
  <c r="A161" i="8"/>
  <c r="A160" i="8"/>
  <c r="A148" i="8"/>
  <c r="A146" i="8"/>
  <c r="A145" i="8"/>
  <c r="A133" i="8"/>
  <c r="A131" i="8"/>
  <c r="A130" i="8"/>
  <c r="A118" i="8"/>
  <c r="A116" i="8"/>
  <c r="A115" i="8"/>
  <c r="A103" i="8"/>
  <c r="A101" i="8"/>
  <c r="A100" i="8"/>
  <c r="A88" i="8"/>
  <c r="A86" i="8"/>
  <c r="A85" i="8"/>
  <c r="A56" i="8"/>
  <c r="A55" i="8"/>
  <c r="A73" i="8"/>
  <c r="A71" i="8"/>
  <c r="A70" i="8"/>
  <c r="A75" i="8"/>
  <c r="I6" i="3" s="1"/>
  <c r="A60" i="8"/>
  <c r="A43" i="8"/>
  <c r="A41" i="8"/>
  <c r="A40" i="8"/>
  <c r="A28" i="8"/>
  <c r="A26" i="8"/>
  <c r="A25" i="8"/>
  <c r="A17" i="8"/>
  <c r="A11" i="8"/>
  <c r="A2014" i="8"/>
  <c r="A1954" i="8"/>
  <c r="A1894" i="8"/>
  <c r="A1999" i="8"/>
  <c r="A1939" i="8"/>
  <c r="A1879" i="8"/>
  <c r="A2044" i="8"/>
  <c r="A1909" i="8"/>
  <c r="A1984" i="8"/>
  <c r="A1924" i="8"/>
  <c r="A2029" i="8"/>
  <c r="G292" i="3"/>
  <c r="L292" i="3" s="1"/>
  <c r="E138" i="3"/>
  <c r="F138" i="3" s="1"/>
  <c r="G33" i="3"/>
  <c r="E82" i="3"/>
  <c r="F82" i="3" s="1"/>
  <c r="E63" i="3"/>
  <c r="F63" i="3" s="1"/>
  <c r="G22" i="3"/>
  <c r="G79" i="3"/>
  <c r="E158" i="3"/>
  <c r="F158" i="3" s="1"/>
  <c r="E238" i="3"/>
  <c r="F238" i="3" s="1"/>
  <c r="G222" i="3"/>
  <c r="L222" i="3" s="1"/>
  <c r="G303" i="3"/>
  <c r="L303" i="3" s="1"/>
  <c r="G363" i="3"/>
  <c r="L363" i="3" s="1"/>
  <c r="G38" i="7"/>
  <c r="G41" i="7"/>
  <c r="G71" i="7"/>
  <c r="G27" i="7"/>
  <c r="G76" i="7"/>
  <c r="G57" i="7"/>
  <c r="G77" i="7"/>
  <c r="G58" i="7"/>
  <c r="G66" i="7"/>
  <c r="G40" i="7"/>
  <c r="G43" i="7"/>
  <c r="G7" i="7"/>
  <c r="G32" i="7"/>
  <c r="G80" i="7"/>
  <c r="G34" i="7"/>
  <c r="G35" i="7"/>
  <c r="G68" i="7"/>
  <c r="G69" i="7"/>
  <c r="A10" i="8"/>
  <c r="A13" i="8"/>
  <c r="G36" i="3"/>
  <c r="E191" i="3"/>
  <c r="F191" i="3" s="1"/>
  <c r="E285" i="3"/>
  <c r="F285" i="3" s="1"/>
  <c r="E85" i="3"/>
  <c r="F85" i="3" s="1"/>
  <c r="E372" i="3"/>
  <c r="F372" i="3" s="1"/>
  <c r="G110" i="3"/>
  <c r="E204" i="3"/>
  <c r="F204" i="3" s="1"/>
  <c r="G214" i="3"/>
  <c r="L214" i="3" s="1"/>
  <c r="G250" i="3"/>
  <c r="L250" i="3" s="1"/>
  <c r="G105" i="3"/>
  <c r="E147" i="3"/>
  <c r="F147" i="3" s="1"/>
  <c r="E206" i="3"/>
  <c r="F206" i="3" s="1"/>
  <c r="E242" i="3"/>
  <c r="F242" i="3" s="1"/>
  <c r="E247" i="3"/>
  <c r="F247" i="3" s="1"/>
  <c r="E258" i="3"/>
  <c r="F258" i="3" s="1"/>
  <c r="E272" i="3"/>
  <c r="F272" i="3" s="1"/>
  <c r="E295" i="3"/>
  <c r="F295" i="3" s="1"/>
  <c r="E168" i="3"/>
  <c r="F168" i="3" s="1"/>
  <c r="G173" i="3"/>
  <c r="L173" i="3" s="1"/>
  <c r="E116" i="3"/>
  <c r="F116" i="3" s="1"/>
  <c r="G203" i="3"/>
  <c r="L203" i="3" s="1"/>
  <c r="G287" i="3"/>
  <c r="L287" i="3" s="1"/>
  <c r="G239" i="3"/>
  <c r="L239" i="3" s="1"/>
  <c r="E260" i="3"/>
  <c r="F260" i="3" s="1"/>
  <c r="R2" i="3"/>
  <c r="R12" i="3"/>
  <c r="R26" i="3"/>
  <c r="R51" i="3"/>
  <c r="R75" i="3"/>
  <c r="R88" i="3"/>
  <c r="R124" i="3"/>
  <c r="R167" i="3"/>
  <c r="R178" i="3"/>
  <c r="R181" i="3"/>
  <c r="R193" i="3"/>
  <c r="R253" i="3"/>
  <c r="R292" i="3"/>
  <c r="R303" i="3"/>
  <c r="R372" i="3"/>
  <c r="R391" i="3"/>
  <c r="R49" i="3"/>
  <c r="R169" i="3"/>
  <c r="R190" i="3"/>
  <c r="R257" i="3"/>
  <c r="R318" i="3"/>
  <c r="R336" i="3"/>
  <c r="R390" i="3"/>
  <c r="R394" i="3"/>
  <c r="R400" i="3"/>
  <c r="R37" i="3"/>
  <c r="R66" i="3"/>
  <c r="R140" i="3"/>
  <c r="R144" i="3"/>
  <c r="R156" i="3"/>
  <c r="R166" i="3"/>
  <c r="R213" i="3"/>
  <c r="R239" i="3"/>
  <c r="R309" i="3"/>
  <c r="R363" i="3"/>
  <c r="R398" i="3"/>
  <c r="R39" i="3"/>
  <c r="R45" i="3"/>
  <c r="R60" i="3"/>
  <c r="R68" i="3"/>
  <c r="R137" i="3"/>
  <c r="R271" i="3"/>
  <c r="R295" i="3"/>
  <c r="R327" i="3"/>
  <c r="G6" i="7"/>
  <c r="R7" i="3"/>
  <c r="R52" i="3"/>
  <c r="R89" i="3"/>
  <c r="R97" i="3"/>
  <c r="R118" i="3"/>
  <c r="R149" i="3"/>
  <c r="R198" i="3"/>
  <c r="R276" i="3"/>
  <c r="R373" i="3"/>
  <c r="R379" i="3"/>
  <c r="R383" i="3"/>
  <c r="R78" i="3"/>
  <c r="R171" i="3"/>
  <c r="R176" i="3"/>
  <c r="R179" i="3"/>
  <c r="R296" i="3"/>
  <c r="R345" i="3"/>
  <c r="R356" i="3"/>
  <c r="R365" i="3"/>
  <c r="R370" i="3"/>
  <c r="R374" i="3"/>
  <c r="R392" i="3"/>
  <c r="R399" i="3"/>
  <c r="R42" i="3"/>
  <c r="R13" i="3"/>
  <c r="R21" i="3"/>
  <c r="R33" i="3"/>
  <c r="R95" i="3"/>
  <c r="R110" i="3"/>
  <c r="R125" i="3"/>
  <c r="R194" i="3"/>
  <c r="R237" i="3"/>
  <c r="R354" i="3"/>
  <c r="R382" i="3"/>
  <c r="R22" i="3"/>
  <c r="R30" i="3"/>
  <c r="R46" i="3"/>
  <c r="R53" i="3"/>
  <c r="R62" i="3"/>
  <c r="R106" i="3"/>
  <c r="R154" i="3"/>
  <c r="R191" i="3"/>
  <c r="R223" i="3"/>
  <c r="R251" i="3"/>
  <c r="R293" i="3"/>
  <c r="R389" i="3"/>
  <c r="R98" i="3"/>
  <c r="R107" i="3"/>
  <c r="R158" i="3"/>
  <c r="R177" i="3"/>
  <c r="R196" i="3"/>
  <c r="R224" i="3"/>
  <c r="R238" i="3"/>
  <c r="R265" i="3"/>
  <c r="R290" i="3"/>
  <c r="R297" i="3"/>
  <c r="R362" i="3"/>
  <c r="R397" i="3"/>
  <c r="R92" i="3"/>
  <c r="R138" i="3"/>
  <c r="R183" i="3"/>
  <c r="R189" i="3"/>
  <c r="R199" i="3"/>
  <c r="R211" i="3"/>
  <c r="R260" i="3"/>
  <c r="R272" i="3"/>
  <c r="R371" i="3"/>
  <c r="R72" i="3"/>
  <c r="R114" i="3"/>
  <c r="R168" i="3"/>
  <c r="R206" i="3"/>
  <c r="R36" i="3"/>
  <c r="R41" i="3"/>
  <c r="R54" i="3"/>
  <c r="R79" i="3"/>
  <c r="R86" i="3"/>
  <c r="R147" i="3"/>
  <c r="R151" i="3"/>
  <c r="R155" i="3"/>
  <c r="R203" i="3"/>
  <c r="R10" i="3"/>
  <c r="R20" i="3"/>
  <c r="R94" i="3"/>
  <c r="R116" i="3"/>
  <c r="R122" i="3"/>
  <c r="R135" i="3"/>
  <c r="R173" i="3"/>
  <c r="R180" i="3"/>
  <c r="R201" i="3"/>
  <c r="R279" i="3"/>
  <c r="R381" i="3"/>
  <c r="I5" i="3"/>
  <c r="A1834" i="8"/>
  <c r="A1789" i="8"/>
  <c r="A1744" i="8"/>
  <c r="A1699" i="8"/>
  <c r="A1654" i="8"/>
  <c r="A1609" i="8"/>
  <c r="A1564" i="8"/>
  <c r="A1594" i="8"/>
  <c r="A1624" i="8"/>
  <c r="A1519" i="8"/>
  <c r="A1579" i="8"/>
  <c r="A1864" i="8"/>
  <c r="A1819" i="8"/>
  <c r="A1774" i="8"/>
  <c r="A1729" i="8"/>
  <c r="A1684" i="8"/>
  <c r="A1639" i="8"/>
  <c r="A1549" i="8"/>
  <c r="A1804" i="8"/>
  <c r="A1759" i="8"/>
  <c r="A1714" i="8"/>
  <c r="A1669" i="8"/>
  <c r="A1849" i="8"/>
  <c r="A1504" i="8"/>
  <c r="A1534" i="8"/>
  <c r="A484" i="8"/>
  <c r="A889" i="8"/>
  <c r="A19" i="8" a="1"/>
  <c r="A19" i="8" s="1"/>
  <c r="A1294" i="8"/>
  <c r="A79" i="8"/>
  <c r="A139" i="8"/>
  <c r="A514" i="8"/>
  <c r="A574" i="8"/>
  <c r="A634" i="8"/>
  <c r="A694" i="8"/>
  <c r="A754" i="8"/>
  <c r="A814" i="8"/>
  <c r="A874" i="8"/>
  <c r="A274" i="8"/>
  <c r="A334" i="8"/>
  <c r="A934" i="8"/>
  <c r="A409" i="8"/>
  <c r="A469" i="8"/>
  <c r="A1009" i="8"/>
  <c r="A1069" i="8"/>
  <c r="A1129" i="8"/>
  <c r="A1189" i="8"/>
  <c r="A1249" i="8"/>
  <c r="A1309" i="8"/>
  <c r="A1369" i="8"/>
  <c r="A1429" i="8"/>
  <c r="A1489" i="8"/>
  <c r="A34" i="8"/>
  <c r="A94" i="8"/>
  <c r="A154" i="8"/>
  <c r="A529" i="8"/>
  <c r="A589" i="8"/>
  <c r="A649" i="8"/>
  <c r="A709" i="8"/>
  <c r="A769" i="8"/>
  <c r="A829" i="8"/>
  <c r="A289" i="8"/>
  <c r="A349" i="8"/>
  <c r="A949" i="8"/>
  <c r="A454" i="8"/>
  <c r="A1114" i="8"/>
  <c r="A364" i="8"/>
  <c r="A424" i="8"/>
  <c r="A1024" i="8"/>
  <c r="A1084" i="8"/>
  <c r="A1144" i="8"/>
  <c r="A1204" i="8"/>
  <c r="A1264" i="8"/>
  <c r="A1324" i="8"/>
  <c r="A1384" i="8"/>
  <c r="A1444" i="8"/>
  <c r="A994" i="8"/>
  <c r="A1354" i="8"/>
  <c r="A49" i="8"/>
  <c r="A109" i="8"/>
  <c r="A544" i="8"/>
  <c r="A604" i="8"/>
  <c r="A664" i="8"/>
  <c r="A724" i="8"/>
  <c r="A784" i="8"/>
  <c r="A844" i="8"/>
  <c r="A244" i="8"/>
  <c r="A304" i="8"/>
  <c r="A904" i="8"/>
  <c r="A964" i="8"/>
  <c r="A394" i="8"/>
  <c r="A1174" i="8"/>
  <c r="A1414" i="8"/>
  <c r="A1474" i="8"/>
  <c r="A4" i="8"/>
  <c r="A379" i="8"/>
  <c r="A439" i="8"/>
  <c r="A1039" i="8"/>
  <c r="A1099" i="8"/>
  <c r="A1159" i="8"/>
  <c r="A1219" i="8"/>
  <c r="A1279" i="8"/>
  <c r="A1339" i="8"/>
  <c r="A1399" i="8"/>
  <c r="A1459" i="8"/>
  <c r="A64" i="8"/>
  <c r="A124" i="8"/>
  <c r="A499" i="8"/>
  <c r="A559" i="8"/>
  <c r="A619" i="8"/>
  <c r="A679" i="8"/>
  <c r="A739" i="8"/>
  <c r="A799" i="8"/>
  <c r="A859" i="8"/>
  <c r="A1054" i="8"/>
  <c r="A1234" i="8"/>
  <c r="A259" i="8"/>
  <c r="A319" i="8"/>
  <c r="A919" i="8"/>
  <c r="A979" i="8"/>
  <c r="R57" i="3"/>
  <c r="R73" i="3"/>
  <c r="R76" i="3"/>
  <c r="R81" i="3"/>
  <c r="R108" i="3"/>
  <c r="R174" i="3"/>
  <c r="R219" i="3"/>
  <c r="R289" i="3"/>
  <c r="E115" i="3"/>
  <c r="F115" i="3" s="1"/>
  <c r="R127" i="3"/>
  <c r="E131" i="3"/>
  <c r="F131" i="3" s="1"/>
  <c r="R131" i="3"/>
  <c r="R133" i="3"/>
  <c r="E137" i="3"/>
  <c r="F137" i="3" s="1"/>
  <c r="E140" i="3"/>
  <c r="F140" i="3" s="1"/>
  <c r="R145" i="3"/>
  <c r="R225" i="3"/>
  <c r="E225" i="3"/>
  <c r="F225" i="3" s="1"/>
  <c r="E237" i="3"/>
  <c r="F237" i="3" s="1"/>
  <c r="R273" i="3"/>
  <c r="G273" i="3"/>
  <c r="L273" i="3" s="1"/>
  <c r="G27" i="3"/>
  <c r="E4" i="3"/>
  <c r="F4" i="3" s="1"/>
  <c r="E9" i="3"/>
  <c r="F9" i="3" s="1"/>
  <c r="G19" i="3"/>
  <c r="E25" i="3"/>
  <c r="F25" i="3" s="1"/>
  <c r="R35" i="3"/>
  <c r="R77" i="3"/>
  <c r="E112" i="3"/>
  <c r="F112" i="3" s="1"/>
  <c r="G115" i="3"/>
  <c r="E118" i="3"/>
  <c r="F118" i="3" s="1"/>
  <c r="E125" i="3"/>
  <c r="F125" i="3" s="1"/>
  <c r="E133" i="3"/>
  <c r="F133" i="3" s="1"/>
  <c r="G137" i="3"/>
  <c r="L137" i="3" s="1"/>
  <c r="G140" i="3"/>
  <c r="L140" i="3" s="1"/>
  <c r="R142" i="3"/>
  <c r="R146" i="3"/>
  <c r="E146" i="3"/>
  <c r="F146" i="3" s="1"/>
  <c r="R185" i="3"/>
  <c r="E189" i="3"/>
  <c r="F189" i="3" s="1"/>
  <c r="G219" i="3"/>
  <c r="L219" i="3" s="1"/>
  <c r="G225" i="3"/>
  <c r="L225" i="3" s="1"/>
  <c r="E229" i="3"/>
  <c r="F229" i="3" s="1"/>
  <c r="G237" i="3"/>
  <c r="L237" i="3" s="1"/>
  <c r="E244" i="3"/>
  <c r="F244" i="3" s="1"/>
  <c r="R244" i="3"/>
  <c r="G266" i="3"/>
  <c r="L266" i="3" s="1"/>
  <c r="E273" i="3"/>
  <c r="F273" i="3" s="1"/>
  <c r="R300" i="3"/>
  <c r="G300" i="3"/>
  <c r="L300" i="3" s="1"/>
  <c r="E101" i="3"/>
  <c r="F101" i="3" s="1"/>
  <c r="G9" i="3"/>
  <c r="E67" i="3"/>
  <c r="F67" i="3" s="1"/>
  <c r="E72" i="3"/>
  <c r="F72" i="3" s="1"/>
  <c r="R9" i="3"/>
  <c r="R25" i="3"/>
  <c r="G112" i="3"/>
  <c r="G125" i="3"/>
  <c r="G131" i="3"/>
  <c r="G133" i="3"/>
  <c r="G280" i="3"/>
  <c r="L280" i="3" s="1"/>
  <c r="E296" i="3"/>
  <c r="F296" i="3" s="1"/>
  <c r="E300" i="3"/>
  <c r="F300" i="3" s="1"/>
  <c r="G129" i="3"/>
  <c r="E129" i="3"/>
  <c r="F129" i="3" s="1"/>
  <c r="R19" i="3"/>
  <c r="G25" i="3"/>
  <c r="R27" i="3"/>
  <c r="E55" i="3"/>
  <c r="F55" i="3" s="1"/>
  <c r="E42" i="3"/>
  <c r="F42" i="3" s="1"/>
  <c r="R50" i="3"/>
  <c r="G55" i="3"/>
  <c r="E65" i="3"/>
  <c r="F65" i="3" s="1"/>
  <c r="G72" i="3"/>
  <c r="R162" i="3"/>
  <c r="R212" i="3"/>
  <c r="G212" i="3"/>
  <c r="L212" i="3" s="1"/>
  <c r="G6" i="3"/>
  <c r="E20" i="3"/>
  <c r="F20" i="3" s="1"/>
  <c r="E39" i="3"/>
  <c r="F39" i="3" s="1"/>
  <c r="E53" i="3"/>
  <c r="F53" i="3" s="1"/>
  <c r="R55" i="3"/>
  <c r="E62" i="3"/>
  <c r="F62" i="3" s="1"/>
  <c r="R65" i="3"/>
  <c r="G75" i="3"/>
  <c r="G77" i="3"/>
  <c r="E80" i="3"/>
  <c r="F80" i="3" s="1"/>
  <c r="G80" i="3"/>
  <c r="R82" i="3"/>
  <c r="E86" i="3"/>
  <c r="F86" i="3" s="1"/>
  <c r="E89" i="3"/>
  <c r="F89" i="3" s="1"/>
  <c r="E92" i="3"/>
  <c r="F92" i="3" s="1"/>
  <c r="E95" i="3"/>
  <c r="F95" i="3" s="1"/>
  <c r="G102" i="3"/>
  <c r="R115" i="3"/>
  <c r="E122" i="3"/>
  <c r="F122" i="3" s="1"/>
  <c r="G149" i="3"/>
  <c r="L149" i="3" s="1"/>
  <c r="E154" i="3"/>
  <c r="F154" i="3" s="1"/>
  <c r="E156" i="3"/>
  <c r="F156" i="3" s="1"/>
  <c r="E183" i="3"/>
  <c r="F183" i="3" s="1"/>
  <c r="G186" i="3"/>
  <c r="L186" i="3" s="1"/>
  <c r="E192" i="3"/>
  <c r="F192" i="3" s="1"/>
  <c r="E212" i="3"/>
  <c r="F212" i="3" s="1"/>
  <c r="R229" i="3"/>
  <c r="G257" i="3"/>
  <c r="L257" i="3" s="1"/>
  <c r="R266" i="3"/>
  <c r="R294" i="3"/>
  <c r="E294" i="3"/>
  <c r="F294" i="3" s="1"/>
  <c r="E24" i="3"/>
  <c r="F24" i="3" s="1"/>
  <c r="G18" i="3"/>
  <c r="G24" i="3"/>
  <c r="G10" i="3"/>
  <c r="E17" i="3"/>
  <c r="F17" i="3" s="1"/>
  <c r="R23" i="3"/>
  <c r="G42" i="3"/>
  <c r="G53" i="3"/>
  <c r="G62" i="3"/>
  <c r="R80" i="3"/>
  <c r="G89" i="3"/>
  <c r="G92" i="3"/>
  <c r="R112" i="3"/>
  <c r="G122" i="3"/>
  <c r="G167" i="3"/>
  <c r="L167" i="3" s="1"/>
  <c r="R175" i="3"/>
  <c r="E186" i="3"/>
  <c r="F186" i="3" s="1"/>
  <c r="G220" i="3"/>
  <c r="L220" i="3" s="1"/>
  <c r="R247" i="3"/>
  <c r="R267" i="3"/>
  <c r="G267" i="3"/>
  <c r="L267" i="3" s="1"/>
  <c r="R280" i="3"/>
  <c r="R285" i="3"/>
  <c r="R291" i="3"/>
  <c r="E291" i="3"/>
  <c r="F291" i="3" s="1"/>
  <c r="G294" i="3"/>
  <c r="L294" i="3" s="1"/>
  <c r="R261" i="3"/>
  <c r="G261" i="3"/>
  <c r="L261" i="3" s="1"/>
  <c r="E274" i="3"/>
  <c r="F274" i="3" s="1"/>
  <c r="G274" i="3"/>
  <c r="L274" i="3" s="1"/>
  <c r="G56" i="3"/>
  <c r="E66" i="3"/>
  <c r="F66" i="3" s="1"/>
  <c r="E78" i="3"/>
  <c r="F78" i="3" s="1"/>
  <c r="E160" i="3"/>
  <c r="F160" i="3" s="1"/>
  <c r="E176" i="3"/>
  <c r="F176" i="3" s="1"/>
  <c r="G230" i="3"/>
  <c r="L230" i="3" s="1"/>
  <c r="E251" i="3"/>
  <c r="F251" i="3" s="1"/>
  <c r="E261" i="3"/>
  <c r="F261" i="3" s="1"/>
  <c r="G301" i="3"/>
  <c r="L301" i="3" s="1"/>
  <c r="R11" i="3"/>
  <c r="E18" i="3"/>
  <c r="F18" i="3" s="1"/>
  <c r="E30" i="3"/>
  <c r="F30" i="3" s="1"/>
  <c r="R56" i="3"/>
  <c r="E60" i="3"/>
  <c r="F60" i="3" s="1"/>
  <c r="G66" i="3"/>
  <c r="R69" i="3"/>
  <c r="E76" i="3"/>
  <c r="F76" i="3" s="1"/>
  <c r="G78" i="3"/>
  <c r="E81" i="3"/>
  <c r="F81" i="3" s="1"/>
  <c r="E132" i="3"/>
  <c r="F132" i="3" s="1"/>
  <c r="E152" i="3"/>
  <c r="F152" i="3" s="1"/>
  <c r="G160" i="3"/>
  <c r="L160" i="3" s="1"/>
  <c r="R170" i="3"/>
  <c r="G176" i="3"/>
  <c r="L176" i="3" s="1"/>
  <c r="E179" i="3"/>
  <c r="F179" i="3" s="1"/>
  <c r="R186" i="3"/>
  <c r="E213" i="3"/>
  <c r="F213" i="3" s="1"/>
  <c r="E224" i="3"/>
  <c r="F224" i="3" s="1"/>
  <c r="G251" i="3"/>
  <c r="L251" i="3" s="1"/>
  <c r="R274" i="3"/>
  <c r="G60" i="3"/>
  <c r="G73" i="3"/>
  <c r="E96" i="3"/>
  <c r="F96" i="3" s="1"/>
  <c r="G100" i="3"/>
  <c r="E108" i="3"/>
  <c r="F108" i="3" s="1"/>
  <c r="G108" i="3"/>
  <c r="R129" i="3"/>
  <c r="G150" i="3"/>
  <c r="L150" i="3" s="1"/>
  <c r="R150" i="3"/>
  <c r="G152" i="3"/>
  <c r="L152" i="3" s="1"/>
  <c r="R231" i="3"/>
  <c r="G231" i="3"/>
  <c r="L231" i="3" s="1"/>
  <c r="E231" i="3"/>
  <c r="F231" i="3" s="1"/>
  <c r="R249" i="3"/>
  <c r="R255" i="3"/>
  <c r="G255" i="3"/>
  <c r="L255" i="3" s="1"/>
  <c r="G298" i="3"/>
  <c r="L298" i="3" s="1"/>
  <c r="E298" i="3"/>
  <c r="F298" i="3" s="1"/>
  <c r="R301" i="3"/>
  <c r="G54" i="3"/>
  <c r="E57" i="3"/>
  <c r="F57" i="3" s="1"/>
  <c r="E84" i="3"/>
  <c r="F84" i="3" s="1"/>
  <c r="E100" i="3"/>
  <c r="F100" i="3" s="1"/>
  <c r="E150" i="3"/>
  <c r="F150" i="3" s="1"/>
  <c r="G155" i="3"/>
  <c r="L155" i="3" s="1"/>
  <c r="E155" i="3"/>
  <c r="F155" i="3" s="1"/>
  <c r="R160" i="3"/>
  <c r="E174" i="3"/>
  <c r="F174" i="3" s="1"/>
  <c r="E246" i="3"/>
  <c r="F246" i="3" s="1"/>
  <c r="E249" i="3"/>
  <c r="F249" i="3" s="1"/>
  <c r="E255" i="3"/>
  <c r="F255" i="3" s="1"/>
  <c r="G289" i="3"/>
  <c r="L289" i="3" s="1"/>
  <c r="G8" i="3"/>
  <c r="R18" i="3"/>
  <c r="R24" i="3"/>
  <c r="E37" i="3"/>
  <c r="F37" i="3" s="1"/>
  <c r="R8" i="3"/>
  <c r="E27" i="3"/>
  <c r="F27" i="3" s="1"/>
  <c r="G37" i="3"/>
  <c r="E41" i="3"/>
  <c r="F41" i="3" s="1"/>
  <c r="E44" i="3"/>
  <c r="F44" i="3" s="1"/>
  <c r="E52" i="3"/>
  <c r="F52" i="3" s="1"/>
  <c r="E54" i="3"/>
  <c r="F54" i="3" s="1"/>
  <c r="R63" i="3"/>
  <c r="E71" i="3"/>
  <c r="F71" i="3" s="1"/>
  <c r="R85" i="3"/>
  <c r="E88" i="3"/>
  <c r="F88" i="3" s="1"/>
  <c r="G90" i="3"/>
  <c r="R93" i="3"/>
  <c r="G96" i="3"/>
  <c r="R100" i="3"/>
  <c r="R120" i="3"/>
  <c r="G124" i="3"/>
  <c r="R132" i="3"/>
  <c r="R136" i="3"/>
  <c r="R152" i="3"/>
  <c r="G185" i="3"/>
  <c r="L185" i="3" s="1"/>
  <c r="E194" i="3"/>
  <c r="F194" i="3" s="1"/>
  <c r="E201" i="3"/>
  <c r="F201" i="3" s="1"/>
  <c r="E211" i="3"/>
  <c r="F211" i="3" s="1"/>
  <c r="G228" i="3"/>
  <c r="L228" i="3" s="1"/>
  <c r="E228" i="3"/>
  <c r="F228" i="3" s="1"/>
  <c r="R298" i="3"/>
  <c r="E297" i="3"/>
  <c r="F297" i="3" s="1"/>
  <c r="G345" i="3"/>
  <c r="L345" i="3" s="1"/>
  <c r="G381" i="3"/>
  <c r="L381" i="3" s="1"/>
  <c r="G279" i="3"/>
  <c r="L279" i="3" s="1"/>
  <c r="E276" i="3"/>
  <c r="F276" i="3" s="1"/>
  <c r="R385" i="3"/>
  <c r="E390" i="3"/>
  <c r="F390" i="3" s="1"/>
  <c r="G354" i="3"/>
  <c r="L354" i="3" s="1"/>
  <c r="R242" i="3"/>
  <c r="R250" i="3"/>
  <c r="G64" i="3"/>
  <c r="E43" i="3"/>
  <c r="F43" i="3" s="1"/>
  <c r="E45" i="3"/>
  <c r="F45" i="3" s="1"/>
  <c r="E3" i="3"/>
  <c r="F3" i="3" s="1"/>
  <c r="G5" i="3"/>
  <c r="E14" i="3"/>
  <c r="F14" i="3" s="1"/>
  <c r="E64" i="3"/>
  <c r="F64" i="3" s="1"/>
  <c r="E143" i="3"/>
  <c r="F143" i="3" s="1"/>
  <c r="G143" i="3"/>
  <c r="L143" i="3" s="1"/>
  <c r="G217" i="3"/>
  <c r="L217" i="3" s="1"/>
  <c r="E217" i="3"/>
  <c r="F217" i="3" s="1"/>
  <c r="R217" i="3"/>
  <c r="E16" i="3"/>
  <c r="F16" i="3" s="1"/>
  <c r="E28" i="3"/>
  <c r="F28" i="3" s="1"/>
  <c r="E31" i="3"/>
  <c r="F31" i="3" s="1"/>
  <c r="E34" i="3"/>
  <c r="F34" i="3" s="1"/>
  <c r="R5" i="3"/>
  <c r="G184" i="3"/>
  <c r="L184" i="3" s="1"/>
  <c r="R184" i="3"/>
  <c r="E163" i="3"/>
  <c r="F163" i="3" s="1"/>
  <c r="G163" i="3"/>
  <c r="L163" i="3" s="1"/>
  <c r="R163" i="3"/>
  <c r="R29" i="3"/>
  <c r="R32" i="3"/>
  <c r="G43" i="3"/>
  <c r="G45" i="3"/>
  <c r="E47" i="3"/>
  <c r="F47" i="3" s="1"/>
  <c r="E74" i="3"/>
  <c r="F74" i="3" s="1"/>
  <c r="E97" i="3"/>
  <c r="F97" i="3" s="1"/>
  <c r="G200" i="3"/>
  <c r="L200" i="3" s="1"/>
  <c r="E200" i="3"/>
  <c r="F200" i="3" s="1"/>
  <c r="R200" i="3"/>
  <c r="G3" i="3"/>
  <c r="E12" i="3"/>
  <c r="F12" i="3" s="1"/>
  <c r="G16" i="3"/>
  <c r="G28" i="3"/>
  <c r="G31" i="3"/>
  <c r="G34" i="3"/>
  <c r="G47" i="3"/>
  <c r="E49" i="3"/>
  <c r="F49" i="3" s="1"/>
  <c r="E68" i="3"/>
  <c r="F68" i="3" s="1"/>
  <c r="G70" i="3"/>
  <c r="R84" i="3"/>
  <c r="R3" i="3"/>
  <c r="E10" i="3"/>
  <c r="F10" i="3" s="1"/>
  <c r="G14" i="3"/>
  <c r="R16" i="3"/>
  <c r="E23" i="3"/>
  <c r="F23" i="3" s="1"/>
  <c r="E38" i="3"/>
  <c r="F38" i="3" s="1"/>
  <c r="R43" i="3"/>
  <c r="E59" i="3"/>
  <c r="F59" i="3" s="1"/>
  <c r="G68" i="3"/>
  <c r="R70" i="3"/>
  <c r="G74" i="3"/>
  <c r="E8" i="3"/>
  <c r="F8" i="3" s="1"/>
  <c r="G12" i="3"/>
  <c r="R14" i="3"/>
  <c r="E21" i="3"/>
  <c r="F21" i="3" s="1"/>
  <c r="G23" i="3"/>
  <c r="L23" i="3" s="1"/>
  <c r="R34" i="3"/>
  <c r="G49" i="3"/>
  <c r="E51" i="3"/>
  <c r="F51" i="3" s="1"/>
  <c r="R61" i="3"/>
  <c r="G61" i="3"/>
  <c r="R64" i="3"/>
  <c r="G87" i="3"/>
  <c r="R90" i="3"/>
  <c r="E94" i="3"/>
  <c r="F94" i="3" s="1"/>
  <c r="R102" i="3"/>
  <c r="E6" i="3"/>
  <c r="F6" i="3" s="1"/>
  <c r="E19" i="3"/>
  <c r="F19" i="3" s="1"/>
  <c r="R28" i="3"/>
  <c r="R31" i="3"/>
  <c r="G38" i="3"/>
  <c r="E40" i="3"/>
  <c r="F40" i="3" s="1"/>
  <c r="R47" i="3"/>
  <c r="G51" i="3"/>
  <c r="G59" i="3"/>
  <c r="E61" i="3"/>
  <c r="F61" i="3" s="1"/>
  <c r="R83" i="3"/>
  <c r="E83" i="3"/>
  <c r="F83" i="3" s="1"/>
  <c r="G94" i="3"/>
  <c r="E107" i="3"/>
  <c r="F107" i="3" s="1"/>
  <c r="E119" i="3"/>
  <c r="F119" i="3" s="1"/>
  <c r="R121" i="3"/>
  <c r="R143" i="3"/>
  <c r="G148" i="3"/>
  <c r="L148" i="3" s="1"/>
  <c r="R148" i="3"/>
  <c r="R182" i="3"/>
  <c r="G182" i="3"/>
  <c r="L182" i="3" s="1"/>
  <c r="G195" i="3"/>
  <c r="L195" i="3" s="1"/>
  <c r="E195" i="3"/>
  <c r="F195" i="3" s="1"/>
  <c r="R195" i="3"/>
  <c r="E232" i="3"/>
  <c r="F232" i="3" s="1"/>
  <c r="G232" i="3"/>
  <c r="L232" i="3" s="1"/>
  <c r="R232" i="3"/>
  <c r="G123" i="3"/>
  <c r="G141" i="3"/>
  <c r="L141" i="3" s="1"/>
  <c r="R141" i="3"/>
  <c r="G144" i="3"/>
  <c r="L144" i="3" s="1"/>
  <c r="R164" i="3"/>
  <c r="E164" i="3"/>
  <c r="F164" i="3" s="1"/>
  <c r="G164" i="3"/>
  <c r="L164" i="3" s="1"/>
  <c r="R74" i="3"/>
  <c r="G103" i="3"/>
  <c r="R109" i="3"/>
  <c r="E111" i="3"/>
  <c r="F111" i="3" s="1"/>
  <c r="R111" i="3"/>
  <c r="G111" i="3"/>
  <c r="G113" i="3"/>
  <c r="G139" i="3"/>
  <c r="L139" i="3" s="1"/>
  <c r="R139" i="3"/>
  <c r="E172" i="3"/>
  <c r="F172" i="3" s="1"/>
  <c r="G4" i="3"/>
  <c r="R6" i="3"/>
  <c r="E13" i="3"/>
  <c r="F13" i="3" s="1"/>
  <c r="G15" i="3"/>
  <c r="R17" i="3"/>
  <c r="E29" i="3"/>
  <c r="F29" i="3" s="1"/>
  <c r="E32" i="3"/>
  <c r="F32" i="3" s="1"/>
  <c r="R38" i="3"/>
  <c r="R40" i="3"/>
  <c r="G46" i="3"/>
  <c r="R58" i="3"/>
  <c r="G58" i="3"/>
  <c r="R59" i="3"/>
  <c r="R71" i="3"/>
  <c r="E75" i="3"/>
  <c r="F75" i="3" s="1"/>
  <c r="G91" i="3"/>
  <c r="R99" i="3"/>
  <c r="G99" i="3"/>
  <c r="G101" i="3"/>
  <c r="E109" i="3"/>
  <c r="F109" i="3" s="1"/>
  <c r="G121" i="3"/>
  <c r="G130" i="3"/>
  <c r="R130" i="3"/>
  <c r="E139" i="3"/>
  <c r="F139" i="3" s="1"/>
  <c r="G146" i="3"/>
  <c r="L146" i="3" s="1"/>
  <c r="G172" i="3"/>
  <c r="L172" i="3" s="1"/>
  <c r="E187" i="3"/>
  <c r="F187" i="3" s="1"/>
  <c r="R187" i="3"/>
  <c r="G187" i="3"/>
  <c r="L187" i="3" s="1"/>
  <c r="R87" i="3"/>
  <c r="E91" i="3"/>
  <c r="F91" i="3" s="1"/>
  <c r="E117" i="3"/>
  <c r="F117" i="3" s="1"/>
  <c r="E123" i="3"/>
  <c r="F123" i="3" s="1"/>
  <c r="E134" i="3"/>
  <c r="F134" i="3" s="1"/>
  <c r="R134" i="3"/>
  <c r="G134" i="3"/>
  <c r="G161" i="3"/>
  <c r="L161" i="3" s="1"/>
  <c r="R161" i="3"/>
  <c r="R4" i="3"/>
  <c r="E11" i="3"/>
  <c r="F11" i="3" s="1"/>
  <c r="G13" i="3"/>
  <c r="R15" i="3"/>
  <c r="G35" i="3"/>
  <c r="G50" i="3"/>
  <c r="E56" i="3"/>
  <c r="F56" i="3" s="1"/>
  <c r="E58" i="3"/>
  <c r="F58" i="3" s="1"/>
  <c r="R67" i="3"/>
  <c r="E69" i="3"/>
  <c r="F69" i="3" s="1"/>
  <c r="E99" i="3"/>
  <c r="F99" i="3" s="1"/>
  <c r="R103" i="3"/>
  <c r="R105" i="3"/>
  <c r="R119" i="3"/>
  <c r="R128" i="3"/>
  <c r="E130" i="3"/>
  <c r="F130" i="3" s="1"/>
  <c r="E142" i="3"/>
  <c r="F142" i="3" s="1"/>
  <c r="G159" i="3"/>
  <c r="L159" i="3" s="1"/>
  <c r="R159" i="3"/>
  <c r="E202" i="3"/>
  <c r="F202" i="3" s="1"/>
  <c r="R202" i="3"/>
  <c r="G202" i="3"/>
  <c r="L202" i="3" s="1"/>
  <c r="E15" i="3"/>
  <c r="F15" i="3" s="1"/>
  <c r="R48" i="3"/>
  <c r="E48" i="3"/>
  <c r="F48" i="3" s="1"/>
  <c r="R44" i="3"/>
  <c r="G69" i="3"/>
  <c r="R91" i="3"/>
  <c r="G93" i="3"/>
  <c r="R96" i="3"/>
  <c r="R101" i="3"/>
  <c r="G109" i="3"/>
  <c r="R113" i="3"/>
  <c r="R117" i="3"/>
  <c r="R123" i="3"/>
  <c r="G153" i="3"/>
  <c r="L153" i="3" s="1"/>
  <c r="R153" i="3"/>
  <c r="G165" i="3"/>
  <c r="L165" i="3" s="1"/>
  <c r="E165" i="3"/>
  <c r="F165" i="3" s="1"/>
  <c r="R165" i="3"/>
  <c r="G170" i="3"/>
  <c r="L170" i="3" s="1"/>
  <c r="E170" i="3"/>
  <c r="F170" i="3" s="1"/>
  <c r="E188" i="3"/>
  <c r="F188" i="3" s="1"/>
  <c r="R188" i="3"/>
  <c r="R209" i="3"/>
  <c r="E209" i="3"/>
  <c r="F209" i="3" s="1"/>
  <c r="G209" i="3"/>
  <c r="L209" i="3" s="1"/>
  <c r="R104" i="3"/>
  <c r="G106" i="3"/>
  <c r="E124" i="3"/>
  <c r="F124" i="3" s="1"/>
  <c r="G126" i="3"/>
  <c r="R126" i="3"/>
  <c r="G135" i="3"/>
  <c r="L135" i="3" s="1"/>
  <c r="E151" i="3"/>
  <c r="F151" i="3" s="1"/>
  <c r="E153" i="3"/>
  <c r="F153" i="3" s="1"/>
  <c r="G162" i="3"/>
  <c r="L162" i="3" s="1"/>
  <c r="E162" i="3"/>
  <c r="F162" i="3" s="1"/>
  <c r="R172" i="3"/>
  <c r="G188" i="3"/>
  <c r="L188" i="3" s="1"/>
  <c r="G97" i="3"/>
  <c r="E104" i="3"/>
  <c r="F104" i="3" s="1"/>
  <c r="E106" i="3"/>
  <c r="F106" i="3" s="1"/>
  <c r="G114" i="3"/>
  <c r="G118" i="3"/>
  <c r="E126" i="3"/>
  <c r="F126" i="3" s="1"/>
  <c r="G128" i="3"/>
  <c r="E135" i="3"/>
  <c r="F135" i="3" s="1"/>
  <c r="E157" i="3"/>
  <c r="F157" i="3" s="1"/>
  <c r="R157" i="3"/>
  <c r="G166" i="3"/>
  <c r="L166" i="3" s="1"/>
  <c r="E166" i="3"/>
  <c r="F166" i="3" s="1"/>
  <c r="G235" i="3"/>
  <c r="L235" i="3" s="1"/>
  <c r="R235" i="3"/>
  <c r="E235" i="3"/>
  <c r="F235" i="3" s="1"/>
  <c r="G205" i="3"/>
  <c r="L205" i="3" s="1"/>
  <c r="E205" i="3"/>
  <c r="F205" i="3" s="1"/>
  <c r="R243" i="3"/>
  <c r="E243" i="3"/>
  <c r="F243" i="3" s="1"/>
  <c r="R245" i="3"/>
  <c r="E245" i="3"/>
  <c r="F245" i="3" s="1"/>
  <c r="E256" i="3"/>
  <c r="F256" i="3" s="1"/>
  <c r="R256" i="3"/>
  <c r="G120" i="3"/>
  <c r="E127" i="3"/>
  <c r="F127" i="3" s="1"/>
  <c r="E136" i="3"/>
  <c r="F136" i="3" s="1"/>
  <c r="E193" i="3"/>
  <c r="F193" i="3" s="1"/>
  <c r="G193" i="3"/>
  <c r="L193" i="3" s="1"/>
  <c r="R215" i="3"/>
  <c r="E215" i="3"/>
  <c r="F215" i="3" s="1"/>
  <c r="G218" i="3"/>
  <c r="L218" i="3" s="1"/>
  <c r="R220" i="3"/>
  <c r="E220" i="3"/>
  <c r="F220" i="3" s="1"/>
  <c r="R233" i="3"/>
  <c r="E233" i="3"/>
  <c r="F233" i="3" s="1"/>
  <c r="R236" i="3"/>
  <c r="G236" i="3"/>
  <c r="L236" i="3" s="1"/>
  <c r="G245" i="3"/>
  <c r="L245" i="3" s="1"/>
  <c r="E254" i="3"/>
  <c r="F254" i="3" s="1"/>
  <c r="R264" i="3"/>
  <c r="G264" i="3"/>
  <c r="L264" i="3" s="1"/>
  <c r="E278" i="3"/>
  <c r="F278" i="3" s="1"/>
  <c r="R278" i="3"/>
  <c r="G136" i="3"/>
  <c r="L136" i="3" s="1"/>
  <c r="E181" i="3"/>
  <c r="F181" i="3" s="1"/>
  <c r="G215" i="3"/>
  <c r="L215" i="3" s="1"/>
  <c r="G223" i="3"/>
  <c r="L223" i="3" s="1"/>
  <c r="G233" i="3"/>
  <c r="L233" i="3" s="1"/>
  <c r="E236" i="3"/>
  <c r="F236" i="3" s="1"/>
  <c r="G243" i="3"/>
  <c r="L243" i="3" s="1"/>
  <c r="R252" i="3"/>
  <c r="E252" i="3"/>
  <c r="F252" i="3" s="1"/>
  <c r="G254" i="3"/>
  <c r="L254" i="3" s="1"/>
  <c r="G256" i="3"/>
  <c r="L256" i="3" s="1"/>
  <c r="G307" i="3"/>
  <c r="L307" i="3" s="1"/>
  <c r="E307" i="3"/>
  <c r="F307" i="3" s="1"/>
  <c r="R307" i="3"/>
  <c r="G241" i="3"/>
  <c r="L241" i="3" s="1"/>
  <c r="E241" i="3"/>
  <c r="F241" i="3" s="1"/>
  <c r="R241" i="3"/>
  <c r="R248" i="3"/>
  <c r="E248" i="3"/>
  <c r="F248" i="3" s="1"/>
  <c r="G252" i="3"/>
  <c r="L252" i="3" s="1"/>
  <c r="G259" i="3"/>
  <c r="L259" i="3" s="1"/>
  <c r="E259" i="3"/>
  <c r="F259" i="3" s="1"/>
  <c r="R270" i="3"/>
  <c r="G270" i="3"/>
  <c r="L270" i="3" s="1"/>
  <c r="R205" i="3"/>
  <c r="E208" i="3"/>
  <c r="F208" i="3" s="1"/>
  <c r="G208" i="3"/>
  <c r="L208" i="3" s="1"/>
  <c r="R216" i="3"/>
  <c r="E216" i="3"/>
  <c r="F216" i="3" s="1"/>
  <c r="R218" i="3"/>
  <c r="R197" i="3"/>
  <c r="E197" i="3"/>
  <c r="F197" i="3" s="1"/>
  <c r="G216" i="3"/>
  <c r="L216" i="3" s="1"/>
  <c r="R234" i="3"/>
  <c r="G234" i="3"/>
  <c r="L234" i="3" s="1"/>
  <c r="R254" i="3"/>
  <c r="E190" i="3"/>
  <c r="F190" i="3" s="1"/>
  <c r="G197" i="3"/>
  <c r="L197" i="3" s="1"/>
  <c r="R208" i="3"/>
  <c r="E221" i="3"/>
  <c r="F221" i="3" s="1"/>
  <c r="R221" i="3"/>
  <c r="G221" i="3"/>
  <c r="L221" i="3" s="1"/>
  <c r="R259" i="3"/>
  <c r="E262" i="3"/>
  <c r="F262" i="3" s="1"/>
  <c r="R262" i="3"/>
  <c r="G262" i="3"/>
  <c r="L262" i="3" s="1"/>
  <c r="R288" i="3"/>
  <c r="E288" i="3"/>
  <c r="F288" i="3" s="1"/>
  <c r="G288" i="3"/>
  <c r="L288" i="3" s="1"/>
  <c r="E268" i="3"/>
  <c r="F268" i="3" s="1"/>
  <c r="R268" i="3"/>
  <c r="G268" i="3"/>
  <c r="L268" i="3" s="1"/>
  <c r="G169" i="3"/>
  <c r="L169" i="3" s="1"/>
  <c r="G171" i="3"/>
  <c r="L171" i="3" s="1"/>
  <c r="E145" i="3"/>
  <c r="F145" i="3" s="1"/>
  <c r="R207" i="3"/>
  <c r="E207" i="3"/>
  <c r="F207" i="3" s="1"/>
  <c r="R210" i="3"/>
  <c r="E210" i="3"/>
  <c r="F210" i="3" s="1"/>
  <c r="R214" i="3"/>
  <c r="R227" i="3"/>
  <c r="E227" i="3"/>
  <c r="F227" i="3" s="1"/>
  <c r="G227" i="3"/>
  <c r="L227" i="3" s="1"/>
  <c r="E230" i="3"/>
  <c r="F230" i="3" s="1"/>
  <c r="R230" i="3"/>
  <c r="G277" i="3"/>
  <c r="L277" i="3" s="1"/>
  <c r="R277" i="3"/>
  <c r="E277" i="3"/>
  <c r="F277" i="3" s="1"/>
  <c r="G316" i="3"/>
  <c r="L316" i="3" s="1"/>
  <c r="E316" i="3"/>
  <c r="F316" i="3" s="1"/>
  <c r="R316" i="3"/>
  <c r="G325" i="3"/>
  <c r="L325" i="3" s="1"/>
  <c r="E325" i="3"/>
  <c r="F325" i="3" s="1"/>
  <c r="R325" i="3"/>
  <c r="R281" i="3"/>
  <c r="E281" i="3"/>
  <c r="F281" i="3" s="1"/>
  <c r="E284" i="3"/>
  <c r="F284" i="3" s="1"/>
  <c r="R312" i="3"/>
  <c r="G312" i="3"/>
  <c r="L312" i="3" s="1"/>
  <c r="E312" i="3"/>
  <c r="F312" i="3" s="1"/>
  <c r="G199" i="3"/>
  <c r="L199" i="3" s="1"/>
  <c r="R226" i="3"/>
  <c r="G253" i="3"/>
  <c r="L253" i="3" s="1"/>
  <c r="G281" i="3"/>
  <c r="L281" i="3" s="1"/>
  <c r="G284" i="3"/>
  <c r="L284" i="3" s="1"/>
  <c r="R240" i="3"/>
  <c r="G286" i="3"/>
  <c r="L286" i="3" s="1"/>
  <c r="G308" i="3"/>
  <c r="L308" i="3" s="1"/>
  <c r="E308" i="3"/>
  <c r="F308" i="3" s="1"/>
  <c r="R308" i="3"/>
  <c r="G317" i="3"/>
  <c r="L317" i="3" s="1"/>
  <c r="E317" i="3"/>
  <c r="F317" i="3" s="1"/>
  <c r="R317" i="3"/>
  <c r="G326" i="3"/>
  <c r="L326" i="3" s="1"/>
  <c r="E326" i="3"/>
  <c r="F326" i="3" s="1"/>
  <c r="R326" i="3"/>
  <c r="G335" i="3"/>
  <c r="L335" i="3" s="1"/>
  <c r="E335" i="3"/>
  <c r="F335" i="3" s="1"/>
  <c r="R335" i="3"/>
  <c r="G313" i="3"/>
  <c r="L313" i="3" s="1"/>
  <c r="E313" i="3"/>
  <c r="F313" i="3" s="1"/>
  <c r="R313" i="3"/>
  <c r="G322" i="3"/>
  <c r="L322" i="3" s="1"/>
  <c r="E322" i="3"/>
  <c r="F322" i="3" s="1"/>
  <c r="R322" i="3"/>
  <c r="G331" i="3"/>
  <c r="L331" i="3" s="1"/>
  <c r="E331" i="3"/>
  <c r="F331" i="3" s="1"/>
  <c r="R331" i="3"/>
  <c r="R375" i="3"/>
  <c r="G375" i="3"/>
  <c r="L375" i="3" s="1"/>
  <c r="E375" i="3"/>
  <c r="F375" i="3" s="1"/>
  <c r="R387" i="3"/>
  <c r="E387" i="3"/>
  <c r="F387" i="3" s="1"/>
  <c r="G387" i="3"/>
  <c r="L387" i="3" s="1"/>
  <c r="E175" i="3"/>
  <c r="F175" i="3" s="1"/>
  <c r="G177" i="3"/>
  <c r="L177" i="3" s="1"/>
  <c r="G240" i="3"/>
  <c r="L240" i="3" s="1"/>
  <c r="R246" i="3"/>
  <c r="G265" i="3"/>
  <c r="L265" i="3" s="1"/>
  <c r="G271" i="3"/>
  <c r="L271" i="3" s="1"/>
  <c r="R282" i="3"/>
  <c r="E282" i="3"/>
  <c r="F282" i="3" s="1"/>
  <c r="R284" i="3"/>
  <c r="R286" i="3"/>
  <c r="E309" i="3"/>
  <c r="F309" i="3" s="1"/>
  <c r="G341" i="3"/>
  <c r="L341" i="3" s="1"/>
  <c r="E341" i="3"/>
  <c r="F341" i="3" s="1"/>
  <c r="R341" i="3"/>
  <c r="G196" i="3"/>
  <c r="L196" i="3" s="1"/>
  <c r="R222" i="3"/>
  <c r="R263" i="3"/>
  <c r="E263" i="3"/>
  <c r="F263" i="3" s="1"/>
  <c r="E269" i="3"/>
  <c r="F269" i="3" s="1"/>
  <c r="R269" i="3"/>
  <c r="R275" i="3"/>
  <c r="E275" i="3"/>
  <c r="F275" i="3" s="1"/>
  <c r="G296" i="3"/>
  <c r="L296" i="3" s="1"/>
  <c r="G314" i="3"/>
  <c r="L314" i="3" s="1"/>
  <c r="E314" i="3"/>
  <c r="F314" i="3" s="1"/>
  <c r="R314" i="3"/>
  <c r="G323" i="3"/>
  <c r="L323" i="3" s="1"/>
  <c r="E323" i="3"/>
  <c r="F323" i="3" s="1"/>
  <c r="R323" i="3"/>
  <c r="G332" i="3"/>
  <c r="L332" i="3" s="1"/>
  <c r="E332" i="3"/>
  <c r="F332" i="3" s="1"/>
  <c r="R332" i="3"/>
  <c r="R228" i="3"/>
  <c r="R283" i="3"/>
  <c r="G283" i="3"/>
  <c r="L283" i="3" s="1"/>
  <c r="R306" i="3"/>
  <c r="E306" i="3"/>
  <c r="F306" i="3" s="1"/>
  <c r="G310" i="3"/>
  <c r="L310" i="3" s="1"/>
  <c r="E310" i="3"/>
  <c r="F310" i="3" s="1"/>
  <c r="R310" i="3"/>
  <c r="G319" i="3"/>
  <c r="L319" i="3" s="1"/>
  <c r="E319" i="3"/>
  <c r="F319" i="3" s="1"/>
  <c r="R319" i="3"/>
  <c r="G328" i="3"/>
  <c r="L328" i="3" s="1"/>
  <c r="E328" i="3"/>
  <c r="F328" i="3" s="1"/>
  <c r="R328" i="3"/>
  <c r="G338" i="3"/>
  <c r="L338" i="3" s="1"/>
  <c r="E338" i="3"/>
  <c r="F338" i="3" s="1"/>
  <c r="R338" i="3"/>
  <c r="G178" i="3"/>
  <c r="L178" i="3" s="1"/>
  <c r="G189" i="3"/>
  <c r="L189" i="3" s="1"/>
  <c r="R192" i="3"/>
  <c r="R204" i="3"/>
  <c r="G226" i="3"/>
  <c r="L226" i="3" s="1"/>
  <c r="R258" i="3"/>
  <c r="R299" i="3"/>
  <c r="E299" i="3"/>
  <c r="F299" i="3" s="1"/>
  <c r="G311" i="3"/>
  <c r="L311" i="3" s="1"/>
  <c r="E311" i="3"/>
  <c r="F311" i="3" s="1"/>
  <c r="R311" i="3"/>
  <c r="G320" i="3"/>
  <c r="L320" i="3" s="1"/>
  <c r="E320" i="3"/>
  <c r="F320" i="3" s="1"/>
  <c r="R320" i="3"/>
  <c r="G329" i="3"/>
  <c r="L329" i="3" s="1"/>
  <c r="E329" i="3"/>
  <c r="F329" i="3" s="1"/>
  <c r="R329" i="3"/>
  <c r="R378" i="3"/>
  <c r="E378" i="3"/>
  <c r="F378" i="3" s="1"/>
  <c r="G378" i="3"/>
  <c r="L378" i="3" s="1"/>
  <c r="R287" i="3"/>
  <c r="G302" i="3"/>
  <c r="L302" i="3" s="1"/>
  <c r="G304" i="3"/>
  <c r="L304" i="3" s="1"/>
  <c r="R304" i="3"/>
  <c r="E304" i="3"/>
  <c r="F304" i="3" s="1"/>
  <c r="R384" i="3"/>
  <c r="G384" i="3"/>
  <c r="L384" i="3" s="1"/>
  <c r="G334" i="3"/>
  <c r="L334" i="3" s="1"/>
  <c r="E334" i="3"/>
  <c r="F334" i="3" s="1"/>
  <c r="G340" i="3"/>
  <c r="L340" i="3" s="1"/>
  <c r="E340" i="3"/>
  <c r="F340" i="3" s="1"/>
  <c r="G343" i="3"/>
  <c r="L343" i="3" s="1"/>
  <c r="E343" i="3"/>
  <c r="F343" i="3" s="1"/>
  <c r="G349" i="3"/>
  <c r="L349" i="3" s="1"/>
  <c r="E349" i="3"/>
  <c r="F349" i="3" s="1"/>
  <c r="G352" i="3"/>
  <c r="L352" i="3" s="1"/>
  <c r="E352" i="3"/>
  <c r="F352" i="3" s="1"/>
  <c r="G358" i="3"/>
  <c r="L358" i="3" s="1"/>
  <c r="E358" i="3"/>
  <c r="F358" i="3" s="1"/>
  <c r="G361" i="3"/>
  <c r="L361" i="3" s="1"/>
  <c r="E361" i="3"/>
  <c r="F361" i="3" s="1"/>
  <c r="G337" i="3"/>
  <c r="L337" i="3" s="1"/>
  <c r="E337" i="3"/>
  <c r="F337" i="3" s="1"/>
  <c r="G346" i="3"/>
  <c r="L346" i="3" s="1"/>
  <c r="E346" i="3"/>
  <c r="F346" i="3" s="1"/>
  <c r="G355" i="3"/>
  <c r="L355" i="3" s="1"/>
  <c r="E355" i="3"/>
  <c r="F355" i="3" s="1"/>
  <c r="G367" i="3"/>
  <c r="L367" i="3" s="1"/>
  <c r="E367" i="3"/>
  <c r="F367" i="3" s="1"/>
  <c r="G370" i="3"/>
  <c r="L370" i="3" s="1"/>
  <c r="E370" i="3"/>
  <c r="F370" i="3" s="1"/>
  <c r="R302" i="3"/>
  <c r="G364" i="3"/>
  <c r="L364" i="3" s="1"/>
  <c r="E364" i="3"/>
  <c r="F364" i="3" s="1"/>
  <c r="G376" i="3"/>
  <c r="L376" i="3" s="1"/>
  <c r="E376" i="3"/>
  <c r="F376" i="3" s="1"/>
  <c r="G379" i="3"/>
  <c r="L379" i="3" s="1"/>
  <c r="E379" i="3"/>
  <c r="F379" i="3" s="1"/>
  <c r="G385" i="3"/>
  <c r="L385" i="3" s="1"/>
  <c r="E385" i="3"/>
  <c r="F385" i="3" s="1"/>
  <c r="G388" i="3"/>
  <c r="L388" i="3" s="1"/>
  <c r="E388" i="3"/>
  <c r="F388" i="3" s="1"/>
  <c r="R388" i="3"/>
  <c r="E280" i="3"/>
  <c r="F280" i="3" s="1"/>
  <c r="E293" i="3"/>
  <c r="F293" i="3" s="1"/>
  <c r="R337" i="3"/>
  <c r="R340" i="3"/>
  <c r="R346" i="3"/>
  <c r="R349" i="3"/>
  <c r="R355" i="3"/>
  <c r="R358" i="3"/>
  <c r="G373" i="3"/>
  <c r="L373" i="3" s="1"/>
  <c r="E373" i="3"/>
  <c r="F373" i="3" s="1"/>
  <c r="G293" i="3"/>
  <c r="L293" i="3" s="1"/>
  <c r="E305" i="3"/>
  <c r="F305" i="3" s="1"/>
  <c r="R305" i="3"/>
  <c r="R334" i="3"/>
  <c r="R343" i="3"/>
  <c r="R352" i="3"/>
  <c r="R361" i="3"/>
  <c r="R364" i="3"/>
  <c r="R367" i="3"/>
  <c r="G344" i="3"/>
  <c r="L344" i="3" s="1"/>
  <c r="E344" i="3"/>
  <c r="F344" i="3" s="1"/>
  <c r="G347" i="3"/>
  <c r="L347" i="3" s="1"/>
  <c r="E347" i="3"/>
  <c r="F347" i="3" s="1"/>
  <c r="G350" i="3"/>
  <c r="L350" i="3" s="1"/>
  <c r="E350" i="3"/>
  <c r="F350" i="3" s="1"/>
  <c r="R350" i="3"/>
  <c r="G353" i="3"/>
  <c r="L353" i="3" s="1"/>
  <c r="E353" i="3"/>
  <c r="F353" i="3" s="1"/>
  <c r="G359" i="3"/>
  <c r="L359" i="3" s="1"/>
  <c r="E359" i="3"/>
  <c r="F359" i="3" s="1"/>
  <c r="R359" i="3"/>
  <c r="G362" i="3"/>
  <c r="L362" i="3" s="1"/>
  <c r="E362" i="3"/>
  <c r="F362" i="3" s="1"/>
  <c r="R376" i="3"/>
  <c r="G290" i="3"/>
  <c r="L290" i="3" s="1"/>
  <c r="G368" i="3"/>
  <c r="L368" i="3" s="1"/>
  <c r="E368" i="3"/>
  <c r="F368" i="3" s="1"/>
  <c r="R368" i="3"/>
  <c r="G371" i="3"/>
  <c r="L371" i="3" s="1"/>
  <c r="E371" i="3"/>
  <c r="F371" i="3" s="1"/>
  <c r="G389" i="3"/>
  <c r="L389" i="3" s="1"/>
  <c r="E389" i="3"/>
  <c r="F389" i="3" s="1"/>
  <c r="G395" i="3"/>
  <c r="L395" i="3" s="1"/>
  <c r="E395" i="3"/>
  <c r="F395" i="3" s="1"/>
  <c r="R395" i="3"/>
  <c r="R344" i="3"/>
  <c r="R347" i="3"/>
  <c r="R353" i="3"/>
  <c r="G377" i="3"/>
  <c r="L377" i="3" s="1"/>
  <c r="E377" i="3"/>
  <c r="F377" i="3" s="1"/>
  <c r="R377" i="3"/>
  <c r="G380" i="3"/>
  <c r="L380" i="3" s="1"/>
  <c r="E380" i="3"/>
  <c r="F380" i="3" s="1"/>
  <c r="G386" i="3"/>
  <c r="L386" i="3" s="1"/>
  <c r="E386" i="3"/>
  <c r="F386" i="3" s="1"/>
  <c r="R386" i="3"/>
  <c r="R315" i="3"/>
  <c r="E315" i="3"/>
  <c r="F315" i="3" s="1"/>
  <c r="E318" i="3"/>
  <c r="F318" i="3" s="1"/>
  <c r="R321" i="3"/>
  <c r="G321" i="3"/>
  <c r="L321" i="3" s="1"/>
  <c r="R324" i="3"/>
  <c r="E324" i="3"/>
  <c r="F324" i="3" s="1"/>
  <c r="E327" i="3"/>
  <c r="F327" i="3" s="1"/>
  <c r="R330" i="3"/>
  <c r="G330" i="3"/>
  <c r="L330" i="3" s="1"/>
  <c r="R333" i="3"/>
  <c r="E333" i="3"/>
  <c r="F333" i="3" s="1"/>
  <c r="E336" i="3"/>
  <c r="F336" i="3" s="1"/>
  <c r="R339" i="3"/>
  <c r="G339" i="3"/>
  <c r="L339" i="3" s="1"/>
  <c r="R342" i="3"/>
  <c r="E342" i="3"/>
  <c r="F342" i="3" s="1"/>
  <c r="E345" i="3"/>
  <c r="F345" i="3" s="1"/>
  <c r="R348" i="3"/>
  <c r="G348" i="3"/>
  <c r="L348" i="3" s="1"/>
  <c r="R351" i="3"/>
  <c r="E351" i="3"/>
  <c r="F351" i="3" s="1"/>
  <c r="R357" i="3"/>
  <c r="G357" i="3"/>
  <c r="L357" i="3" s="1"/>
  <c r="R360" i="3"/>
  <c r="E360" i="3"/>
  <c r="F360" i="3" s="1"/>
  <c r="E321" i="3"/>
  <c r="F321" i="3" s="1"/>
  <c r="E330" i="3"/>
  <c r="F330" i="3" s="1"/>
  <c r="E339" i="3"/>
  <c r="F339" i="3" s="1"/>
  <c r="E348" i="3"/>
  <c r="F348" i="3" s="1"/>
  <c r="E357" i="3"/>
  <c r="F357" i="3" s="1"/>
  <c r="R366" i="3"/>
  <c r="G366" i="3"/>
  <c r="L366" i="3" s="1"/>
  <c r="R369" i="3"/>
  <c r="E369" i="3"/>
  <c r="F369" i="3" s="1"/>
  <c r="R380" i="3"/>
  <c r="R396" i="3"/>
  <c r="E396" i="3"/>
  <c r="F396" i="3" s="1"/>
  <c r="R393" i="3"/>
  <c r="G393" i="3"/>
  <c r="L393" i="3" s="1"/>
  <c r="G396" i="3"/>
  <c r="L396" i="3" s="1"/>
  <c r="A214" i="8"/>
  <c r="G382" i="3"/>
  <c r="L382" i="3" s="1"/>
  <c r="E382" i="3"/>
  <c r="F382" i="3" s="1"/>
  <c r="G391" i="3"/>
  <c r="L391" i="3" s="1"/>
  <c r="E391" i="3"/>
  <c r="F391" i="3" s="1"/>
  <c r="A229" i="8"/>
  <c r="A169" i="8"/>
  <c r="G394" i="3"/>
  <c r="L394" i="3" s="1"/>
  <c r="E394" i="3"/>
  <c r="F394" i="3" s="1"/>
  <c r="A184" i="8"/>
  <c r="G356" i="3"/>
  <c r="L356" i="3" s="1"/>
  <c r="E356" i="3"/>
  <c r="F356" i="3" s="1"/>
  <c r="G365" i="3"/>
  <c r="L365" i="3" s="1"/>
  <c r="E365" i="3"/>
  <c r="F365" i="3" s="1"/>
  <c r="G374" i="3"/>
  <c r="L374" i="3" s="1"/>
  <c r="E374" i="3"/>
  <c r="F374" i="3" s="1"/>
  <c r="G383" i="3"/>
  <c r="L383" i="3" s="1"/>
  <c r="E383" i="3"/>
  <c r="F383" i="3" s="1"/>
  <c r="G392" i="3"/>
  <c r="L392" i="3" s="1"/>
  <c r="E392" i="3"/>
  <c r="F392" i="3" s="1"/>
  <c r="E354" i="3"/>
  <c r="F354" i="3" s="1"/>
  <c r="A199" i="8"/>
  <c r="BF48" i="3"/>
  <c r="C343" i="3" s="1" a="1"/>
  <c r="BF47" i="3"/>
  <c r="C263" i="3" s="1" a="1"/>
  <c r="C20" i="1"/>
  <c r="BF46" i="3"/>
  <c r="C178" i="3" s="1" a="1"/>
  <c r="BF45" i="3"/>
  <c r="C92" i="3" s="1" a="1"/>
  <c r="BF44" i="3"/>
  <c r="C2" i="3" s="1" a="1"/>
  <c r="C49" i="3" s="1"/>
  <c r="BF49" i="3"/>
  <c r="H52" i="7" l="1"/>
  <c r="H41" i="7"/>
  <c r="H69" i="7"/>
  <c r="H32" i="7"/>
  <c r="H66" i="7"/>
  <c r="H80" i="7"/>
  <c r="H7" i="7"/>
  <c r="H77" i="7"/>
  <c r="H27" i="7"/>
  <c r="H43" i="7"/>
  <c r="H40" i="7"/>
  <c r="H68" i="7"/>
  <c r="H76" i="7"/>
  <c r="H35" i="7"/>
  <c r="H34" i="7"/>
  <c r="H71" i="7"/>
  <c r="H38" i="7"/>
  <c r="A1425" i="8"/>
  <c r="I96" i="3" s="1"/>
  <c r="K96" i="3" s="1"/>
  <c r="E12" i="7" s="1"/>
  <c r="H12" i="7" s="1"/>
  <c r="A1365" i="8"/>
  <c r="A1410" i="8"/>
  <c r="I95" i="3" s="1"/>
  <c r="A1290" i="8"/>
  <c r="I87" i="3" s="1"/>
  <c r="K87" i="3" s="1"/>
  <c r="A1275" i="8"/>
  <c r="I86" i="3" s="1"/>
  <c r="A1140" i="8"/>
  <c r="I77" i="3" s="1"/>
  <c r="K77" i="3" s="1"/>
  <c r="A990" i="8"/>
  <c r="I67" i="3" s="1"/>
  <c r="L67" i="3" s="1"/>
  <c r="A870" i="8"/>
  <c r="I59" i="3" s="1"/>
  <c r="K59" i="3" s="1"/>
  <c r="A810" i="8"/>
  <c r="I55" i="3" s="1"/>
  <c r="A960" i="8"/>
  <c r="I65" i="3" s="1"/>
  <c r="K65" i="3" s="1"/>
  <c r="A795" i="8"/>
  <c r="I54" i="3" s="1"/>
  <c r="A720" i="8"/>
  <c r="I49" i="3" s="1"/>
  <c r="K49" i="3" s="1"/>
  <c r="A540" i="8"/>
  <c r="I37" i="3" s="1"/>
  <c r="L37" i="3" s="1"/>
  <c r="A570" i="8"/>
  <c r="I39" i="3" s="1"/>
  <c r="A525" i="8"/>
  <c r="I36" i="3" s="1"/>
  <c r="L36" i="3" s="1"/>
  <c r="A390" i="8"/>
  <c r="I27" i="3" s="1"/>
  <c r="K27" i="3" s="1"/>
  <c r="E14" i="7" s="1"/>
  <c r="A495" i="8"/>
  <c r="I34" i="3" s="1"/>
  <c r="K34" i="3" s="1"/>
  <c r="A405" i="8"/>
  <c r="I28" i="3" s="1"/>
  <c r="K28" i="3" s="1"/>
  <c r="A420" i="8"/>
  <c r="I29" i="3" s="1"/>
  <c r="A2055" i="8"/>
  <c r="A2040" i="8"/>
  <c r="A1995" i="8"/>
  <c r="I134" i="3" s="1"/>
  <c r="A2025" i="8"/>
  <c r="A1980" i="8"/>
  <c r="I133" i="3" s="1"/>
  <c r="A1920" i="8"/>
  <c r="I129" i="3" s="1"/>
  <c r="A1830" i="8"/>
  <c r="I123" i="3" s="1"/>
  <c r="A1845" i="8"/>
  <c r="A1875" i="8"/>
  <c r="A1905" i="8"/>
  <c r="I128" i="3" s="1"/>
  <c r="A1680" i="8"/>
  <c r="A1740" i="8"/>
  <c r="I117" i="3" s="1"/>
  <c r="A1815" i="8"/>
  <c r="I122" i="3" s="1"/>
  <c r="A1860" i="8"/>
  <c r="I125" i="3" s="1"/>
  <c r="A1785" i="8"/>
  <c r="I120" i="3" s="1"/>
  <c r="A1800" i="8"/>
  <c r="I121" i="3" s="1"/>
  <c r="A1755" i="8"/>
  <c r="I118" i="3" s="1"/>
  <c r="A1770" i="8"/>
  <c r="I119" i="3" s="1"/>
  <c r="A1710" i="8"/>
  <c r="I115" i="3" s="1"/>
  <c r="A1725" i="8"/>
  <c r="I116" i="3" s="1"/>
  <c r="A1695" i="8"/>
  <c r="I114" i="3" s="1"/>
  <c r="A1650" i="8"/>
  <c r="A1665" i="8"/>
  <c r="I112" i="3" s="1"/>
  <c r="A1635" i="8"/>
  <c r="I110" i="3" s="1"/>
  <c r="A1620" i="8"/>
  <c r="I109" i="3" s="1"/>
  <c r="A1515" i="8"/>
  <c r="A1605" i="8"/>
  <c r="I108" i="3" s="1"/>
  <c r="A1575" i="8"/>
  <c r="A1530" i="8"/>
  <c r="A1560" i="8"/>
  <c r="I105" i="3" s="1"/>
  <c r="A1545" i="8"/>
  <c r="A1500" i="8"/>
  <c r="I101" i="3" s="1"/>
  <c r="K101" i="3" s="1"/>
  <c r="A1485" i="8"/>
  <c r="I100" i="3" s="1"/>
  <c r="A1455" i="8"/>
  <c r="I98" i="3" s="1"/>
  <c r="A1470" i="8"/>
  <c r="I99" i="3" s="1"/>
  <c r="A1440" i="8"/>
  <c r="I97" i="3" s="1"/>
  <c r="L97" i="3" s="1"/>
  <c r="A1395" i="8"/>
  <c r="I94" i="3" s="1"/>
  <c r="K94" i="3" s="1"/>
  <c r="A1350" i="8"/>
  <c r="I91" i="3" s="1"/>
  <c r="K91" i="3" s="1"/>
  <c r="A1380" i="8"/>
  <c r="I93" i="3" s="1"/>
  <c r="K93" i="3" s="1"/>
  <c r="E73" i="7" s="1"/>
  <c r="A1335" i="8"/>
  <c r="I90" i="3" s="1"/>
  <c r="K90" i="3" s="1"/>
  <c r="A1320" i="8"/>
  <c r="I89" i="3" s="1"/>
  <c r="K89" i="3" s="1"/>
  <c r="A1095" i="8"/>
  <c r="I74" i="3" s="1"/>
  <c r="K74" i="3" s="1"/>
  <c r="E19" i="7" s="1"/>
  <c r="A1200" i="8"/>
  <c r="I81" i="3" s="1"/>
  <c r="A1230" i="8"/>
  <c r="I83" i="3" s="1"/>
  <c r="A1245" i="8"/>
  <c r="I84" i="3" s="1"/>
  <c r="A1170" i="8"/>
  <c r="I79" i="3" s="1"/>
  <c r="L79" i="3" s="1"/>
  <c r="A1305" i="8"/>
  <c r="I88" i="3" s="1"/>
  <c r="A1260" i="8"/>
  <c r="I85" i="3" s="1"/>
  <c r="A1215" i="8"/>
  <c r="I82" i="3" s="1"/>
  <c r="L82" i="3" s="1"/>
  <c r="A1185" i="8"/>
  <c r="I80" i="3" s="1"/>
  <c r="A1050" i="8"/>
  <c r="I71" i="3" s="1"/>
  <c r="A1080" i="8"/>
  <c r="I73" i="3" s="1"/>
  <c r="K73" i="3" s="1"/>
  <c r="E50" i="7" s="1"/>
  <c r="J50" i="7" s="1"/>
  <c r="A1065" i="8"/>
  <c r="I72" i="3" s="1"/>
  <c r="K72" i="3" s="1"/>
  <c r="A1125" i="8"/>
  <c r="I76" i="3" s="1"/>
  <c r="K76" i="3" s="1"/>
  <c r="A1155" i="8"/>
  <c r="I78" i="3" s="1"/>
  <c r="K78" i="3" s="1"/>
  <c r="A1110" i="8"/>
  <c r="I75" i="3" s="1"/>
  <c r="K75" i="3" s="1"/>
  <c r="A1035" i="8"/>
  <c r="I70" i="3" s="1"/>
  <c r="A1020" i="8"/>
  <c r="I69" i="3" s="1"/>
  <c r="A975" i="8"/>
  <c r="I66" i="3" s="1"/>
  <c r="K66" i="3" s="1"/>
  <c r="E49" i="7" s="1"/>
  <c r="H49" i="7" s="1"/>
  <c r="A1005" i="8"/>
  <c r="I68" i="3" s="1"/>
  <c r="K68" i="3" s="1"/>
  <c r="E51" i="7" s="1"/>
  <c r="A945" i="8"/>
  <c r="I64" i="3" s="1"/>
  <c r="K64" i="3" s="1"/>
  <c r="A930" i="8"/>
  <c r="I63" i="3" s="1"/>
  <c r="A915" i="8"/>
  <c r="I62" i="3" s="1"/>
  <c r="K62" i="3" s="1"/>
  <c r="A885" i="8"/>
  <c r="I60" i="3" s="1"/>
  <c r="K60" i="3" s="1"/>
  <c r="E60" i="7" s="1"/>
  <c r="H60" i="7" s="1"/>
  <c r="A855" i="8"/>
  <c r="I58" i="3" s="1"/>
  <c r="A825" i="8"/>
  <c r="I56" i="3" s="1"/>
  <c r="A780" i="8"/>
  <c r="I53" i="3" s="1"/>
  <c r="K53" i="3" s="1"/>
  <c r="A840" i="8"/>
  <c r="I57" i="3" s="1"/>
  <c r="K57" i="3" s="1"/>
  <c r="E53" i="7" s="1"/>
  <c r="A765" i="8"/>
  <c r="I52" i="3" s="1"/>
  <c r="K52" i="3" s="1"/>
  <c r="E48" i="7" s="1"/>
  <c r="H48" i="7" s="1"/>
  <c r="A735" i="8"/>
  <c r="I50" i="3" s="1"/>
  <c r="K50" i="3" s="1"/>
  <c r="A690" i="8"/>
  <c r="I47" i="3" s="1"/>
  <c r="K47" i="3" s="1"/>
  <c r="A750" i="8"/>
  <c r="I51" i="3" s="1"/>
  <c r="K51" i="3" s="1"/>
  <c r="A675" i="8"/>
  <c r="I46" i="3" s="1"/>
  <c r="K46" i="3" s="1"/>
  <c r="A705" i="8"/>
  <c r="I48" i="3" s="1"/>
  <c r="A660" i="8"/>
  <c r="I45" i="3" s="1"/>
  <c r="K45" i="3" s="1"/>
  <c r="A555" i="8"/>
  <c r="I38" i="3" s="1"/>
  <c r="K38" i="3" s="1"/>
  <c r="E55" i="7" s="1"/>
  <c r="A645" i="8"/>
  <c r="I44" i="3" s="1"/>
  <c r="K44" i="3" s="1"/>
  <c r="A585" i="8"/>
  <c r="I40" i="3" s="1"/>
  <c r="A630" i="8"/>
  <c r="I43" i="3" s="1"/>
  <c r="K43" i="3" s="1"/>
  <c r="A600" i="8"/>
  <c r="I41" i="3" s="1"/>
  <c r="A285" i="8"/>
  <c r="I20" i="3" s="1"/>
  <c r="A615" i="8"/>
  <c r="I42" i="3" s="1"/>
  <c r="K42" i="3" s="1"/>
  <c r="A465" i="8"/>
  <c r="I32" i="3" s="1"/>
  <c r="A510" i="8"/>
  <c r="I35" i="3" s="1"/>
  <c r="A450" i="8"/>
  <c r="I31" i="3" s="1"/>
  <c r="K31" i="3" s="1"/>
  <c r="E11" i="7" s="1"/>
  <c r="A480" i="8"/>
  <c r="I33" i="3" s="1"/>
  <c r="A300" i="8"/>
  <c r="I21" i="3" s="1"/>
  <c r="L21" i="3" s="1"/>
  <c r="A315" i="8"/>
  <c r="I22" i="3" s="1"/>
  <c r="A255" i="8"/>
  <c r="I18" i="3" s="1"/>
  <c r="A150" i="8"/>
  <c r="I11" i="3" s="1"/>
  <c r="A270" i="8"/>
  <c r="I19" i="3" s="1"/>
  <c r="A210" i="8"/>
  <c r="I15" i="3" s="1"/>
  <c r="A180" i="8"/>
  <c r="I13" i="3" s="1"/>
  <c r="A240" i="8"/>
  <c r="I17" i="3" s="1"/>
  <c r="A135" i="8"/>
  <c r="I10" i="3" s="1"/>
  <c r="A225" i="8"/>
  <c r="I16" i="3" s="1"/>
  <c r="A165" i="8"/>
  <c r="I12" i="3" s="1"/>
  <c r="A195" i="8"/>
  <c r="I14" i="3" s="1"/>
  <c r="A120" i="8"/>
  <c r="I9" i="3" s="1"/>
  <c r="A105" i="8"/>
  <c r="A45" i="8"/>
  <c r="A90" i="8"/>
  <c r="A30" i="8"/>
  <c r="A15" i="8"/>
  <c r="I2" i="3" s="1"/>
  <c r="I111" i="3"/>
  <c r="K61" i="3"/>
  <c r="I92" i="3"/>
  <c r="K92" i="3" s="1"/>
  <c r="I26" i="3"/>
  <c r="I25" i="3"/>
  <c r="L61" i="3"/>
  <c r="C389" i="3"/>
  <c r="C377" i="3"/>
  <c r="C365" i="3"/>
  <c r="C353" i="3"/>
  <c r="C398" i="3"/>
  <c r="C386" i="3"/>
  <c r="C374" i="3"/>
  <c r="C362" i="3"/>
  <c r="C350" i="3"/>
  <c r="C397" i="3"/>
  <c r="C385" i="3"/>
  <c r="C373" i="3"/>
  <c r="C361" i="3"/>
  <c r="C349" i="3"/>
  <c r="C392" i="3"/>
  <c r="C376" i="3"/>
  <c r="C359" i="3"/>
  <c r="C344" i="3"/>
  <c r="C391" i="3"/>
  <c r="C375" i="3"/>
  <c r="C358" i="3"/>
  <c r="C343" i="3"/>
  <c r="C390" i="3"/>
  <c r="C372" i="3"/>
  <c r="C357" i="3"/>
  <c r="C388" i="3"/>
  <c r="C371" i="3"/>
  <c r="C356" i="3"/>
  <c r="C387" i="3"/>
  <c r="C370" i="3"/>
  <c r="C355" i="3"/>
  <c r="C384" i="3"/>
  <c r="C369" i="3"/>
  <c r="C354" i="3"/>
  <c r="C400" i="3"/>
  <c r="C383" i="3"/>
  <c r="C368" i="3"/>
  <c r="C352" i="3"/>
  <c r="C399" i="3"/>
  <c r="C382" i="3"/>
  <c r="C367" i="3"/>
  <c r="C351" i="3"/>
  <c r="C396" i="3"/>
  <c r="C381" i="3"/>
  <c r="C366" i="3"/>
  <c r="C348" i="3"/>
  <c r="C395" i="3"/>
  <c r="C380" i="3"/>
  <c r="C364" i="3"/>
  <c r="C347" i="3"/>
  <c r="C394" i="3"/>
  <c r="C379" i="3"/>
  <c r="C363" i="3"/>
  <c r="C346" i="3"/>
  <c r="C393" i="3"/>
  <c r="C378" i="3"/>
  <c r="C360" i="3"/>
  <c r="C345" i="3"/>
  <c r="D22" i="1" a="1"/>
  <c r="C22" i="1" a="1"/>
  <c r="C342" i="3"/>
  <c r="C330" i="3"/>
  <c r="C318" i="3"/>
  <c r="C306" i="3"/>
  <c r="C339" i="3"/>
  <c r="C327" i="3"/>
  <c r="C315" i="3"/>
  <c r="C303" i="3"/>
  <c r="C291" i="3"/>
  <c r="C279" i="3"/>
  <c r="C333" i="3"/>
  <c r="C319" i="3"/>
  <c r="C304" i="3"/>
  <c r="C290" i="3"/>
  <c r="C277" i="3"/>
  <c r="C265" i="3"/>
  <c r="C332" i="3"/>
  <c r="C317" i="3"/>
  <c r="C302" i="3"/>
  <c r="C289" i="3"/>
  <c r="C276" i="3"/>
  <c r="C264" i="3"/>
  <c r="C331" i="3"/>
  <c r="C316" i="3"/>
  <c r="C301" i="3"/>
  <c r="C288" i="3"/>
  <c r="C275" i="3"/>
  <c r="C263" i="3"/>
  <c r="C278" i="3"/>
  <c r="C329" i="3"/>
  <c r="C314" i="3"/>
  <c r="C300" i="3"/>
  <c r="C287" i="3"/>
  <c r="C274" i="3"/>
  <c r="C328" i="3"/>
  <c r="C313" i="3"/>
  <c r="C299" i="3"/>
  <c r="C286" i="3"/>
  <c r="C273" i="3"/>
  <c r="C334" i="3"/>
  <c r="C320" i="3"/>
  <c r="C305" i="3"/>
  <c r="C292" i="3"/>
  <c r="C266" i="3"/>
  <c r="C341" i="3"/>
  <c r="C326" i="3"/>
  <c r="C312" i="3"/>
  <c r="C298" i="3"/>
  <c r="C285" i="3"/>
  <c r="C272" i="3"/>
  <c r="C340" i="3"/>
  <c r="C325" i="3"/>
  <c r="C311" i="3"/>
  <c r="C297" i="3"/>
  <c r="C284" i="3"/>
  <c r="C271" i="3"/>
  <c r="C338" i="3"/>
  <c r="C324" i="3"/>
  <c r="C310" i="3"/>
  <c r="C296" i="3"/>
  <c r="C283" i="3"/>
  <c r="C270" i="3"/>
  <c r="C337" i="3"/>
  <c r="C323" i="3"/>
  <c r="C309" i="3"/>
  <c r="C295" i="3"/>
  <c r="C282" i="3"/>
  <c r="C269" i="3"/>
  <c r="C336" i="3"/>
  <c r="C322" i="3"/>
  <c r="C308" i="3"/>
  <c r="C294" i="3"/>
  <c r="C281" i="3"/>
  <c r="C268" i="3"/>
  <c r="C335" i="3"/>
  <c r="C321" i="3"/>
  <c r="C307" i="3"/>
  <c r="C293" i="3"/>
  <c r="C280" i="3"/>
  <c r="C267" i="3"/>
  <c r="C258" i="3"/>
  <c r="C246" i="3"/>
  <c r="C234" i="3"/>
  <c r="C222" i="3"/>
  <c r="C210" i="3"/>
  <c r="C198" i="3"/>
  <c r="C186" i="3"/>
  <c r="C256" i="3"/>
  <c r="C244" i="3"/>
  <c r="C232" i="3"/>
  <c r="C220" i="3"/>
  <c r="C208" i="3"/>
  <c r="C196" i="3"/>
  <c r="C184" i="3"/>
  <c r="C255" i="3"/>
  <c r="C243" i="3"/>
  <c r="C231" i="3"/>
  <c r="C219" i="3"/>
  <c r="C207" i="3"/>
  <c r="C195" i="3"/>
  <c r="C183" i="3"/>
  <c r="C253" i="3"/>
  <c r="C241" i="3"/>
  <c r="C229" i="3"/>
  <c r="C217" i="3"/>
  <c r="C205" i="3"/>
  <c r="C193" i="3"/>
  <c r="C181" i="3"/>
  <c r="C252" i="3"/>
  <c r="C240" i="3"/>
  <c r="C228" i="3"/>
  <c r="C216" i="3"/>
  <c r="C204" i="3"/>
  <c r="C192" i="3"/>
  <c r="C180" i="3"/>
  <c r="C262" i="3"/>
  <c r="C250" i="3"/>
  <c r="C238" i="3"/>
  <c r="C226" i="3"/>
  <c r="C214" i="3"/>
  <c r="C202" i="3"/>
  <c r="C190" i="3"/>
  <c r="C178" i="3"/>
  <c r="C261" i="3"/>
  <c r="C249" i="3"/>
  <c r="C237" i="3"/>
  <c r="C225" i="3"/>
  <c r="C213" i="3"/>
  <c r="C201" i="3"/>
  <c r="C189" i="3"/>
  <c r="C260" i="3"/>
  <c r="C248" i="3"/>
  <c r="C236" i="3"/>
  <c r="C224" i="3"/>
  <c r="C212" i="3"/>
  <c r="C200" i="3"/>
  <c r="C188" i="3"/>
  <c r="C259" i="3"/>
  <c r="C247" i="3"/>
  <c r="C235" i="3"/>
  <c r="C223" i="3"/>
  <c r="C211" i="3"/>
  <c r="C199" i="3"/>
  <c r="C187" i="3"/>
  <c r="C254" i="3"/>
  <c r="C206" i="3"/>
  <c r="C251" i="3"/>
  <c r="C203" i="3"/>
  <c r="C245" i="3"/>
  <c r="C197" i="3"/>
  <c r="C242" i="3"/>
  <c r="C194" i="3"/>
  <c r="C191" i="3"/>
  <c r="C239" i="3"/>
  <c r="C233" i="3"/>
  <c r="C185" i="3"/>
  <c r="C230" i="3"/>
  <c r="C182" i="3"/>
  <c r="C227" i="3"/>
  <c r="C179" i="3"/>
  <c r="C257" i="3"/>
  <c r="C221" i="3"/>
  <c r="C218" i="3"/>
  <c r="C215" i="3"/>
  <c r="C209" i="3"/>
  <c r="C167" i="3"/>
  <c r="C155" i="3"/>
  <c r="C143" i="3"/>
  <c r="C131" i="3"/>
  <c r="C119" i="3"/>
  <c r="C107" i="3"/>
  <c r="C95" i="3"/>
  <c r="C166" i="3"/>
  <c r="C154" i="3"/>
  <c r="C142" i="3"/>
  <c r="C130" i="3"/>
  <c r="C118" i="3"/>
  <c r="C176" i="3"/>
  <c r="C164" i="3"/>
  <c r="C152" i="3"/>
  <c r="C140" i="3"/>
  <c r="C128" i="3"/>
  <c r="C116" i="3"/>
  <c r="C104" i="3"/>
  <c r="C92" i="3"/>
  <c r="C173" i="3"/>
  <c r="C161" i="3"/>
  <c r="C149" i="3"/>
  <c r="C137" i="3"/>
  <c r="C125" i="3"/>
  <c r="C113" i="3"/>
  <c r="C101" i="3"/>
  <c r="C172" i="3"/>
  <c r="C156" i="3"/>
  <c r="C136" i="3"/>
  <c r="C120" i="3"/>
  <c r="C102" i="3"/>
  <c r="C171" i="3"/>
  <c r="C153" i="3"/>
  <c r="C135" i="3"/>
  <c r="C117" i="3"/>
  <c r="C100" i="3"/>
  <c r="C170" i="3"/>
  <c r="C151" i="3"/>
  <c r="C134" i="3"/>
  <c r="C115" i="3"/>
  <c r="C99" i="3"/>
  <c r="C168" i="3"/>
  <c r="C132" i="3"/>
  <c r="C112" i="3"/>
  <c r="C169" i="3"/>
  <c r="C150" i="3"/>
  <c r="C133" i="3"/>
  <c r="C114" i="3"/>
  <c r="C98" i="3"/>
  <c r="C97" i="3"/>
  <c r="C148" i="3"/>
  <c r="C165" i="3"/>
  <c r="C147" i="3"/>
  <c r="C129" i="3"/>
  <c r="C111" i="3"/>
  <c r="C96" i="3"/>
  <c r="C163" i="3"/>
  <c r="C146" i="3"/>
  <c r="C127" i="3"/>
  <c r="C110" i="3"/>
  <c r="C94" i="3"/>
  <c r="C162" i="3"/>
  <c r="C145" i="3"/>
  <c r="C126" i="3"/>
  <c r="C109" i="3"/>
  <c r="C93" i="3"/>
  <c r="C160" i="3"/>
  <c r="C144" i="3"/>
  <c r="C124" i="3"/>
  <c r="C108" i="3"/>
  <c r="C103" i="3"/>
  <c r="C177" i="3"/>
  <c r="C159" i="3"/>
  <c r="C141" i="3"/>
  <c r="C123" i="3"/>
  <c r="C106" i="3"/>
  <c r="C175" i="3"/>
  <c r="C158" i="3"/>
  <c r="C139" i="3"/>
  <c r="C122" i="3"/>
  <c r="C105" i="3"/>
  <c r="C174" i="3"/>
  <c r="C157" i="3"/>
  <c r="C138" i="3"/>
  <c r="C121" i="3"/>
  <c r="C67" i="3"/>
  <c r="C35" i="3"/>
  <c r="D35" i="3" s="1"/>
  <c r="C54" i="3"/>
  <c r="C27" i="3"/>
  <c r="D27" i="3" s="1"/>
  <c r="I14" i="7" s="1"/>
  <c r="C72" i="3"/>
  <c r="D72" i="3" s="1"/>
  <c r="C25" i="3"/>
  <c r="D25" i="3" s="1"/>
  <c r="C78" i="3"/>
  <c r="C17" i="3"/>
  <c r="D17" i="3" s="1"/>
  <c r="C8" i="3"/>
  <c r="D8" i="3" s="1"/>
  <c r="C85" i="3"/>
  <c r="D85" i="3" s="1"/>
  <c r="C36" i="3"/>
  <c r="C37" i="3"/>
  <c r="D37" i="3" s="1"/>
  <c r="I78" i="7" s="1"/>
  <c r="C91" i="3"/>
  <c r="C29" i="3"/>
  <c r="D29" i="3" s="1"/>
  <c r="C20" i="3"/>
  <c r="D20" i="3" s="1"/>
  <c r="C41" i="3"/>
  <c r="D41" i="3" s="1"/>
  <c r="C86" i="3"/>
  <c r="D86" i="3" s="1"/>
  <c r="C82" i="3"/>
  <c r="D82" i="3" s="1"/>
  <c r="C80" i="3"/>
  <c r="D80" i="3" s="1"/>
  <c r="C16" i="3"/>
  <c r="D16" i="3" s="1"/>
  <c r="C13" i="3"/>
  <c r="D13" i="3" s="1"/>
  <c r="C58" i="3"/>
  <c r="D58" i="3" s="1"/>
  <c r="I61" i="7" s="1"/>
  <c r="C4" i="3"/>
  <c r="D4" i="3" s="1"/>
  <c r="C32" i="3"/>
  <c r="D32" i="3" s="1"/>
  <c r="C52" i="3"/>
  <c r="C62" i="3"/>
  <c r="D62" i="3" s="1"/>
  <c r="C63" i="3"/>
  <c r="D63" i="3" s="1"/>
  <c r="C68" i="3"/>
  <c r="D68" i="3" s="1"/>
  <c r="I51" i="7" s="1"/>
  <c r="C45" i="3"/>
  <c r="D45" i="3" s="1"/>
  <c r="C65" i="3"/>
  <c r="C23" i="3"/>
  <c r="D23" i="3" s="1"/>
  <c r="I52" i="7" s="1"/>
  <c r="K52" i="7" s="1"/>
  <c r="L52" i="7" s="1"/>
  <c r="C34" i="3"/>
  <c r="C76" i="3"/>
  <c r="D76" i="3" s="1"/>
  <c r="C5" i="3"/>
  <c r="D5" i="3" s="1"/>
  <c r="C6" i="3"/>
  <c r="D6" i="3" s="1"/>
  <c r="C71" i="3"/>
  <c r="D71" i="3" s="1"/>
  <c r="C77" i="3"/>
  <c r="C83" i="3"/>
  <c r="D83" i="3" s="1"/>
  <c r="C7" i="3"/>
  <c r="D7" i="3" s="1"/>
  <c r="C70" i="3"/>
  <c r="D70" i="3" s="1"/>
  <c r="C39" i="3"/>
  <c r="D39" i="3" s="1"/>
  <c r="C31" i="3"/>
  <c r="D31" i="3" s="1"/>
  <c r="I11" i="7" s="1"/>
  <c r="C38" i="3"/>
  <c r="C69" i="3"/>
  <c r="D69" i="3" s="1"/>
  <c r="C46" i="3"/>
  <c r="D46" i="3" s="1"/>
  <c r="C50" i="3"/>
  <c r="D50" i="3" s="1"/>
  <c r="C55" i="3"/>
  <c r="D55" i="3" s="1"/>
  <c r="C53" i="3"/>
  <c r="D53" i="3" s="1"/>
  <c r="C90" i="3"/>
  <c r="C18" i="3"/>
  <c r="D18" i="3" s="1"/>
  <c r="I62" i="7" s="1"/>
  <c r="C22" i="3"/>
  <c r="D22" i="3" s="1"/>
  <c r="C10" i="3"/>
  <c r="D10" i="3" s="1"/>
  <c r="C2" i="3"/>
  <c r="C30" i="3"/>
  <c r="C60" i="3"/>
  <c r="D60" i="3" s="1"/>
  <c r="C88" i="3"/>
  <c r="D88" i="3" s="1"/>
  <c r="C14" i="3"/>
  <c r="D14" i="3" s="1"/>
  <c r="I45" i="7" s="1"/>
  <c r="C28" i="3"/>
  <c r="C43" i="3"/>
  <c r="D43" i="3" s="1"/>
  <c r="C21" i="3"/>
  <c r="D21" i="3" s="1"/>
  <c r="C57" i="3"/>
  <c r="C11" i="3"/>
  <c r="D11" i="3" s="1"/>
  <c r="C51" i="3"/>
  <c r="D51" i="3" s="1"/>
  <c r="C59" i="3"/>
  <c r="C64" i="3"/>
  <c r="C3" i="3"/>
  <c r="D3" i="3" s="1"/>
  <c r="C42" i="3"/>
  <c r="D42" i="3" s="1"/>
  <c r="C84" i="3"/>
  <c r="D84" i="3" s="1"/>
  <c r="C89" i="3"/>
  <c r="D89" i="3" s="1"/>
  <c r="C81" i="3"/>
  <c r="D81" i="3" s="1"/>
  <c r="C9" i="3"/>
  <c r="D9" i="3" s="1"/>
  <c r="C73" i="3"/>
  <c r="C66" i="3"/>
  <c r="C61" i="3"/>
  <c r="J61" i="3" s="1"/>
  <c r="C26" i="3"/>
  <c r="C40" i="3"/>
  <c r="D40" i="3" s="1"/>
  <c r="C56" i="3"/>
  <c r="D56" i="3" s="1"/>
  <c r="C33" i="3"/>
  <c r="D33" i="3" s="1"/>
  <c r="C24" i="3"/>
  <c r="D24" i="3" s="1"/>
  <c r="C87" i="3"/>
  <c r="C79" i="3"/>
  <c r="C75" i="3"/>
  <c r="D75" i="3" s="1"/>
  <c r="P75" i="3" s="1"/>
  <c r="C74" i="3"/>
  <c r="D74" i="3" s="1"/>
  <c r="I19" i="7" s="1"/>
  <c r="C48" i="3"/>
  <c r="D48" i="3" s="1"/>
  <c r="P48" i="3" s="1"/>
  <c r="C47" i="3"/>
  <c r="D47" i="3" s="1"/>
  <c r="C44" i="3"/>
  <c r="D44" i="3" s="1"/>
  <c r="M44" i="3" s="1"/>
  <c r="C19" i="3"/>
  <c r="D19" i="3" s="1"/>
  <c r="I63" i="7" s="1"/>
  <c r="C15" i="3"/>
  <c r="C12" i="3"/>
  <c r="D66" i="3"/>
  <c r="D67" i="3"/>
  <c r="D91" i="3"/>
  <c r="D90" i="3"/>
  <c r="D49" i="3"/>
  <c r="D54" i="3"/>
  <c r="D52" i="3"/>
  <c r="D77" i="3"/>
  <c r="H50" i="7" l="1"/>
  <c r="J53" i="7"/>
  <c r="H53" i="7"/>
  <c r="J11" i="7"/>
  <c r="H11" i="7"/>
  <c r="K11" i="7"/>
  <c r="J73" i="7"/>
  <c r="H73" i="7"/>
  <c r="J19" i="7"/>
  <c r="H19" i="7"/>
  <c r="K19" i="7"/>
  <c r="J51" i="7"/>
  <c r="H51" i="7"/>
  <c r="K51" i="7"/>
  <c r="J55" i="7"/>
  <c r="H55" i="7"/>
  <c r="K14" i="7"/>
  <c r="H14" i="7"/>
  <c r="J60" i="7"/>
  <c r="J49" i="7"/>
  <c r="J48" i="7"/>
  <c r="J14" i="7"/>
  <c r="J12" i="7"/>
  <c r="J67" i="3"/>
  <c r="L96" i="3"/>
  <c r="J87" i="3"/>
  <c r="L87" i="3"/>
  <c r="K67" i="3"/>
  <c r="O67" i="3" s="1"/>
  <c r="L59" i="3"/>
  <c r="J59" i="3"/>
  <c r="L49" i="3"/>
  <c r="J65" i="3"/>
  <c r="L65" i="3"/>
  <c r="J49" i="3"/>
  <c r="J34" i="3"/>
  <c r="K37" i="3"/>
  <c r="E78" i="7" s="1"/>
  <c r="J37" i="3"/>
  <c r="L27" i="3"/>
  <c r="L28" i="3"/>
  <c r="J36" i="3"/>
  <c r="K36" i="3"/>
  <c r="E54" i="7" s="1"/>
  <c r="J28" i="3"/>
  <c r="L34" i="3"/>
  <c r="I126" i="3"/>
  <c r="J126" i="3" s="1"/>
  <c r="D28" i="3"/>
  <c r="P28" i="3" s="1"/>
  <c r="J90" i="3"/>
  <c r="L90" i="3"/>
  <c r="L89" i="3"/>
  <c r="J46" i="3"/>
  <c r="L46" i="3"/>
  <c r="K97" i="3"/>
  <c r="I124" i="3"/>
  <c r="J124" i="3" s="1"/>
  <c r="I113" i="3"/>
  <c r="J113" i="3" s="1"/>
  <c r="K110" i="3"/>
  <c r="L110" i="3"/>
  <c r="J114" i="3"/>
  <c r="I107" i="3"/>
  <c r="J107" i="3" s="1"/>
  <c r="I106" i="3"/>
  <c r="J106" i="3" s="1"/>
  <c r="I103" i="3"/>
  <c r="J103" i="3" s="1"/>
  <c r="I104" i="3"/>
  <c r="J104" i="3" s="1"/>
  <c r="I102" i="3"/>
  <c r="K102" i="3" s="1"/>
  <c r="E8" i="7" s="1"/>
  <c r="D34" i="3"/>
  <c r="P34" i="3" s="1"/>
  <c r="J84" i="3"/>
  <c r="J63" i="3"/>
  <c r="J69" i="3"/>
  <c r="J83" i="3"/>
  <c r="J88" i="3"/>
  <c r="J33" i="3"/>
  <c r="J81" i="3"/>
  <c r="J58" i="3"/>
  <c r="J85" i="3"/>
  <c r="N75" i="3"/>
  <c r="L44" i="3"/>
  <c r="K79" i="3"/>
  <c r="J79" i="3"/>
  <c r="L94" i="3"/>
  <c r="J50" i="3"/>
  <c r="L72" i="3"/>
  <c r="J60" i="3"/>
  <c r="J72" i="3"/>
  <c r="J53" i="3"/>
  <c r="J57" i="3"/>
  <c r="J78" i="3"/>
  <c r="J91" i="3"/>
  <c r="L91" i="3"/>
  <c r="J29" i="3"/>
  <c r="L101" i="3"/>
  <c r="J62" i="3"/>
  <c r="K98" i="3"/>
  <c r="L98" i="3"/>
  <c r="J73" i="3"/>
  <c r="K88" i="3"/>
  <c r="O88" i="3" s="1"/>
  <c r="L93" i="3"/>
  <c r="K83" i="3"/>
  <c r="O83" i="3" s="1"/>
  <c r="L83" i="3"/>
  <c r="J76" i="3"/>
  <c r="L76" i="3"/>
  <c r="K82" i="3"/>
  <c r="O82" i="3" s="1"/>
  <c r="K81" i="3"/>
  <c r="O81" i="3" s="1"/>
  <c r="L81" i="3"/>
  <c r="L78" i="3"/>
  <c r="L60" i="3"/>
  <c r="L74" i="3"/>
  <c r="J66" i="3"/>
  <c r="J64" i="3"/>
  <c r="J45" i="3"/>
  <c r="L64" i="3"/>
  <c r="K63" i="3"/>
  <c r="O63" i="3" s="1"/>
  <c r="L63" i="3"/>
  <c r="L68" i="3"/>
  <c r="L62" i="3"/>
  <c r="K58" i="3"/>
  <c r="E61" i="7" s="1"/>
  <c r="L45" i="3"/>
  <c r="L66" i="3"/>
  <c r="L57" i="3"/>
  <c r="J42" i="3"/>
  <c r="L53" i="3"/>
  <c r="J51" i="3"/>
  <c r="J52" i="3"/>
  <c r="L52" i="3"/>
  <c r="L50" i="3"/>
  <c r="K48" i="3"/>
  <c r="N48" i="3" s="1"/>
  <c r="L48" i="3"/>
  <c r="L47" i="3"/>
  <c r="L43" i="3"/>
  <c r="L51" i="3"/>
  <c r="L42" i="3"/>
  <c r="J38" i="3"/>
  <c r="L38" i="3"/>
  <c r="L31" i="3"/>
  <c r="K33" i="3"/>
  <c r="O33" i="3" s="1"/>
  <c r="L33" i="3"/>
  <c r="K29" i="3"/>
  <c r="O29" i="3" s="1"/>
  <c r="L29" i="3"/>
  <c r="K95" i="3"/>
  <c r="E10" i="7" s="1"/>
  <c r="H10" i="7" s="1"/>
  <c r="I8" i="3"/>
  <c r="K80" i="3"/>
  <c r="O80" i="3" s="1"/>
  <c r="I7" i="3"/>
  <c r="I3" i="3"/>
  <c r="K3" i="3" s="1"/>
  <c r="K35" i="3"/>
  <c r="I4" i="3"/>
  <c r="L95" i="3"/>
  <c r="J35" i="3"/>
  <c r="L80" i="3"/>
  <c r="L35" i="3"/>
  <c r="J30" i="3"/>
  <c r="J32" i="3"/>
  <c r="J77" i="3"/>
  <c r="L75" i="3"/>
  <c r="K30" i="3"/>
  <c r="L30" i="3"/>
  <c r="L77" i="3"/>
  <c r="L92" i="3"/>
  <c r="L73" i="3"/>
  <c r="L58" i="3"/>
  <c r="L88" i="3"/>
  <c r="D30" i="3"/>
  <c r="P30" i="3" s="1"/>
  <c r="J70" i="3"/>
  <c r="J89" i="3"/>
  <c r="D36" i="3"/>
  <c r="I54" i="7" s="1"/>
  <c r="J54" i="3"/>
  <c r="J27" i="3"/>
  <c r="J68" i="3"/>
  <c r="J24" i="3"/>
  <c r="D38" i="3"/>
  <c r="J20" i="3"/>
  <c r="D59" i="3"/>
  <c r="O59" i="3" s="1"/>
  <c r="J40" i="3"/>
  <c r="J21" i="3"/>
  <c r="K21" i="3"/>
  <c r="O21" i="3" s="1"/>
  <c r="L20" i="3"/>
  <c r="K20" i="3"/>
  <c r="N20" i="3" s="1"/>
  <c r="L19" i="3"/>
  <c r="K19" i="3"/>
  <c r="E63" i="7" s="1"/>
  <c r="L39" i="3"/>
  <c r="K39" i="3"/>
  <c r="O39" i="3" s="1"/>
  <c r="L85" i="3"/>
  <c r="K85" i="3"/>
  <c r="N85" i="3" s="1"/>
  <c r="L84" i="3"/>
  <c r="K84" i="3"/>
  <c r="O84" i="3" s="1"/>
  <c r="L22" i="3"/>
  <c r="K22" i="3"/>
  <c r="L99" i="3"/>
  <c r="K99" i="3"/>
  <c r="E59" i="7" s="1"/>
  <c r="L54" i="3"/>
  <c r="K54" i="3"/>
  <c r="O54" i="3" s="1"/>
  <c r="L70" i="3"/>
  <c r="K70" i="3"/>
  <c r="K24" i="3"/>
  <c r="O24" i="3" s="1"/>
  <c r="L24" i="3"/>
  <c r="L100" i="3"/>
  <c r="K100" i="3"/>
  <c r="L69" i="3"/>
  <c r="K69" i="3"/>
  <c r="O69" i="3" s="1"/>
  <c r="L55" i="3"/>
  <c r="K55" i="3"/>
  <c r="N55" i="3" s="1"/>
  <c r="J55" i="3"/>
  <c r="L40" i="3"/>
  <c r="K40" i="3"/>
  <c r="E22" i="7" s="1"/>
  <c r="H22" i="7" s="1"/>
  <c r="L10" i="3"/>
  <c r="K10" i="3"/>
  <c r="O10" i="3" s="1"/>
  <c r="J2" i="3"/>
  <c r="K2" i="3"/>
  <c r="L2" i="3"/>
  <c r="D64" i="3"/>
  <c r="M64" i="3" s="1"/>
  <c r="D12" i="3"/>
  <c r="P12" i="3" s="1"/>
  <c r="I22" i="7"/>
  <c r="M75" i="3"/>
  <c r="N44" i="3"/>
  <c r="P44" i="3"/>
  <c r="J19" i="3"/>
  <c r="D65" i="3"/>
  <c r="O65" i="3" s="1"/>
  <c r="O44" i="3"/>
  <c r="D61" i="3"/>
  <c r="M61" i="3" s="1"/>
  <c r="J82" i="3"/>
  <c r="J80" i="3"/>
  <c r="D26" i="3"/>
  <c r="P19" i="3"/>
  <c r="J47" i="3"/>
  <c r="J44" i="3"/>
  <c r="D78" i="3"/>
  <c r="M78" i="3" s="1"/>
  <c r="J31" i="3"/>
  <c r="D2" i="3"/>
  <c r="M19" i="3"/>
  <c r="J293" i="3"/>
  <c r="D293" i="3"/>
  <c r="D295" i="3"/>
  <c r="J295" i="3"/>
  <c r="J297" i="3"/>
  <c r="D297" i="3"/>
  <c r="J305" i="3"/>
  <c r="D305" i="3"/>
  <c r="I3" i="7" s="1"/>
  <c r="K3" i="7" s="1"/>
  <c r="L3" i="7" s="1"/>
  <c r="J329" i="3"/>
  <c r="D329" i="3"/>
  <c r="J317" i="3"/>
  <c r="D317" i="3"/>
  <c r="J327" i="3"/>
  <c r="D327" i="3"/>
  <c r="D378" i="3"/>
  <c r="J378" i="3"/>
  <c r="D381" i="3"/>
  <c r="J381" i="3"/>
  <c r="D384" i="3"/>
  <c r="J384" i="3"/>
  <c r="D375" i="3"/>
  <c r="J375" i="3"/>
  <c r="D362" i="3"/>
  <c r="J362" i="3"/>
  <c r="D307" i="3"/>
  <c r="J307" i="3"/>
  <c r="J309" i="3"/>
  <c r="D309" i="3"/>
  <c r="J311" i="3"/>
  <c r="D311" i="3"/>
  <c r="J320" i="3"/>
  <c r="D320" i="3"/>
  <c r="J278" i="3"/>
  <c r="D278" i="3"/>
  <c r="J332" i="3"/>
  <c r="D332" i="3"/>
  <c r="J339" i="3"/>
  <c r="D339" i="3"/>
  <c r="D393" i="3"/>
  <c r="J393" i="3"/>
  <c r="J396" i="3"/>
  <c r="D396" i="3"/>
  <c r="D355" i="3"/>
  <c r="J355" i="3"/>
  <c r="J391" i="3"/>
  <c r="D391" i="3"/>
  <c r="D374" i="3"/>
  <c r="J374" i="3"/>
  <c r="J321" i="3"/>
  <c r="D321" i="3"/>
  <c r="J323" i="3"/>
  <c r="D323" i="3"/>
  <c r="D325" i="3"/>
  <c r="J325" i="3"/>
  <c r="D334" i="3"/>
  <c r="J334" i="3"/>
  <c r="J263" i="3"/>
  <c r="D263" i="3"/>
  <c r="D265" i="3"/>
  <c r="J265" i="3"/>
  <c r="D306" i="3"/>
  <c r="J306" i="3"/>
  <c r="D346" i="3"/>
  <c r="J346" i="3"/>
  <c r="D351" i="3"/>
  <c r="J351" i="3"/>
  <c r="D370" i="3"/>
  <c r="J370" i="3"/>
  <c r="J344" i="3"/>
  <c r="D344" i="3"/>
  <c r="D386" i="3"/>
  <c r="J386" i="3"/>
  <c r="D335" i="3"/>
  <c r="J335" i="3"/>
  <c r="J337" i="3"/>
  <c r="D337" i="3"/>
  <c r="J340" i="3"/>
  <c r="D340" i="3"/>
  <c r="J273" i="3"/>
  <c r="D273" i="3"/>
  <c r="J275" i="3"/>
  <c r="D275" i="3"/>
  <c r="D277" i="3"/>
  <c r="J277" i="3"/>
  <c r="D318" i="3"/>
  <c r="I13" i="7" s="1"/>
  <c r="K13" i="7" s="1"/>
  <c r="L13" i="7" s="1"/>
  <c r="J318" i="3"/>
  <c r="D363" i="3"/>
  <c r="J363" i="3"/>
  <c r="D367" i="3"/>
  <c r="J367" i="3"/>
  <c r="J387" i="3"/>
  <c r="D387" i="3"/>
  <c r="D359" i="3"/>
  <c r="J359" i="3"/>
  <c r="D398" i="3"/>
  <c r="J398" i="3"/>
  <c r="J268" i="3"/>
  <c r="D268" i="3"/>
  <c r="D270" i="3"/>
  <c r="J270" i="3"/>
  <c r="D272" i="3"/>
  <c r="J272" i="3"/>
  <c r="J286" i="3"/>
  <c r="D286" i="3"/>
  <c r="D288" i="3"/>
  <c r="J288" i="3"/>
  <c r="J290" i="3"/>
  <c r="D290" i="3"/>
  <c r="J330" i="3"/>
  <c r="D330" i="3"/>
  <c r="D379" i="3"/>
  <c r="J379" i="3"/>
  <c r="D382" i="3"/>
  <c r="J382" i="3"/>
  <c r="D356" i="3"/>
  <c r="J356" i="3"/>
  <c r="J376" i="3"/>
  <c r="D376" i="3"/>
  <c r="D353" i="3"/>
  <c r="J353" i="3"/>
  <c r="J281" i="3"/>
  <c r="D281" i="3"/>
  <c r="D283" i="3"/>
  <c r="J283" i="3"/>
  <c r="J285" i="3"/>
  <c r="D285" i="3"/>
  <c r="J299" i="3"/>
  <c r="D299" i="3"/>
  <c r="D301" i="3"/>
  <c r="J301" i="3"/>
  <c r="J304" i="3"/>
  <c r="D304" i="3"/>
  <c r="I2" i="7" s="1"/>
  <c r="K2" i="7" s="1"/>
  <c r="L2" i="7" s="1"/>
  <c r="D342" i="3"/>
  <c r="J342" i="3"/>
  <c r="D394" i="3"/>
  <c r="J394" i="3"/>
  <c r="D399" i="3"/>
  <c r="J399" i="3"/>
  <c r="D371" i="3"/>
  <c r="J371" i="3"/>
  <c r="D392" i="3"/>
  <c r="J392" i="3"/>
  <c r="D365" i="3"/>
  <c r="J365" i="3"/>
  <c r="D294" i="3"/>
  <c r="J294" i="3"/>
  <c r="J296" i="3"/>
  <c r="D296" i="3"/>
  <c r="J298" i="3"/>
  <c r="D298" i="3"/>
  <c r="D313" i="3"/>
  <c r="J313" i="3"/>
  <c r="J316" i="3"/>
  <c r="D316" i="3"/>
  <c r="D319" i="3"/>
  <c r="J319" i="3"/>
  <c r="C26" i="1"/>
  <c r="C25" i="1"/>
  <c r="C24" i="1"/>
  <c r="C23" i="1"/>
  <c r="C22" i="1"/>
  <c r="D347" i="3"/>
  <c r="J347" i="3"/>
  <c r="J352" i="3"/>
  <c r="D352" i="3"/>
  <c r="J388" i="3"/>
  <c r="D388" i="3"/>
  <c r="J349" i="3"/>
  <c r="D349" i="3"/>
  <c r="D377" i="3"/>
  <c r="J377" i="3"/>
  <c r="J308" i="3"/>
  <c r="D308" i="3"/>
  <c r="J310" i="3"/>
  <c r="D310" i="3"/>
  <c r="I18" i="7" s="1"/>
  <c r="K18" i="7" s="1"/>
  <c r="L18" i="7" s="1"/>
  <c r="D312" i="3"/>
  <c r="I21" i="7" s="1"/>
  <c r="K21" i="7" s="1"/>
  <c r="L21" i="7" s="1"/>
  <c r="J312" i="3"/>
  <c r="J328" i="3"/>
  <c r="D328" i="3"/>
  <c r="I25" i="7" s="1"/>
  <c r="K25" i="7" s="1"/>
  <c r="L25" i="7" s="1"/>
  <c r="J331" i="3"/>
  <c r="D331" i="3"/>
  <c r="J333" i="3"/>
  <c r="D333" i="3"/>
  <c r="D26" i="1"/>
  <c r="D25" i="1"/>
  <c r="D24" i="1"/>
  <c r="D23" i="1"/>
  <c r="D22" i="1"/>
  <c r="J364" i="3"/>
  <c r="D364" i="3"/>
  <c r="D368" i="3"/>
  <c r="J368" i="3"/>
  <c r="D357" i="3"/>
  <c r="J357" i="3"/>
  <c r="D361" i="3"/>
  <c r="J361" i="3"/>
  <c r="D389" i="3"/>
  <c r="J389" i="3"/>
  <c r="J322" i="3"/>
  <c r="D322" i="3"/>
  <c r="J324" i="3"/>
  <c r="D324" i="3"/>
  <c r="J326" i="3"/>
  <c r="D326" i="3"/>
  <c r="J274" i="3"/>
  <c r="D274" i="3"/>
  <c r="D264" i="3"/>
  <c r="J264" i="3"/>
  <c r="J279" i="3"/>
  <c r="D279" i="3"/>
  <c r="J380" i="3"/>
  <c r="D380" i="3"/>
  <c r="D383" i="3"/>
  <c r="J383" i="3"/>
  <c r="J372" i="3"/>
  <c r="D372" i="3"/>
  <c r="D373" i="3"/>
  <c r="J373" i="3"/>
  <c r="J336" i="3"/>
  <c r="D336" i="3"/>
  <c r="J338" i="3"/>
  <c r="D338" i="3"/>
  <c r="J341" i="3"/>
  <c r="D341" i="3"/>
  <c r="J287" i="3"/>
  <c r="D287" i="3"/>
  <c r="D276" i="3"/>
  <c r="J276" i="3"/>
  <c r="J291" i="3"/>
  <c r="D291" i="3"/>
  <c r="J395" i="3"/>
  <c r="D395" i="3"/>
  <c r="J400" i="3"/>
  <c r="D400" i="3"/>
  <c r="D390" i="3"/>
  <c r="J390" i="3"/>
  <c r="D385" i="3"/>
  <c r="J385" i="3"/>
  <c r="J267" i="3"/>
  <c r="D267" i="3"/>
  <c r="J269" i="3"/>
  <c r="D269" i="3"/>
  <c r="D271" i="3"/>
  <c r="J271" i="3"/>
  <c r="J266" i="3"/>
  <c r="D266" i="3"/>
  <c r="D300" i="3"/>
  <c r="J300" i="3"/>
  <c r="D289" i="3"/>
  <c r="J289" i="3"/>
  <c r="J303" i="3"/>
  <c r="D303" i="3"/>
  <c r="D345" i="3"/>
  <c r="J345" i="3"/>
  <c r="J348" i="3"/>
  <c r="D348" i="3"/>
  <c r="D354" i="3"/>
  <c r="J354" i="3"/>
  <c r="D343" i="3"/>
  <c r="J343" i="3"/>
  <c r="D397" i="3"/>
  <c r="J397" i="3"/>
  <c r="J280" i="3"/>
  <c r="D280" i="3"/>
  <c r="D282" i="3"/>
  <c r="J282" i="3"/>
  <c r="D284" i="3"/>
  <c r="J284" i="3"/>
  <c r="J292" i="3"/>
  <c r="D292" i="3"/>
  <c r="J314" i="3"/>
  <c r="D314" i="3"/>
  <c r="J302" i="3"/>
  <c r="D302" i="3"/>
  <c r="J315" i="3"/>
  <c r="D315" i="3"/>
  <c r="I79" i="7" s="1"/>
  <c r="K79" i="7" s="1"/>
  <c r="L79" i="7" s="1"/>
  <c r="J360" i="3"/>
  <c r="D360" i="3"/>
  <c r="D366" i="3"/>
  <c r="J366" i="3"/>
  <c r="D369" i="3"/>
  <c r="J369" i="3"/>
  <c r="D358" i="3"/>
  <c r="J358" i="3"/>
  <c r="D350" i="3"/>
  <c r="J350" i="3"/>
  <c r="D230" i="3"/>
  <c r="J230" i="3"/>
  <c r="D254" i="3"/>
  <c r="J254" i="3"/>
  <c r="D236" i="3"/>
  <c r="J236" i="3"/>
  <c r="D202" i="3"/>
  <c r="I37" i="7" s="1"/>
  <c r="K37" i="7" s="1"/>
  <c r="L37" i="7" s="1"/>
  <c r="J202" i="3"/>
  <c r="D252" i="3"/>
  <c r="J252" i="3"/>
  <c r="J231" i="3"/>
  <c r="D231" i="3"/>
  <c r="D210" i="3"/>
  <c r="J210" i="3"/>
  <c r="J185" i="3"/>
  <c r="D185" i="3"/>
  <c r="J187" i="3"/>
  <c r="D187" i="3"/>
  <c r="I23" i="7" s="1"/>
  <c r="K23" i="7" s="1"/>
  <c r="L23" i="7" s="1"/>
  <c r="D248" i="3"/>
  <c r="J248" i="3"/>
  <c r="D214" i="3"/>
  <c r="I33" i="7" s="1"/>
  <c r="K33" i="7" s="1"/>
  <c r="L33" i="7" s="1"/>
  <c r="J214" i="3"/>
  <c r="J181" i="3"/>
  <c r="D181" i="3"/>
  <c r="J243" i="3"/>
  <c r="D243" i="3"/>
  <c r="D222" i="3"/>
  <c r="J222" i="3"/>
  <c r="D206" i="3"/>
  <c r="J206" i="3"/>
  <c r="D233" i="3"/>
  <c r="J233" i="3"/>
  <c r="D199" i="3"/>
  <c r="J199" i="3"/>
  <c r="D260" i="3"/>
  <c r="J260" i="3"/>
  <c r="D226" i="3"/>
  <c r="J226" i="3"/>
  <c r="J193" i="3"/>
  <c r="D193" i="3"/>
  <c r="J255" i="3"/>
  <c r="D255" i="3"/>
  <c r="D234" i="3"/>
  <c r="J234" i="3"/>
  <c r="D240" i="3"/>
  <c r="J240" i="3"/>
  <c r="D239" i="3"/>
  <c r="J239" i="3"/>
  <c r="J211" i="3"/>
  <c r="D211" i="3"/>
  <c r="I42" i="7" s="1"/>
  <c r="K42" i="7" s="1"/>
  <c r="L42" i="7" s="1"/>
  <c r="J189" i="3"/>
  <c r="D189" i="3"/>
  <c r="I26" i="7" s="1"/>
  <c r="K26" i="7" s="1"/>
  <c r="L26" i="7" s="1"/>
  <c r="D238" i="3"/>
  <c r="J238" i="3"/>
  <c r="D205" i="3"/>
  <c r="J205" i="3"/>
  <c r="J184" i="3"/>
  <c r="D184" i="3"/>
  <c r="D246" i="3"/>
  <c r="I17" i="7" s="1"/>
  <c r="K17" i="7" s="1"/>
  <c r="L17" i="7" s="1"/>
  <c r="J246" i="3"/>
  <c r="J190" i="3"/>
  <c r="D190" i="3"/>
  <c r="I28" i="7" s="1"/>
  <c r="K28" i="7" s="1"/>
  <c r="L28" i="7" s="1"/>
  <c r="D209" i="3"/>
  <c r="J209" i="3"/>
  <c r="J191" i="3"/>
  <c r="D191" i="3"/>
  <c r="I30" i="7" s="1"/>
  <c r="K30" i="7" s="1"/>
  <c r="L30" i="7" s="1"/>
  <c r="D223" i="3"/>
  <c r="J223" i="3"/>
  <c r="D201" i="3"/>
  <c r="J201" i="3"/>
  <c r="D250" i="3"/>
  <c r="J250" i="3"/>
  <c r="D217" i="3"/>
  <c r="J217" i="3"/>
  <c r="J196" i="3"/>
  <c r="D196" i="3"/>
  <c r="D258" i="3"/>
  <c r="J258" i="3"/>
  <c r="D224" i="3"/>
  <c r="J224" i="3"/>
  <c r="D215" i="3"/>
  <c r="J215" i="3"/>
  <c r="J194" i="3"/>
  <c r="D194" i="3"/>
  <c r="D235" i="3"/>
  <c r="J235" i="3"/>
  <c r="D213" i="3"/>
  <c r="J213" i="3"/>
  <c r="D262" i="3"/>
  <c r="J262" i="3"/>
  <c r="D229" i="3"/>
  <c r="J229" i="3"/>
  <c r="D208" i="3"/>
  <c r="J208" i="3"/>
  <c r="D198" i="3"/>
  <c r="I70" i="7" s="1"/>
  <c r="K70" i="7" s="1"/>
  <c r="L70" i="7" s="1"/>
  <c r="J198" i="3"/>
  <c r="D218" i="3"/>
  <c r="J218" i="3"/>
  <c r="D242" i="3"/>
  <c r="J242" i="3"/>
  <c r="J247" i="3"/>
  <c r="D247" i="3"/>
  <c r="D225" i="3"/>
  <c r="J225" i="3"/>
  <c r="J180" i="3"/>
  <c r="D180" i="3"/>
  <c r="I64" i="7" s="1"/>
  <c r="K64" i="7" s="1"/>
  <c r="L64" i="7" s="1"/>
  <c r="D241" i="3"/>
  <c r="J241" i="3"/>
  <c r="D220" i="3"/>
  <c r="J220" i="3"/>
  <c r="D221" i="3"/>
  <c r="J221" i="3"/>
  <c r="J197" i="3"/>
  <c r="D197" i="3"/>
  <c r="J259" i="3"/>
  <c r="D259" i="3"/>
  <c r="D237" i="3"/>
  <c r="I74" i="7" s="1"/>
  <c r="K74" i="7" s="1"/>
  <c r="L74" i="7" s="1"/>
  <c r="J237" i="3"/>
  <c r="J192" i="3"/>
  <c r="D192" i="3"/>
  <c r="J253" i="3"/>
  <c r="D253" i="3"/>
  <c r="D232" i="3"/>
  <c r="J232" i="3"/>
  <c r="J257" i="3"/>
  <c r="D257" i="3"/>
  <c r="D245" i="3"/>
  <c r="J245" i="3"/>
  <c r="J188" i="3"/>
  <c r="D188" i="3"/>
  <c r="I24" i="7" s="1"/>
  <c r="K24" i="7" s="1"/>
  <c r="L24" i="7" s="1"/>
  <c r="J249" i="3"/>
  <c r="D249" i="3"/>
  <c r="D204" i="3"/>
  <c r="J204" i="3"/>
  <c r="J183" i="3"/>
  <c r="D183" i="3"/>
  <c r="D244" i="3"/>
  <c r="J244" i="3"/>
  <c r="D219" i="3"/>
  <c r="J219" i="3"/>
  <c r="D203" i="3"/>
  <c r="I39" i="7" s="1"/>
  <c r="K39" i="7" s="1"/>
  <c r="L39" i="7" s="1"/>
  <c r="J203" i="3"/>
  <c r="D200" i="3"/>
  <c r="J200" i="3"/>
  <c r="J261" i="3"/>
  <c r="D261" i="3"/>
  <c r="D216" i="3"/>
  <c r="I65" i="7" s="1"/>
  <c r="K65" i="7" s="1"/>
  <c r="L65" i="7" s="1"/>
  <c r="J216" i="3"/>
  <c r="J195" i="3"/>
  <c r="D195" i="3"/>
  <c r="D256" i="3"/>
  <c r="J256" i="3"/>
  <c r="J182" i="3"/>
  <c r="D182" i="3"/>
  <c r="J179" i="3"/>
  <c r="D179" i="3"/>
  <c r="J227" i="3"/>
  <c r="D227" i="3"/>
  <c r="J251" i="3"/>
  <c r="D251" i="3"/>
  <c r="D212" i="3"/>
  <c r="J212" i="3"/>
  <c r="J178" i="3"/>
  <c r="D178" i="3"/>
  <c r="D228" i="3"/>
  <c r="J228" i="3"/>
  <c r="J207" i="3"/>
  <c r="D207" i="3"/>
  <c r="I67" i="7" s="1"/>
  <c r="K67" i="7" s="1"/>
  <c r="L67" i="7" s="1"/>
  <c r="J186" i="3"/>
  <c r="D186" i="3"/>
  <c r="I31" i="7" s="1"/>
  <c r="K31" i="7" s="1"/>
  <c r="L31" i="7" s="1"/>
  <c r="J153" i="3"/>
  <c r="D153" i="3"/>
  <c r="J122" i="3"/>
  <c r="D122" i="3"/>
  <c r="I46" i="7" s="1"/>
  <c r="J144" i="3"/>
  <c r="D144" i="3"/>
  <c r="J96" i="3"/>
  <c r="D96" i="3"/>
  <c r="J112" i="3"/>
  <c r="D112" i="3"/>
  <c r="J171" i="3"/>
  <c r="D171" i="3"/>
  <c r="J173" i="3"/>
  <c r="D173" i="3"/>
  <c r="J154" i="3"/>
  <c r="D154" i="3"/>
  <c r="J139" i="3"/>
  <c r="D139" i="3"/>
  <c r="J160" i="3"/>
  <c r="D160" i="3"/>
  <c r="J111" i="3"/>
  <c r="D111" i="3"/>
  <c r="J132" i="3"/>
  <c r="D132" i="3"/>
  <c r="D102" i="3"/>
  <c r="I8" i="7" s="1"/>
  <c r="D92" i="3"/>
  <c r="J92" i="3"/>
  <c r="J166" i="3"/>
  <c r="D166" i="3"/>
  <c r="D105" i="3"/>
  <c r="I15" i="7" s="1"/>
  <c r="J105" i="3"/>
  <c r="J158" i="3"/>
  <c r="D158" i="3"/>
  <c r="J93" i="3"/>
  <c r="D93" i="3"/>
  <c r="I73" i="7" s="1"/>
  <c r="K73" i="7" s="1"/>
  <c r="J129" i="3"/>
  <c r="D129" i="3"/>
  <c r="J168" i="3"/>
  <c r="D168" i="3"/>
  <c r="J120" i="3"/>
  <c r="D120" i="3"/>
  <c r="D104" i="3"/>
  <c r="I9" i="7" s="1"/>
  <c r="J95" i="3"/>
  <c r="D95" i="3"/>
  <c r="J169" i="3"/>
  <c r="D169" i="3"/>
  <c r="J175" i="3"/>
  <c r="D175" i="3"/>
  <c r="J109" i="3"/>
  <c r="D109" i="3"/>
  <c r="J147" i="3"/>
  <c r="D147" i="3"/>
  <c r="J99" i="3"/>
  <c r="D99" i="3"/>
  <c r="I59" i="7" s="1"/>
  <c r="J136" i="3"/>
  <c r="D136" i="3"/>
  <c r="D116" i="3"/>
  <c r="D107" i="3"/>
  <c r="J161" i="3"/>
  <c r="D161" i="3"/>
  <c r="D106" i="3"/>
  <c r="D126" i="3"/>
  <c r="J165" i="3"/>
  <c r="D165" i="3"/>
  <c r="J115" i="3"/>
  <c r="D115" i="3"/>
  <c r="J156" i="3"/>
  <c r="D156" i="3"/>
  <c r="J128" i="3"/>
  <c r="D128" i="3"/>
  <c r="I75" i="7" s="1"/>
  <c r="J119" i="3"/>
  <c r="D119" i="3"/>
  <c r="J163" i="3"/>
  <c r="D163" i="3"/>
  <c r="J123" i="3"/>
  <c r="D123" i="3"/>
  <c r="J145" i="3"/>
  <c r="D145" i="3"/>
  <c r="J148" i="3"/>
  <c r="D148" i="3"/>
  <c r="I20" i="7" s="1"/>
  <c r="K20" i="7" s="1"/>
  <c r="L20" i="7" s="1"/>
  <c r="J134" i="3"/>
  <c r="D134" i="3"/>
  <c r="J172" i="3"/>
  <c r="D172" i="3"/>
  <c r="I29" i="7" s="1"/>
  <c r="K29" i="7" s="1"/>
  <c r="L29" i="7" s="1"/>
  <c r="J140" i="3"/>
  <c r="D140" i="3"/>
  <c r="I5" i="7" s="1"/>
  <c r="K5" i="7" s="1"/>
  <c r="L5" i="7" s="1"/>
  <c r="J131" i="3"/>
  <c r="D131" i="3"/>
  <c r="J142" i="3"/>
  <c r="D142" i="3"/>
  <c r="J141" i="3"/>
  <c r="D141" i="3"/>
  <c r="I16" i="7" s="1"/>
  <c r="K16" i="7" s="1"/>
  <c r="L16" i="7" s="1"/>
  <c r="J162" i="3"/>
  <c r="D162" i="3"/>
  <c r="J97" i="3"/>
  <c r="D97" i="3"/>
  <c r="J151" i="3"/>
  <c r="D151" i="3"/>
  <c r="D101" i="3"/>
  <c r="J101" i="3"/>
  <c r="J152" i="3"/>
  <c r="D152" i="3"/>
  <c r="J143" i="3"/>
  <c r="D143" i="3"/>
  <c r="D124" i="3"/>
  <c r="J121" i="3"/>
  <c r="D121" i="3"/>
  <c r="J159" i="3"/>
  <c r="D159" i="3"/>
  <c r="J94" i="3"/>
  <c r="D94" i="3"/>
  <c r="D98" i="3"/>
  <c r="J98" i="3"/>
  <c r="J170" i="3"/>
  <c r="D170" i="3"/>
  <c r="D113" i="3"/>
  <c r="J164" i="3"/>
  <c r="D164" i="3"/>
  <c r="J155" i="3"/>
  <c r="D155" i="3"/>
  <c r="J138" i="3"/>
  <c r="D138" i="3"/>
  <c r="J177" i="3"/>
  <c r="D177" i="3"/>
  <c r="I36" i="7" s="1"/>
  <c r="K36" i="7" s="1"/>
  <c r="L36" i="7" s="1"/>
  <c r="J110" i="3"/>
  <c r="D110" i="3"/>
  <c r="D114" i="3"/>
  <c r="D100" i="3"/>
  <c r="J100" i="3"/>
  <c r="J125" i="3"/>
  <c r="D125" i="3"/>
  <c r="J176" i="3"/>
  <c r="D176" i="3"/>
  <c r="J167" i="3"/>
  <c r="D167" i="3"/>
  <c r="D103" i="3"/>
  <c r="J133" i="3"/>
  <c r="D133" i="3"/>
  <c r="J117" i="3"/>
  <c r="D117" i="3"/>
  <c r="J137" i="3"/>
  <c r="D137" i="3"/>
  <c r="I4" i="7" s="1"/>
  <c r="K4" i="7" s="1"/>
  <c r="L4" i="7" s="1"/>
  <c r="J118" i="3"/>
  <c r="D118" i="3"/>
  <c r="J157" i="3"/>
  <c r="D157" i="3"/>
  <c r="I44" i="7" s="1"/>
  <c r="K44" i="7" s="1"/>
  <c r="L44" i="7" s="1"/>
  <c r="J127" i="3"/>
  <c r="D127" i="3"/>
  <c r="J174" i="3"/>
  <c r="D174" i="3"/>
  <c r="D108" i="3"/>
  <c r="J108" i="3"/>
  <c r="J146" i="3"/>
  <c r="D146" i="3"/>
  <c r="J150" i="3"/>
  <c r="D150" i="3"/>
  <c r="J135" i="3"/>
  <c r="D135" i="3"/>
  <c r="J149" i="3"/>
  <c r="D149" i="3"/>
  <c r="J130" i="3"/>
  <c r="D130" i="3"/>
  <c r="J10" i="3"/>
  <c r="O75" i="3"/>
  <c r="D57" i="3"/>
  <c r="J75" i="3"/>
  <c r="J23" i="3"/>
  <c r="J39" i="3"/>
  <c r="D73" i="3"/>
  <c r="O73" i="3" s="1"/>
  <c r="D79" i="3"/>
  <c r="J48" i="3"/>
  <c r="J22" i="3"/>
  <c r="J74" i="3"/>
  <c r="J43" i="3"/>
  <c r="D15" i="3"/>
  <c r="D87" i="3"/>
  <c r="N74" i="3"/>
  <c r="M74" i="3"/>
  <c r="P74" i="3"/>
  <c r="O74" i="3"/>
  <c r="M48" i="3"/>
  <c r="O47" i="3"/>
  <c r="P47" i="3"/>
  <c r="N47" i="3"/>
  <c r="M47" i="3"/>
  <c r="P27" i="3"/>
  <c r="O27" i="3"/>
  <c r="M27" i="3"/>
  <c r="N27" i="3"/>
  <c r="P69" i="3"/>
  <c r="M69" i="3"/>
  <c r="P55" i="3"/>
  <c r="M55" i="3"/>
  <c r="M72" i="3"/>
  <c r="O72" i="3"/>
  <c r="N72" i="3"/>
  <c r="P72" i="3"/>
  <c r="P6" i="3"/>
  <c r="M6" i="3"/>
  <c r="I57" i="7"/>
  <c r="O31" i="3"/>
  <c r="N31" i="3"/>
  <c r="M31" i="3"/>
  <c r="P31" i="3"/>
  <c r="M84" i="3"/>
  <c r="P84" i="3"/>
  <c r="P29" i="3"/>
  <c r="M29" i="3"/>
  <c r="P89" i="3"/>
  <c r="O89" i="3"/>
  <c r="N89" i="3"/>
  <c r="M89" i="3"/>
  <c r="M80" i="3"/>
  <c r="P80" i="3"/>
  <c r="P4" i="3"/>
  <c r="M4" i="3"/>
  <c r="M49" i="3"/>
  <c r="P49" i="3"/>
  <c r="O49" i="3"/>
  <c r="N49" i="3"/>
  <c r="P91" i="3"/>
  <c r="O91" i="3"/>
  <c r="N91" i="3"/>
  <c r="M91" i="3"/>
  <c r="M70" i="3"/>
  <c r="I49" i="7"/>
  <c r="K49" i="7" s="1"/>
  <c r="P70" i="3"/>
  <c r="M58" i="3"/>
  <c r="P58" i="3"/>
  <c r="M66" i="3"/>
  <c r="P66" i="3"/>
  <c r="O66" i="3"/>
  <c r="N66" i="3"/>
  <c r="P32" i="3"/>
  <c r="M32" i="3"/>
  <c r="P35" i="3"/>
  <c r="M35" i="3"/>
  <c r="O42" i="3"/>
  <c r="P42" i="3"/>
  <c r="N42" i="3"/>
  <c r="M42" i="3"/>
  <c r="M76" i="3"/>
  <c r="P76" i="3"/>
  <c r="O76" i="3"/>
  <c r="N76" i="3"/>
  <c r="M7" i="3"/>
  <c r="P7" i="3"/>
  <c r="P16" i="3"/>
  <c r="M16" i="3"/>
  <c r="M13" i="3"/>
  <c r="P13" i="3"/>
  <c r="M90" i="3"/>
  <c r="P90" i="3"/>
  <c r="O90" i="3"/>
  <c r="N90" i="3"/>
  <c r="I60" i="7"/>
  <c r="K60" i="7" s="1"/>
  <c r="O45" i="3"/>
  <c r="N45" i="3"/>
  <c r="M45" i="3"/>
  <c r="P45" i="3"/>
  <c r="M20" i="3"/>
  <c r="P20" i="3"/>
  <c r="M25" i="3"/>
  <c r="P25" i="3"/>
  <c r="P63" i="3"/>
  <c r="M63" i="3"/>
  <c r="P21" i="3"/>
  <c r="M21" i="3"/>
  <c r="P14" i="3"/>
  <c r="M14" i="3"/>
  <c r="P22" i="3"/>
  <c r="M22" i="3"/>
  <c r="M68" i="3"/>
  <c r="P68" i="3"/>
  <c r="O68" i="3"/>
  <c r="N68" i="3"/>
  <c r="P33" i="3"/>
  <c r="M33" i="3"/>
  <c r="P3" i="3"/>
  <c r="M3" i="3"/>
  <c r="P51" i="3"/>
  <c r="O51" i="3"/>
  <c r="N51" i="3"/>
  <c r="M51" i="3"/>
  <c r="M60" i="3"/>
  <c r="P60" i="3"/>
  <c r="O60" i="3"/>
  <c r="N60" i="3"/>
  <c r="M88" i="3"/>
  <c r="P88" i="3"/>
  <c r="I58" i="7"/>
  <c r="P5" i="3"/>
  <c r="M5" i="3"/>
  <c r="P83" i="3"/>
  <c r="M83" i="3"/>
  <c r="O50" i="3"/>
  <c r="P50" i="3"/>
  <c r="N50" i="3"/>
  <c r="M50" i="3"/>
  <c r="M62" i="3"/>
  <c r="P62" i="3"/>
  <c r="O62" i="3"/>
  <c r="N62" i="3"/>
  <c r="M37" i="3"/>
  <c r="P37" i="3"/>
  <c r="M46" i="3"/>
  <c r="N46" i="3"/>
  <c r="P46" i="3"/>
  <c r="O46" i="3"/>
  <c r="M86" i="3"/>
  <c r="P86" i="3"/>
  <c r="P67" i="3"/>
  <c r="M67" i="3"/>
  <c r="M82" i="3"/>
  <c r="P82" i="3"/>
  <c r="P43" i="3"/>
  <c r="O43" i="3"/>
  <c r="N43" i="3"/>
  <c r="M43" i="3"/>
  <c r="P77" i="3"/>
  <c r="O77" i="3"/>
  <c r="N77" i="3"/>
  <c r="M77" i="3"/>
  <c r="I48" i="7"/>
  <c r="K48" i="7" s="1"/>
  <c r="M56" i="3"/>
  <c r="P56" i="3"/>
  <c r="P23" i="3"/>
  <c r="O23" i="3"/>
  <c r="N23" i="3"/>
  <c r="M23" i="3"/>
  <c r="M39" i="3"/>
  <c r="P39" i="3"/>
  <c r="M52" i="3"/>
  <c r="P52" i="3"/>
  <c r="O52" i="3"/>
  <c r="N52" i="3"/>
  <c r="P9" i="3"/>
  <c r="M9" i="3"/>
  <c r="I6" i="7"/>
  <c r="P17" i="3"/>
  <c r="M17" i="3"/>
  <c r="P71" i="3"/>
  <c r="M71" i="3"/>
  <c r="P40" i="3"/>
  <c r="M40" i="3"/>
  <c r="N65" i="3"/>
  <c r="M65" i="3"/>
  <c r="P53" i="3"/>
  <c r="O53" i="3"/>
  <c r="N53" i="3"/>
  <c r="M53" i="3"/>
  <c r="P8" i="3"/>
  <c r="M8" i="3"/>
  <c r="M54" i="3"/>
  <c r="P54" i="3"/>
  <c r="P81" i="3"/>
  <c r="M81" i="3"/>
  <c r="M41" i="3"/>
  <c r="P41" i="3"/>
  <c r="P24" i="3"/>
  <c r="M24" i="3"/>
  <c r="P85" i="3"/>
  <c r="M85" i="3"/>
  <c r="P11" i="3"/>
  <c r="M11" i="3"/>
  <c r="P10" i="3"/>
  <c r="M10" i="3"/>
  <c r="O28" i="3"/>
  <c r="M28" i="3"/>
  <c r="N28" i="3"/>
  <c r="P18" i="3"/>
  <c r="M18" i="3"/>
  <c r="M34" i="3" l="1"/>
  <c r="N34" i="3"/>
  <c r="O34" i="3"/>
  <c r="P65" i="3"/>
  <c r="O38" i="3"/>
  <c r="I55" i="7"/>
  <c r="K55" i="7" s="1"/>
  <c r="P57" i="3"/>
  <c r="I53" i="7"/>
  <c r="K53" i="7" s="1"/>
  <c r="L53" i="7" s="1"/>
  <c r="L11" i="7"/>
  <c r="J8" i="7"/>
  <c r="H8" i="7"/>
  <c r="K8" i="7"/>
  <c r="J59" i="7"/>
  <c r="H59" i="7"/>
  <c r="K59" i="7"/>
  <c r="L19" i="7"/>
  <c r="L73" i="7"/>
  <c r="L51" i="7"/>
  <c r="J61" i="7"/>
  <c r="H61" i="7"/>
  <c r="K61" i="7"/>
  <c r="L55" i="7"/>
  <c r="J78" i="7"/>
  <c r="H78" i="7"/>
  <c r="K78" i="7"/>
  <c r="J54" i="7"/>
  <c r="H54" i="7"/>
  <c r="K54" i="7"/>
  <c r="K63" i="7"/>
  <c r="H63" i="7"/>
  <c r="K22" i="7"/>
  <c r="J22" i="7"/>
  <c r="J63" i="7"/>
  <c r="J10" i="7"/>
  <c r="N67" i="3"/>
  <c r="Q67" i="3" s="1"/>
  <c r="L14" i="7"/>
  <c r="N37" i="3"/>
  <c r="O37" i="3"/>
  <c r="N36" i="3"/>
  <c r="M36" i="3"/>
  <c r="P36" i="3"/>
  <c r="O36" i="3"/>
  <c r="I50" i="7"/>
  <c r="K50" i="7" s="1"/>
  <c r="I72" i="7"/>
  <c r="K72" i="7" s="1"/>
  <c r="L72" i="7" s="1"/>
  <c r="N19" i="3"/>
  <c r="N58" i="3"/>
  <c r="N40" i="3"/>
  <c r="N35" i="3"/>
  <c r="K134" i="3"/>
  <c r="N134" i="3" s="1"/>
  <c r="L134" i="3"/>
  <c r="K133" i="3"/>
  <c r="L133" i="3"/>
  <c r="K132" i="3"/>
  <c r="N132" i="3" s="1"/>
  <c r="L132" i="3"/>
  <c r="K131" i="3"/>
  <c r="N131" i="3" s="1"/>
  <c r="L131" i="3"/>
  <c r="K130" i="3"/>
  <c r="N130" i="3" s="1"/>
  <c r="L130" i="3"/>
  <c r="K129" i="3"/>
  <c r="O129" i="3" s="1"/>
  <c r="L129" i="3"/>
  <c r="K128" i="3"/>
  <c r="L128" i="3"/>
  <c r="K127" i="3"/>
  <c r="O127" i="3" s="1"/>
  <c r="L127" i="3"/>
  <c r="N73" i="3"/>
  <c r="Q73" i="3" s="1"/>
  <c r="M38" i="3"/>
  <c r="M73" i="3"/>
  <c r="O35" i="3"/>
  <c r="J102" i="3"/>
  <c r="K126" i="3"/>
  <c r="L126" i="3"/>
  <c r="K125" i="3"/>
  <c r="N125" i="3" s="1"/>
  <c r="L125" i="3"/>
  <c r="K123" i="3"/>
  <c r="E47" i="7" s="1"/>
  <c r="H47" i="7" s="1"/>
  <c r="L123" i="3"/>
  <c r="K120" i="3"/>
  <c r="L120" i="3"/>
  <c r="K118" i="3"/>
  <c r="O118" i="3" s="1"/>
  <c r="L118" i="3"/>
  <c r="K115" i="3"/>
  <c r="N115" i="3" s="1"/>
  <c r="L115" i="3"/>
  <c r="K113" i="3"/>
  <c r="O113" i="3" s="1"/>
  <c r="L113" i="3"/>
  <c r="K111" i="3"/>
  <c r="L111" i="3"/>
  <c r="K116" i="3"/>
  <c r="O116" i="3" s="1"/>
  <c r="L116" i="3"/>
  <c r="K121" i="3"/>
  <c r="N121" i="3" s="1"/>
  <c r="L121" i="3"/>
  <c r="K117" i="3"/>
  <c r="N117" i="3" s="1"/>
  <c r="L117" i="3"/>
  <c r="K112" i="3"/>
  <c r="O112" i="3" s="1"/>
  <c r="L112" i="3"/>
  <c r="K122" i="3"/>
  <c r="E46" i="7" s="1"/>
  <c r="L122" i="3"/>
  <c r="K119" i="3"/>
  <c r="O119" i="3" s="1"/>
  <c r="L119" i="3"/>
  <c r="K114" i="3"/>
  <c r="O114" i="3" s="1"/>
  <c r="L114" i="3"/>
  <c r="K124" i="3"/>
  <c r="O124" i="3" s="1"/>
  <c r="L124" i="3"/>
  <c r="J116" i="3"/>
  <c r="K109" i="3"/>
  <c r="L109" i="3"/>
  <c r="L102" i="3"/>
  <c r="K107" i="3"/>
  <c r="O107" i="3" s="1"/>
  <c r="L107" i="3"/>
  <c r="K108" i="3"/>
  <c r="L108" i="3"/>
  <c r="K105" i="3"/>
  <c r="E15" i="7" s="1"/>
  <c r="L105" i="3"/>
  <c r="K106" i="3"/>
  <c r="N106" i="3" s="1"/>
  <c r="L106" i="3"/>
  <c r="K104" i="3"/>
  <c r="E9" i="7" s="1"/>
  <c r="L104" i="3"/>
  <c r="K103" i="3"/>
  <c r="L103" i="3"/>
  <c r="P59" i="3"/>
  <c r="Q75" i="3"/>
  <c r="M30" i="3"/>
  <c r="P73" i="3"/>
  <c r="O30" i="3"/>
  <c r="N83" i="3"/>
  <c r="Q83" i="3" s="1"/>
  <c r="N88" i="3"/>
  <c r="Q88" i="3" s="1"/>
  <c r="N29" i="3"/>
  <c r="Q29" i="3" s="1"/>
  <c r="N63" i="3"/>
  <c r="Q63" i="3" s="1"/>
  <c r="O48" i="3"/>
  <c r="Q48" i="3" s="1"/>
  <c r="N82" i="3"/>
  <c r="Q82" i="3" s="1"/>
  <c r="O58" i="3"/>
  <c r="N81" i="3"/>
  <c r="Q81" i="3" s="1"/>
  <c r="N33" i="3"/>
  <c r="Q33" i="3" s="1"/>
  <c r="N80" i="3"/>
  <c r="Q80" i="3" s="1"/>
  <c r="Q47" i="3"/>
  <c r="L32" i="3"/>
  <c r="K32" i="3"/>
  <c r="O32" i="3" s="1"/>
  <c r="N30" i="3"/>
  <c r="J3" i="3"/>
  <c r="L3" i="3"/>
  <c r="N21" i="3"/>
  <c r="Q21" i="3" s="1"/>
  <c r="O20" i="3"/>
  <c r="Q20" i="3" s="1"/>
  <c r="N3" i="3"/>
  <c r="O3" i="3"/>
  <c r="P38" i="3"/>
  <c r="N38" i="3"/>
  <c r="Q38" i="3" s="1"/>
  <c r="O55" i="3"/>
  <c r="Q55" i="3" s="1"/>
  <c r="N78" i="3"/>
  <c r="M59" i="3"/>
  <c r="N59" i="3"/>
  <c r="Q59" i="3" s="1"/>
  <c r="Q42" i="3"/>
  <c r="O61" i="3"/>
  <c r="O78" i="3"/>
  <c r="P78" i="3"/>
  <c r="N64" i="3"/>
  <c r="Q44" i="3"/>
  <c r="O64" i="3"/>
  <c r="P64" i="3"/>
  <c r="M12" i="3"/>
  <c r="N54" i="3"/>
  <c r="Q54" i="3" s="1"/>
  <c r="N39" i="3"/>
  <c r="Q39" i="3" s="1"/>
  <c r="O85" i="3"/>
  <c r="Q85" i="3" s="1"/>
  <c r="N24" i="3"/>
  <c r="Q24" i="3" s="1"/>
  <c r="N10" i="3"/>
  <c r="Q10" i="3" s="1"/>
  <c r="O40" i="3"/>
  <c r="O19" i="3"/>
  <c r="N2" i="3"/>
  <c r="L18" i="3"/>
  <c r="K18" i="3"/>
  <c r="E62" i="7" s="1"/>
  <c r="J18" i="3"/>
  <c r="J17" i="3"/>
  <c r="K86" i="3"/>
  <c r="K71" i="3"/>
  <c r="K56" i="3"/>
  <c r="O22" i="3"/>
  <c r="N69" i="3"/>
  <c r="Q69" i="3" s="1"/>
  <c r="N70" i="3"/>
  <c r="N22" i="3"/>
  <c r="O70" i="3"/>
  <c r="K41" i="3"/>
  <c r="J26" i="3"/>
  <c r="N84" i="3"/>
  <c r="Q84" i="3" s="1"/>
  <c r="L25" i="3"/>
  <c r="K25" i="3"/>
  <c r="J25" i="3"/>
  <c r="Q77" i="3"/>
  <c r="L11" i="3"/>
  <c r="K11" i="3"/>
  <c r="J11" i="3"/>
  <c r="K9" i="3"/>
  <c r="L9" i="3"/>
  <c r="J9" i="3"/>
  <c r="L8" i="3"/>
  <c r="K8" i="3"/>
  <c r="J8" i="3"/>
  <c r="L7" i="3"/>
  <c r="K7" i="3"/>
  <c r="J7" i="3"/>
  <c r="K6" i="3"/>
  <c r="E57" i="7" s="1"/>
  <c r="L6" i="3"/>
  <c r="J6" i="3"/>
  <c r="L5" i="3"/>
  <c r="K5" i="3"/>
  <c r="E58" i="7" s="1"/>
  <c r="J5" i="3"/>
  <c r="L4" i="3"/>
  <c r="K4" i="3"/>
  <c r="J4" i="3"/>
  <c r="N61" i="3"/>
  <c r="Q45" i="3"/>
  <c r="Q90" i="3"/>
  <c r="O2" i="3"/>
  <c r="P2" i="3"/>
  <c r="Q65" i="3"/>
  <c r="Q23" i="3"/>
  <c r="M2" i="3"/>
  <c r="P61" i="3"/>
  <c r="M57" i="3"/>
  <c r="N57" i="3"/>
  <c r="O57" i="3"/>
  <c r="Q72" i="3"/>
  <c r="P26" i="3"/>
  <c r="M26" i="3"/>
  <c r="Q27" i="3"/>
  <c r="N315" i="3"/>
  <c r="O315" i="3"/>
  <c r="M315" i="3"/>
  <c r="P315" i="3"/>
  <c r="N280" i="3"/>
  <c r="M280" i="3"/>
  <c r="O280" i="3"/>
  <c r="P280" i="3"/>
  <c r="N303" i="3"/>
  <c r="O303" i="3"/>
  <c r="M303" i="3"/>
  <c r="P303" i="3"/>
  <c r="N267" i="3"/>
  <c r="O267" i="3"/>
  <c r="M267" i="3"/>
  <c r="P267" i="3"/>
  <c r="O372" i="3"/>
  <c r="M372" i="3"/>
  <c r="P372" i="3"/>
  <c r="N372" i="3"/>
  <c r="P326" i="3"/>
  <c r="O326" i="3"/>
  <c r="N326" i="3"/>
  <c r="M326" i="3"/>
  <c r="N304" i="3"/>
  <c r="M304" i="3"/>
  <c r="P304" i="3"/>
  <c r="O304" i="3"/>
  <c r="P290" i="3"/>
  <c r="O290" i="3"/>
  <c r="N290" i="3"/>
  <c r="M290" i="3"/>
  <c r="N332" i="3"/>
  <c r="P332" i="3"/>
  <c r="O332" i="3"/>
  <c r="M332" i="3"/>
  <c r="P317" i="3"/>
  <c r="O317" i="3"/>
  <c r="N317" i="3"/>
  <c r="M317" i="3"/>
  <c r="N276" i="3"/>
  <c r="P276" i="3"/>
  <c r="O276" i="3"/>
  <c r="M276" i="3"/>
  <c r="O368" i="3"/>
  <c r="M368" i="3"/>
  <c r="P368" i="3"/>
  <c r="N368" i="3"/>
  <c r="N328" i="3"/>
  <c r="P328" i="3"/>
  <c r="O328" i="3"/>
  <c r="M328" i="3"/>
  <c r="O388" i="3"/>
  <c r="M388" i="3"/>
  <c r="P388" i="3"/>
  <c r="N388" i="3"/>
  <c r="N319" i="3"/>
  <c r="P319" i="3"/>
  <c r="O319" i="3"/>
  <c r="M319" i="3"/>
  <c r="N365" i="3"/>
  <c r="P365" i="3"/>
  <c r="O365" i="3"/>
  <c r="M365" i="3"/>
  <c r="P353" i="3"/>
  <c r="O353" i="3"/>
  <c r="N353" i="3"/>
  <c r="M353" i="3"/>
  <c r="P398" i="3"/>
  <c r="O398" i="3"/>
  <c r="M398" i="3"/>
  <c r="N398" i="3"/>
  <c r="P277" i="3"/>
  <c r="O277" i="3"/>
  <c r="N277" i="3"/>
  <c r="M277" i="3"/>
  <c r="O386" i="3"/>
  <c r="N386" i="3"/>
  <c r="M386" i="3"/>
  <c r="P386" i="3"/>
  <c r="P265" i="3"/>
  <c r="O265" i="3"/>
  <c r="N265" i="3"/>
  <c r="M265" i="3"/>
  <c r="O374" i="3"/>
  <c r="N374" i="3"/>
  <c r="M374" i="3"/>
  <c r="P374" i="3"/>
  <c r="O362" i="3"/>
  <c r="N362" i="3"/>
  <c r="P362" i="3"/>
  <c r="M362" i="3"/>
  <c r="P302" i="3"/>
  <c r="O302" i="3"/>
  <c r="N302" i="3"/>
  <c r="M302" i="3"/>
  <c r="N287" i="3"/>
  <c r="P287" i="3"/>
  <c r="O287" i="3"/>
  <c r="M287" i="3"/>
  <c r="N324" i="3"/>
  <c r="P324" i="3"/>
  <c r="O324" i="3"/>
  <c r="M324" i="3"/>
  <c r="O364" i="3"/>
  <c r="M364" i="3"/>
  <c r="P364" i="3"/>
  <c r="N364" i="3"/>
  <c r="N316" i="3"/>
  <c r="M316" i="3"/>
  <c r="P316" i="3"/>
  <c r="O316" i="3"/>
  <c r="O376" i="3"/>
  <c r="M376" i="3"/>
  <c r="P376" i="3"/>
  <c r="N376" i="3"/>
  <c r="N275" i="3"/>
  <c r="P275" i="3"/>
  <c r="O275" i="3"/>
  <c r="M275" i="3"/>
  <c r="O344" i="3"/>
  <c r="P344" i="3"/>
  <c r="N344" i="3"/>
  <c r="M344" i="3"/>
  <c r="N263" i="3"/>
  <c r="P263" i="3"/>
  <c r="O263" i="3"/>
  <c r="M263" i="3"/>
  <c r="P391" i="3"/>
  <c r="O391" i="3"/>
  <c r="N391" i="3"/>
  <c r="M391" i="3"/>
  <c r="P278" i="3"/>
  <c r="O278" i="3"/>
  <c r="N278" i="3"/>
  <c r="M278" i="3"/>
  <c r="O329" i="3"/>
  <c r="N329" i="3"/>
  <c r="M329" i="3"/>
  <c r="P329" i="3"/>
  <c r="M350" i="3"/>
  <c r="P350" i="3"/>
  <c r="O350" i="3"/>
  <c r="N350" i="3"/>
  <c r="O397" i="3"/>
  <c r="M397" i="3"/>
  <c r="P397" i="3"/>
  <c r="N397" i="3"/>
  <c r="P289" i="3"/>
  <c r="O289" i="3"/>
  <c r="N289" i="3"/>
  <c r="M289" i="3"/>
  <c r="P385" i="3"/>
  <c r="N385" i="3"/>
  <c r="O385" i="3"/>
  <c r="M385" i="3"/>
  <c r="P383" i="3"/>
  <c r="O383" i="3"/>
  <c r="N383" i="3"/>
  <c r="M383" i="3"/>
  <c r="O352" i="3"/>
  <c r="P352" i="3"/>
  <c r="N352" i="3"/>
  <c r="M352" i="3"/>
  <c r="O392" i="3"/>
  <c r="M392" i="3"/>
  <c r="P392" i="3"/>
  <c r="N392" i="3"/>
  <c r="P301" i="3"/>
  <c r="O301" i="3"/>
  <c r="N301" i="3"/>
  <c r="M301" i="3"/>
  <c r="N288" i="3"/>
  <c r="P288" i="3"/>
  <c r="O288" i="3"/>
  <c r="M288" i="3"/>
  <c r="P359" i="3"/>
  <c r="O359" i="3"/>
  <c r="N359" i="3"/>
  <c r="M359" i="3"/>
  <c r="P375" i="3"/>
  <c r="O375" i="3"/>
  <c r="N375" i="3"/>
  <c r="M375" i="3"/>
  <c r="P314" i="3"/>
  <c r="O314" i="3"/>
  <c r="N314" i="3"/>
  <c r="M314" i="3"/>
  <c r="P341" i="3"/>
  <c r="O341" i="3"/>
  <c r="N341" i="3"/>
  <c r="M341" i="3"/>
  <c r="O380" i="3"/>
  <c r="M380" i="3"/>
  <c r="P380" i="3"/>
  <c r="N380" i="3"/>
  <c r="P322" i="3"/>
  <c r="O322" i="3"/>
  <c r="N322" i="3"/>
  <c r="M322" i="3"/>
  <c r="N312" i="3"/>
  <c r="P312" i="3"/>
  <c r="O312" i="3"/>
  <c r="M312" i="3"/>
  <c r="N299" i="3"/>
  <c r="P299" i="3"/>
  <c r="O299" i="3"/>
  <c r="M299" i="3"/>
  <c r="P286" i="3"/>
  <c r="O286" i="3"/>
  <c r="N286" i="3"/>
  <c r="M286" i="3"/>
  <c r="P387" i="3"/>
  <c r="O387" i="3"/>
  <c r="N387" i="3"/>
  <c r="M387" i="3"/>
  <c r="O273" i="3"/>
  <c r="N273" i="3"/>
  <c r="M273" i="3"/>
  <c r="P273" i="3"/>
  <c r="N320" i="3"/>
  <c r="P320" i="3"/>
  <c r="O320" i="3"/>
  <c r="M320" i="3"/>
  <c r="P305" i="3"/>
  <c r="O305" i="3"/>
  <c r="N305" i="3"/>
  <c r="M305" i="3"/>
  <c r="O358" i="3"/>
  <c r="P358" i="3"/>
  <c r="N358" i="3"/>
  <c r="M358" i="3"/>
  <c r="O343" i="3"/>
  <c r="N343" i="3"/>
  <c r="P343" i="3"/>
  <c r="M343" i="3"/>
  <c r="N300" i="3"/>
  <c r="P300" i="3"/>
  <c r="O300" i="3"/>
  <c r="M300" i="3"/>
  <c r="O390" i="3"/>
  <c r="N390" i="3"/>
  <c r="M390" i="3"/>
  <c r="P390" i="3"/>
  <c r="P310" i="3"/>
  <c r="O310" i="3"/>
  <c r="N310" i="3"/>
  <c r="M310" i="3"/>
  <c r="P313" i="3"/>
  <c r="O313" i="3"/>
  <c r="N313" i="3"/>
  <c r="M313" i="3"/>
  <c r="P371" i="3"/>
  <c r="O371" i="3"/>
  <c r="N371" i="3"/>
  <c r="M371" i="3"/>
  <c r="O356" i="3"/>
  <c r="P356" i="3"/>
  <c r="N356" i="3"/>
  <c r="M356" i="3"/>
  <c r="O370" i="3"/>
  <c r="N370" i="3"/>
  <c r="P370" i="3"/>
  <c r="M370" i="3"/>
  <c r="P334" i="3"/>
  <c r="O334" i="3"/>
  <c r="N334" i="3"/>
  <c r="M334" i="3"/>
  <c r="O355" i="3"/>
  <c r="N355" i="3"/>
  <c r="P355" i="3"/>
  <c r="M355" i="3"/>
  <c r="O384" i="3"/>
  <c r="M384" i="3"/>
  <c r="P384" i="3"/>
  <c r="N384" i="3"/>
  <c r="N292" i="3"/>
  <c r="M292" i="3"/>
  <c r="P292" i="3"/>
  <c r="O292" i="3"/>
  <c r="P266" i="3"/>
  <c r="O266" i="3"/>
  <c r="N266" i="3"/>
  <c r="M266" i="3"/>
  <c r="M400" i="3"/>
  <c r="P400" i="3"/>
  <c r="O400" i="3"/>
  <c r="N400" i="3"/>
  <c r="P338" i="3"/>
  <c r="N338" i="3"/>
  <c r="M338" i="3"/>
  <c r="O338" i="3"/>
  <c r="N279" i="3"/>
  <c r="O279" i="3"/>
  <c r="M279" i="3"/>
  <c r="P279" i="3"/>
  <c r="O347" i="3"/>
  <c r="N347" i="3"/>
  <c r="P347" i="3"/>
  <c r="M347" i="3"/>
  <c r="P298" i="3"/>
  <c r="O298" i="3"/>
  <c r="N298" i="3"/>
  <c r="M298" i="3"/>
  <c r="O285" i="3"/>
  <c r="N285" i="3"/>
  <c r="M285" i="3"/>
  <c r="P285" i="3"/>
  <c r="N340" i="3"/>
  <c r="O340" i="3"/>
  <c r="M340" i="3"/>
  <c r="P340" i="3"/>
  <c r="O396" i="3"/>
  <c r="M396" i="3"/>
  <c r="P396" i="3"/>
  <c r="N396" i="3"/>
  <c r="N311" i="3"/>
  <c r="P311" i="3"/>
  <c r="O311" i="3"/>
  <c r="M311" i="3"/>
  <c r="O297" i="3"/>
  <c r="N297" i="3"/>
  <c r="M297" i="3"/>
  <c r="P297" i="3"/>
  <c r="N369" i="3"/>
  <c r="P369" i="3"/>
  <c r="O369" i="3"/>
  <c r="M369" i="3"/>
  <c r="O354" i="3"/>
  <c r="P354" i="3"/>
  <c r="N354" i="3"/>
  <c r="M354" i="3"/>
  <c r="P389" i="3"/>
  <c r="N389" i="3"/>
  <c r="O389" i="3"/>
  <c r="M389" i="3"/>
  <c r="N308" i="3"/>
  <c r="P308" i="3"/>
  <c r="O308" i="3"/>
  <c r="M308" i="3"/>
  <c r="O399" i="3"/>
  <c r="N399" i="3"/>
  <c r="M399" i="3"/>
  <c r="P399" i="3"/>
  <c r="O382" i="3"/>
  <c r="N382" i="3"/>
  <c r="P382" i="3"/>
  <c r="M382" i="3"/>
  <c r="N272" i="3"/>
  <c r="I66" i="7"/>
  <c r="K66" i="7" s="1"/>
  <c r="P272" i="3"/>
  <c r="O272" i="3"/>
  <c r="M272" i="3"/>
  <c r="P367" i="3"/>
  <c r="O367" i="3"/>
  <c r="N367" i="3"/>
  <c r="M367" i="3"/>
  <c r="O351" i="3"/>
  <c r="N351" i="3"/>
  <c r="P351" i="3"/>
  <c r="M351" i="3"/>
  <c r="P325" i="3"/>
  <c r="O325" i="3"/>
  <c r="N325" i="3"/>
  <c r="M325" i="3"/>
  <c r="N381" i="3"/>
  <c r="P381" i="3"/>
  <c r="O381" i="3"/>
  <c r="M381" i="3"/>
  <c r="O348" i="3"/>
  <c r="P348" i="3"/>
  <c r="N348" i="3"/>
  <c r="M348" i="3"/>
  <c r="P395" i="3"/>
  <c r="O395" i="3"/>
  <c r="N395" i="3"/>
  <c r="M395" i="3"/>
  <c r="N336" i="3"/>
  <c r="P336" i="3"/>
  <c r="O336" i="3"/>
  <c r="M336" i="3"/>
  <c r="N296" i="3"/>
  <c r="P296" i="3"/>
  <c r="O296" i="3"/>
  <c r="M296" i="3"/>
  <c r="P337" i="3"/>
  <c r="O337" i="3"/>
  <c r="N337" i="3"/>
  <c r="M337" i="3"/>
  <c r="N323" i="3"/>
  <c r="P323" i="3"/>
  <c r="O323" i="3"/>
  <c r="M323" i="3"/>
  <c r="O309" i="3"/>
  <c r="N309" i="3"/>
  <c r="M309" i="3"/>
  <c r="P309" i="3"/>
  <c r="O366" i="3"/>
  <c r="N366" i="3"/>
  <c r="P366" i="3"/>
  <c r="M366" i="3"/>
  <c r="N284" i="3"/>
  <c r="P284" i="3"/>
  <c r="O284" i="3"/>
  <c r="M284" i="3"/>
  <c r="N271" i="3"/>
  <c r="P271" i="3"/>
  <c r="O271" i="3"/>
  <c r="M271" i="3"/>
  <c r="N264" i="3"/>
  <c r="P264" i="3"/>
  <c r="O264" i="3"/>
  <c r="M264" i="3"/>
  <c r="P361" i="3"/>
  <c r="O361" i="3"/>
  <c r="N361" i="3"/>
  <c r="M361" i="3"/>
  <c r="P333" i="3"/>
  <c r="O333" i="3"/>
  <c r="N333" i="3"/>
  <c r="M333" i="3"/>
  <c r="O394" i="3"/>
  <c r="N394" i="3"/>
  <c r="M394" i="3"/>
  <c r="P394" i="3"/>
  <c r="N283" i="3"/>
  <c r="P283" i="3"/>
  <c r="O283" i="3"/>
  <c r="M283" i="3"/>
  <c r="P379" i="3"/>
  <c r="O379" i="3"/>
  <c r="N379" i="3"/>
  <c r="M379" i="3"/>
  <c r="P270" i="3"/>
  <c r="O270" i="3"/>
  <c r="N270" i="3"/>
  <c r="M270" i="3"/>
  <c r="P363" i="3"/>
  <c r="O363" i="3"/>
  <c r="N363" i="3"/>
  <c r="M363" i="3"/>
  <c r="P346" i="3"/>
  <c r="O346" i="3"/>
  <c r="N346" i="3"/>
  <c r="M346" i="3"/>
  <c r="P393" i="3"/>
  <c r="N393" i="3"/>
  <c r="O393" i="3"/>
  <c r="M393" i="3"/>
  <c r="O378" i="3"/>
  <c r="N378" i="3"/>
  <c r="P378" i="3"/>
  <c r="M378" i="3"/>
  <c r="N295" i="3"/>
  <c r="P295" i="3"/>
  <c r="O295" i="3"/>
  <c r="M295" i="3"/>
  <c r="O360" i="3"/>
  <c r="M360" i="3"/>
  <c r="P360" i="3"/>
  <c r="N360" i="3"/>
  <c r="P269" i="3"/>
  <c r="O269" i="3"/>
  <c r="N269" i="3"/>
  <c r="M269" i="3"/>
  <c r="N291" i="3"/>
  <c r="O291" i="3"/>
  <c r="M291" i="3"/>
  <c r="P291" i="3"/>
  <c r="M274" i="3"/>
  <c r="P274" i="3"/>
  <c r="O274" i="3"/>
  <c r="N274" i="3"/>
  <c r="N377" i="3"/>
  <c r="P377" i="3"/>
  <c r="O377" i="3"/>
  <c r="M377" i="3"/>
  <c r="P281" i="3"/>
  <c r="O281" i="3"/>
  <c r="N281" i="3"/>
  <c r="M281" i="3"/>
  <c r="P330" i="3"/>
  <c r="O330" i="3"/>
  <c r="N330" i="3"/>
  <c r="M330" i="3"/>
  <c r="N268" i="3"/>
  <c r="M268" i="3"/>
  <c r="O268" i="3"/>
  <c r="P268" i="3"/>
  <c r="O321" i="3"/>
  <c r="N321" i="3"/>
  <c r="M321" i="3"/>
  <c r="P321" i="3"/>
  <c r="N339" i="3"/>
  <c r="M339" i="3"/>
  <c r="O339" i="3"/>
  <c r="P339" i="3"/>
  <c r="N327" i="3"/>
  <c r="M327" i="3"/>
  <c r="P327" i="3"/>
  <c r="O327" i="3"/>
  <c r="P293" i="3"/>
  <c r="O293" i="3"/>
  <c r="N293" i="3"/>
  <c r="M293" i="3"/>
  <c r="P282" i="3"/>
  <c r="O282" i="3"/>
  <c r="N282" i="3"/>
  <c r="M282" i="3"/>
  <c r="P345" i="3"/>
  <c r="O345" i="3"/>
  <c r="N345" i="3"/>
  <c r="M345" i="3"/>
  <c r="N373" i="3"/>
  <c r="M373" i="3"/>
  <c r="P373" i="3"/>
  <c r="O373" i="3"/>
  <c r="P357" i="3"/>
  <c r="O357" i="3"/>
  <c r="N357" i="3"/>
  <c r="M357" i="3"/>
  <c r="N331" i="3"/>
  <c r="M331" i="3"/>
  <c r="P331" i="3"/>
  <c r="O331" i="3"/>
  <c r="O349" i="3"/>
  <c r="N349" i="3"/>
  <c r="M349" i="3"/>
  <c r="P349" i="3"/>
  <c r="P294" i="3"/>
  <c r="O294" i="3"/>
  <c r="N294" i="3"/>
  <c r="M294" i="3"/>
  <c r="P342" i="3"/>
  <c r="O342" i="3"/>
  <c r="N342" i="3"/>
  <c r="M342" i="3"/>
  <c r="P318" i="3"/>
  <c r="O318" i="3"/>
  <c r="N318" i="3"/>
  <c r="M318" i="3"/>
  <c r="N335" i="3"/>
  <c r="M335" i="3"/>
  <c r="P335" i="3"/>
  <c r="O335" i="3"/>
  <c r="P306" i="3"/>
  <c r="O306" i="3"/>
  <c r="N306" i="3"/>
  <c r="M306" i="3"/>
  <c r="N307" i="3"/>
  <c r="P307" i="3"/>
  <c r="O307" i="3"/>
  <c r="M307" i="3"/>
  <c r="P179" i="3"/>
  <c r="N179" i="3"/>
  <c r="M179" i="3"/>
  <c r="O179" i="3"/>
  <c r="O231" i="3"/>
  <c r="N231" i="3"/>
  <c r="M231" i="3"/>
  <c r="P231" i="3"/>
  <c r="O200" i="3"/>
  <c r="N200" i="3"/>
  <c r="P200" i="3"/>
  <c r="M200" i="3"/>
  <c r="O241" i="3"/>
  <c r="N241" i="3"/>
  <c r="P241" i="3"/>
  <c r="M241" i="3"/>
  <c r="N198" i="3"/>
  <c r="M198" i="3"/>
  <c r="P198" i="3"/>
  <c r="O198" i="3"/>
  <c r="N250" i="3"/>
  <c r="M250" i="3"/>
  <c r="P250" i="3"/>
  <c r="O250" i="3"/>
  <c r="N246" i="3"/>
  <c r="M246" i="3"/>
  <c r="P246" i="3"/>
  <c r="O246" i="3"/>
  <c r="O239" i="3"/>
  <c r="N239" i="3"/>
  <c r="M239" i="3"/>
  <c r="P239" i="3"/>
  <c r="O260" i="3"/>
  <c r="N260" i="3"/>
  <c r="M260" i="3"/>
  <c r="P260" i="3"/>
  <c r="M182" i="3"/>
  <c r="P182" i="3"/>
  <c r="O182" i="3"/>
  <c r="N182" i="3"/>
  <c r="P188" i="3"/>
  <c r="N188" i="3"/>
  <c r="M188" i="3"/>
  <c r="O188" i="3"/>
  <c r="P180" i="3"/>
  <c r="N180" i="3"/>
  <c r="M180" i="3"/>
  <c r="O180" i="3"/>
  <c r="P184" i="3"/>
  <c r="N184" i="3"/>
  <c r="M184" i="3"/>
  <c r="O184" i="3"/>
  <c r="M194" i="3"/>
  <c r="P194" i="3"/>
  <c r="O194" i="3"/>
  <c r="N194" i="3"/>
  <c r="O228" i="3"/>
  <c r="N228" i="3"/>
  <c r="P228" i="3"/>
  <c r="M228" i="3"/>
  <c r="O203" i="3"/>
  <c r="N203" i="3"/>
  <c r="M203" i="3"/>
  <c r="P203" i="3"/>
  <c r="O237" i="3"/>
  <c r="N237" i="3"/>
  <c r="P237" i="3"/>
  <c r="M237" i="3"/>
  <c r="O208" i="3"/>
  <c r="N208" i="3"/>
  <c r="P208" i="3"/>
  <c r="M208" i="3"/>
  <c r="O215" i="3"/>
  <c r="N215" i="3"/>
  <c r="M215" i="3"/>
  <c r="P215" i="3"/>
  <c r="O201" i="3"/>
  <c r="N201" i="3"/>
  <c r="P201" i="3"/>
  <c r="M201" i="3"/>
  <c r="O240" i="3"/>
  <c r="N240" i="3"/>
  <c r="P240" i="3"/>
  <c r="M240" i="3"/>
  <c r="O199" i="3"/>
  <c r="N199" i="3"/>
  <c r="M199" i="3"/>
  <c r="P199" i="3"/>
  <c r="N214" i="3"/>
  <c r="M214" i="3"/>
  <c r="P214" i="3"/>
  <c r="I32" i="7"/>
  <c r="K32" i="7" s="1"/>
  <c r="O214" i="3"/>
  <c r="O252" i="3"/>
  <c r="N252" i="3"/>
  <c r="M252" i="3"/>
  <c r="P252" i="3"/>
  <c r="M178" i="3"/>
  <c r="I38" i="7"/>
  <c r="K38" i="7" s="1"/>
  <c r="P178" i="3"/>
  <c r="O178" i="3"/>
  <c r="N178" i="3"/>
  <c r="P259" i="3"/>
  <c r="O259" i="3"/>
  <c r="N259" i="3"/>
  <c r="M259" i="3"/>
  <c r="O256" i="3"/>
  <c r="N256" i="3"/>
  <c r="M256" i="3"/>
  <c r="P256" i="3"/>
  <c r="O219" i="3"/>
  <c r="N219" i="3"/>
  <c r="M219" i="3"/>
  <c r="P219" i="3"/>
  <c r="P245" i="3"/>
  <c r="O245" i="3"/>
  <c r="N245" i="3"/>
  <c r="M245" i="3"/>
  <c r="P225" i="3"/>
  <c r="O225" i="3"/>
  <c r="N225" i="3"/>
  <c r="M225" i="3"/>
  <c r="P229" i="3"/>
  <c r="O229" i="3"/>
  <c r="N229" i="3"/>
  <c r="M229" i="3"/>
  <c r="O224" i="3"/>
  <c r="N224" i="3"/>
  <c r="P224" i="3"/>
  <c r="M224" i="3"/>
  <c r="O223" i="3"/>
  <c r="N223" i="3"/>
  <c r="M223" i="3"/>
  <c r="P223" i="3"/>
  <c r="O205" i="3"/>
  <c r="N205" i="3"/>
  <c r="I41" i="7"/>
  <c r="K41" i="7" s="1"/>
  <c r="P205" i="3"/>
  <c r="M205" i="3"/>
  <c r="N234" i="3"/>
  <c r="P234" i="3"/>
  <c r="M234" i="3"/>
  <c r="O234" i="3"/>
  <c r="O233" i="3"/>
  <c r="N233" i="3"/>
  <c r="P233" i="3"/>
  <c r="M233" i="3"/>
  <c r="O248" i="3"/>
  <c r="N248" i="3"/>
  <c r="M248" i="3"/>
  <c r="P248" i="3"/>
  <c r="N202" i="3"/>
  <c r="P202" i="3"/>
  <c r="O202" i="3"/>
  <c r="M202" i="3"/>
  <c r="P181" i="3"/>
  <c r="N181" i="3"/>
  <c r="M181" i="3"/>
  <c r="O181" i="3"/>
  <c r="P195" i="3"/>
  <c r="N195" i="3"/>
  <c r="M195" i="3"/>
  <c r="O195" i="3"/>
  <c r="P257" i="3"/>
  <c r="O257" i="3"/>
  <c r="N257" i="3"/>
  <c r="M257" i="3"/>
  <c r="P197" i="3"/>
  <c r="N197" i="3"/>
  <c r="M197" i="3"/>
  <c r="O197" i="3"/>
  <c r="P247" i="3"/>
  <c r="O247" i="3"/>
  <c r="N247" i="3"/>
  <c r="M247" i="3"/>
  <c r="I7" i="7"/>
  <c r="K7" i="7" s="1"/>
  <c r="P191" i="3"/>
  <c r="N191" i="3"/>
  <c r="M191" i="3"/>
  <c r="O191" i="3"/>
  <c r="P255" i="3"/>
  <c r="O255" i="3"/>
  <c r="N255" i="3"/>
  <c r="M255" i="3"/>
  <c r="P187" i="3"/>
  <c r="N187" i="3"/>
  <c r="M187" i="3"/>
  <c r="O187" i="3"/>
  <c r="O207" i="3"/>
  <c r="N207" i="3"/>
  <c r="M207" i="3"/>
  <c r="P207" i="3"/>
  <c r="O212" i="3"/>
  <c r="N212" i="3"/>
  <c r="P212" i="3"/>
  <c r="M212" i="3"/>
  <c r="O244" i="3"/>
  <c r="N244" i="3"/>
  <c r="M244" i="3"/>
  <c r="P244" i="3"/>
  <c r="N262" i="3"/>
  <c r="M262" i="3"/>
  <c r="P262" i="3"/>
  <c r="O262" i="3"/>
  <c r="N258" i="3"/>
  <c r="M258" i="3"/>
  <c r="P258" i="3"/>
  <c r="O258" i="3"/>
  <c r="N238" i="3"/>
  <c r="P238" i="3"/>
  <c r="M238" i="3"/>
  <c r="O238" i="3"/>
  <c r="N206" i="3"/>
  <c r="P206" i="3"/>
  <c r="O206" i="3"/>
  <c r="M206" i="3"/>
  <c r="O236" i="3"/>
  <c r="N236" i="3"/>
  <c r="P236" i="3"/>
  <c r="M236" i="3"/>
  <c r="P192" i="3"/>
  <c r="N192" i="3"/>
  <c r="M192" i="3"/>
  <c r="O192" i="3"/>
  <c r="P183" i="3"/>
  <c r="N183" i="3"/>
  <c r="M183" i="3"/>
  <c r="O183" i="3"/>
  <c r="P196" i="3"/>
  <c r="N196" i="3"/>
  <c r="M196" i="3"/>
  <c r="I40" i="7"/>
  <c r="K40" i="7" s="1"/>
  <c r="O196" i="3"/>
  <c r="P189" i="3"/>
  <c r="N189" i="3"/>
  <c r="M189" i="3"/>
  <c r="O189" i="3"/>
  <c r="P193" i="3"/>
  <c r="N193" i="3"/>
  <c r="M193" i="3"/>
  <c r="O193" i="3"/>
  <c r="P185" i="3"/>
  <c r="I68" i="7"/>
  <c r="K68" i="7" s="1"/>
  <c r="N185" i="3"/>
  <c r="M185" i="3"/>
  <c r="O185" i="3"/>
  <c r="P251" i="3"/>
  <c r="O251" i="3"/>
  <c r="N251" i="3"/>
  <c r="M251" i="3"/>
  <c r="O216" i="3"/>
  <c r="N216" i="3"/>
  <c r="P216" i="3"/>
  <c r="M216" i="3"/>
  <c r="O232" i="3"/>
  <c r="N232" i="3"/>
  <c r="P232" i="3"/>
  <c r="M232" i="3"/>
  <c r="O221" i="3"/>
  <c r="N221" i="3"/>
  <c r="P221" i="3"/>
  <c r="M221" i="3"/>
  <c r="N242" i="3"/>
  <c r="M242" i="3"/>
  <c r="P242" i="3"/>
  <c r="O242" i="3"/>
  <c r="O213" i="3"/>
  <c r="N213" i="3"/>
  <c r="P213" i="3"/>
  <c r="M213" i="3"/>
  <c r="P209" i="3"/>
  <c r="O209" i="3"/>
  <c r="N209" i="3"/>
  <c r="M209" i="3"/>
  <c r="N222" i="3"/>
  <c r="P222" i="3"/>
  <c r="M222" i="3"/>
  <c r="O222" i="3"/>
  <c r="N254" i="3"/>
  <c r="M254" i="3"/>
  <c r="P254" i="3"/>
  <c r="O254" i="3"/>
  <c r="P249" i="3"/>
  <c r="O249" i="3"/>
  <c r="N249" i="3"/>
  <c r="M249" i="3"/>
  <c r="M186" i="3"/>
  <c r="I69" i="7"/>
  <c r="K69" i="7" s="1"/>
  <c r="P186" i="3"/>
  <c r="O186" i="3"/>
  <c r="N186" i="3"/>
  <c r="P261" i="3"/>
  <c r="O261" i="3"/>
  <c r="N261" i="3"/>
  <c r="M261" i="3"/>
  <c r="M190" i="3"/>
  <c r="P190" i="3"/>
  <c r="O190" i="3"/>
  <c r="N190" i="3"/>
  <c r="O211" i="3"/>
  <c r="N211" i="3"/>
  <c r="M211" i="3"/>
  <c r="P211" i="3"/>
  <c r="O243" i="3"/>
  <c r="N243" i="3"/>
  <c r="M243" i="3"/>
  <c r="P243" i="3"/>
  <c r="O227" i="3"/>
  <c r="N227" i="3"/>
  <c r="M227" i="3"/>
  <c r="P227" i="3"/>
  <c r="P253" i="3"/>
  <c r="O253" i="3"/>
  <c r="N253" i="3"/>
  <c r="M253" i="3"/>
  <c r="O204" i="3"/>
  <c r="N204" i="3"/>
  <c r="P204" i="3"/>
  <c r="M204" i="3"/>
  <c r="O220" i="3"/>
  <c r="N220" i="3"/>
  <c r="M220" i="3"/>
  <c r="P220" i="3"/>
  <c r="N218" i="3"/>
  <c r="P218" i="3"/>
  <c r="M218" i="3"/>
  <c r="O218" i="3"/>
  <c r="O235" i="3"/>
  <c r="N235" i="3"/>
  <c r="M235" i="3"/>
  <c r="P235" i="3"/>
  <c r="O217" i="3"/>
  <c r="N217" i="3"/>
  <c r="P217" i="3"/>
  <c r="M217" i="3"/>
  <c r="N226" i="3"/>
  <c r="M226" i="3"/>
  <c r="P226" i="3"/>
  <c r="O226" i="3"/>
  <c r="N210" i="3"/>
  <c r="M210" i="3"/>
  <c r="I71" i="7"/>
  <c r="K71" i="7" s="1"/>
  <c r="P210" i="3"/>
  <c r="O210" i="3"/>
  <c r="N230" i="3"/>
  <c r="M230" i="3"/>
  <c r="P230" i="3"/>
  <c r="O230" i="3"/>
  <c r="M152" i="3"/>
  <c r="P152" i="3"/>
  <c r="N152" i="3"/>
  <c r="O152" i="3"/>
  <c r="P150" i="3"/>
  <c r="N150" i="3"/>
  <c r="M150" i="3"/>
  <c r="O150" i="3"/>
  <c r="P118" i="3"/>
  <c r="M118" i="3"/>
  <c r="M176" i="3"/>
  <c r="P176" i="3"/>
  <c r="N176" i="3"/>
  <c r="O176" i="3"/>
  <c r="P138" i="3"/>
  <c r="N138" i="3"/>
  <c r="M138" i="3"/>
  <c r="O138" i="3"/>
  <c r="P94" i="3"/>
  <c r="M94" i="3"/>
  <c r="O94" i="3"/>
  <c r="N94" i="3"/>
  <c r="P131" i="3"/>
  <c r="M131" i="3"/>
  <c r="P123" i="3"/>
  <c r="M123" i="3"/>
  <c r="I27" i="7"/>
  <c r="K27" i="7" s="1"/>
  <c r="P165" i="3"/>
  <c r="N165" i="3"/>
  <c r="M165" i="3"/>
  <c r="O165" i="3"/>
  <c r="M136" i="3"/>
  <c r="P136" i="3"/>
  <c r="N136" i="3"/>
  <c r="O136" i="3"/>
  <c r="M95" i="3"/>
  <c r="P95" i="3"/>
  <c r="O95" i="3"/>
  <c r="N95" i="3"/>
  <c r="P158" i="3"/>
  <c r="N158" i="3"/>
  <c r="M158" i="3"/>
  <c r="O158" i="3"/>
  <c r="N111" i="3"/>
  <c r="P111" i="3"/>
  <c r="O111" i="3"/>
  <c r="M111" i="3"/>
  <c r="P112" i="3"/>
  <c r="M112" i="3"/>
  <c r="P93" i="3"/>
  <c r="O93" i="3"/>
  <c r="M93" i="3"/>
  <c r="N93" i="3"/>
  <c r="N98" i="3"/>
  <c r="M98" i="3"/>
  <c r="O98" i="3"/>
  <c r="P98" i="3"/>
  <c r="P146" i="3"/>
  <c r="N146" i="3"/>
  <c r="M146" i="3"/>
  <c r="O146" i="3"/>
  <c r="P101" i="3"/>
  <c r="N101" i="3"/>
  <c r="O101" i="3"/>
  <c r="M101" i="3"/>
  <c r="P116" i="3"/>
  <c r="M116" i="3"/>
  <c r="I56" i="7"/>
  <c r="P137" i="3"/>
  <c r="N137" i="3"/>
  <c r="M137" i="3"/>
  <c r="O137" i="3"/>
  <c r="P125" i="3"/>
  <c r="M125" i="3"/>
  <c r="P155" i="3"/>
  <c r="N155" i="3"/>
  <c r="M155" i="3"/>
  <c r="O155" i="3"/>
  <c r="P159" i="3"/>
  <c r="N159" i="3"/>
  <c r="M159" i="3"/>
  <c r="I77" i="7"/>
  <c r="K77" i="7" s="1"/>
  <c r="O159" i="3"/>
  <c r="P151" i="3"/>
  <c r="N151" i="3"/>
  <c r="M151" i="3"/>
  <c r="O151" i="3"/>
  <c r="M140" i="3"/>
  <c r="P140" i="3"/>
  <c r="N140" i="3"/>
  <c r="O140" i="3"/>
  <c r="P163" i="3"/>
  <c r="N163" i="3"/>
  <c r="M163" i="3"/>
  <c r="O163" i="3"/>
  <c r="P126" i="3"/>
  <c r="M126" i="3"/>
  <c r="I10" i="7"/>
  <c r="K10" i="7" s="1"/>
  <c r="N99" i="3"/>
  <c r="P99" i="3"/>
  <c r="O99" i="3"/>
  <c r="M99" i="3"/>
  <c r="M160" i="3"/>
  <c r="P160" i="3"/>
  <c r="N160" i="3"/>
  <c r="O160" i="3"/>
  <c r="P96" i="3"/>
  <c r="M96" i="3"/>
  <c r="N96" i="3"/>
  <c r="O96" i="3"/>
  <c r="P104" i="3"/>
  <c r="M104" i="3"/>
  <c r="P105" i="3"/>
  <c r="M105" i="3"/>
  <c r="I35" i="7"/>
  <c r="K35" i="7" s="1"/>
  <c r="P177" i="3"/>
  <c r="N177" i="3"/>
  <c r="M177" i="3"/>
  <c r="O177" i="3"/>
  <c r="P169" i="3"/>
  <c r="N169" i="3"/>
  <c r="M169" i="3"/>
  <c r="O169" i="3"/>
  <c r="P108" i="3"/>
  <c r="M108" i="3"/>
  <c r="P117" i="3"/>
  <c r="M117" i="3"/>
  <c r="M164" i="3"/>
  <c r="P164" i="3"/>
  <c r="N164" i="3"/>
  <c r="O164" i="3"/>
  <c r="P121" i="3"/>
  <c r="M121" i="3"/>
  <c r="P97" i="3"/>
  <c r="O97" i="3"/>
  <c r="M97" i="3"/>
  <c r="N97" i="3"/>
  <c r="M172" i="3"/>
  <c r="P172" i="3"/>
  <c r="N172" i="3"/>
  <c r="O172" i="3"/>
  <c r="P119" i="3"/>
  <c r="M119" i="3"/>
  <c r="P147" i="3"/>
  <c r="I80" i="7"/>
  <c r="K80" i="7" s="1"/>
  <c r="N147" i="3"/>
  <c r="M147" i="3"/>
  <c r="O147" i="3"/>
  <c r="M120" i="3"/>
  <c r="P120" i="3"/>
  <c r="I34" i="7"/>
  <c r="K34" i="7" s="1"/>
  <c r="P166" i="3"/>
  <c r="N166" i="3"/>
  <c r="M166" i="3"/>
  <c r="O166" i="3"/>
  <c r="P139" i="3"/>
  <c r="N139" i="3"/>
  <c r="M139" i="3"/>
  <c r="O139" i="3"/>
  <c r="M144" i="3"/>
  <c r="P144" i="3"/>
  <c r="N144" i="3"/>
  <c r="O144" i="3"/>
  <c r="P115" i="3"/>
  <c r="M115" i="3"/>
  <c r="I12" i="7"/>
  <c r="K12" i="7" s="1"/>
  <c r="N100" i="3"/>
  <c r="P100" i="3"/>
  <c r="O100" i="3"/>
  <c r="M100" i="3"/>
  <c r="M106" i="3"/>
  <c r="P106" i="3"/>
  <c r="P142" i="3"/>
  <c r="N142" i="3"/>
  <c r="M142" i="3"/>
  <c r="O142" i="3"/>
  <c r="P174" i="3"/>
  <c r="N174" i="3"/>
  <c r="M174" i="3"/>
  <c r="O174" i="3"/>
  <c r="P133" i="3"/>
  <c r="M133" i="3"/>
  <c r="M114" i="3"/>
  <c r="P114" i="3"/>
  <c r="P113" i="3"/>
  <c r="M113" i="3"/>
  <c r="M124" i="3"/>
  <c r="P124" i="3"/>
  <c r="P162" i="3"/>
  <c r="N162" i="3"/>
  <c r="M162" i="3"/>
  <c r="O162" i="3"/>
  <c r="P134" i="3"/>
  <c r="M134" i="3"/>
  <c r="M128" i="3"/>
  <c r="P128" i="3"/>
  <c r="P161" i="3"/>
  <c r="N161" i="3"/>
  <c r="M161" i="3"/>
  <c r="O161" i="3"/>
  <c r="P109" i="3"/>
  <c r="M109" i="3"/>
  <c r="M168" i="3"/>
  <c r="I43" i="7"/>
  <c r="K43" i="7" s="1"/>
  <c r="P168" i="3"/>
  <c r="N168" i="3"/>
  <c r="O168" i="3"/>
  <c r="P154" i="3"/>
  <c r="N154" i="3"/>
  <c r="M154" i="3"/>
  <c r="O154" i="3"/>
  <c r="P122" i="3"/>
  <c r="M122" i="3"/>
  <c r="P157" i="3"/>
  <c r="N157" i="3"/>
  <c r="M157" i="3"/>
  <c r="O157" i="3"/>
  <c r="P171" i="3"/>
  <c r="N171" i="3"/>
  <c r="M171" i="3"/>
  <c r="O171" i="3"/>
  <c r="P130" i="3"/>
  <c r="M130" i="3"/>
  <c r="P149" i="3"/>
  <c r="N149" i="3"/>
  <c r="M149" i="3"/>
  <c r="O149" i="3"/>
  <c r="P92" i="3"/>
  <c r="M92" i="3"/>
  <c r="O92" i="3"/>
  <c r="N92" i="3"/>
  <c r="P145" i="3"/>
  <c r="N145" i="3"/>
  <c r="M145" i="3"/>
  <c r="O145" i="3"/>
  <c r="P127" i="3"/>
  <c r="M127" i="3"/>
  <c r="I47" i="7"/>
  <c r="N110" i="3"/>
  <c r="M110" i="3"/>
  <c r="P110" i="3"/>
  <c r="O110" i="3"/>
  <c r="P170" i="3"/>
  <c r="N170" i="3"/>
  <c r="M170" i="3"/>
  <c r="O170" i="3"/>
  <c r="P143" i="3"/>
  <c r="N143" i="3"/>
  <c r="M143" i="3"/>
  <c r="O143" i="3"/>
  <c r="P141" i="3"/>
  <c r="N141" i="3"/>
  <c r="M141" i="3"/>
  <c r="O141" i="3"/>
  <c r="M148" i="3"/>
  <c r="P148" i="3"/>
  <c r="N148" i="3"/>
  <c r="O148" i="3"/>
  <c r="M156" i="3"/>
  <c r="P156" i="3"/>
  <c r="N156" i="3"/>
  <c r="O156" i="3"/>
  <c r="P107" i="3"/>
  <c r="M107" i="3"/>
  <c r="P175" i="3"/>
  <c r="N175" i="3"/>
  <c r="M175" i="3"/>
  <c r="O175" i="3"/>
  <c r="P129" i="3"/>
  <c r="M129" i="3"/>
  <c r="P173" i="3"/>
  <c r="N173" i="3"/>
  <c r="M173" i="3"/>
  <c r="O173" i="3"/>
  <c r="P153" i="3"/>
  <c r="N153" i="3"/>
  <c r="M153" i="3"/>
  <c r="I76" i="7"/>
  <c r="K76" i="7" s="1"/>
  <c r="O153" i="3"/>
  <c r="P167" i="3"/>
  <c r="N167" i="3"/>
  <c r="M167" i="3"/>
  <c r="O167" i="3"/>
  <c r="M132" i="3"/>
  <c r="P132" i="3"/>
  <c r="P103" i="3"/>
  <c r="M103" i="3"/>
  <c r="P135" i="3"/>
  <c r="N135" i="3"/>
  <c r="M135" i="3"/>
  <c r="O135" i="3"/>
  <c r="N102" i="3"/>
  <c r="M102" i="3"/>
  <c r="P102" i="3"/>
  <c r="O102" i="3"/>
  <c r="Q43" i="3"/>
  <c r="Q62" i="3"/>
  <c r="Q68" i="3"/>
  <c r="Q74" i="3"/>
  <c r="P87" i="3"/>
  <c r="N87" i="3"/>
  <c r="M87" i="3"/>
  <c r="O87" i="3"/>
  <c r="O79" i="3"/>
  <c r="P79" i="3"/>
  <c r="M79" i="3"/>
  <c r="N79" i="3"/>
  <c r="Q46" i="3"/>
  <c r="Q91" i="3"/>
  <c r="Q31" i="3"/>
  <c r="P15" i="3"/>
  <c r="M15" i="3"/>
  <c r="Q53" i="3"/>
  <c r="Q76" i="3"/>
  <c r="Q50" i="3"/>
  <c r="Q34" i="3"/>
  <c r="Q66" i="3"/>
  <c r="Q49" i="3"/>
  <c r="Q28" i="3"/>
  <c r="Q51" i="3"/>
  <c r="Q52" i="3"/>
  <c r="Q60" i="3"/>
  <c r="Q89" i="3"/>
  <c r="J57" i="7" l="1"/>
  <c r="H57" i="7"/>
  <c r="K57" i="7"/>
  <c r="J58" i="7"/>
  <c r="H58" i="7"/>
  <c r="K58" i="7"/>
  <c r="N128" i="3"/>
  <c r="E75" i="7"/>
  <c r="J46" i="7"/>
  <c r="H46" i="7"/>
  <c r="K46" i="7"/>
  <c r="J9" i="7"/>
  <c r="H9" i="7"/>
  <c r="K9" i="7"/>
  <c r="J15" i="7"/>
  <c r="H15" i="7"/>
  <c r="K15" i="7"/>
  <c r="N104" i="3"/>
  <c r="L8" i="7"/>
  <c r="L59" i="7"/>
  <c r="L61" i="7"/>
  <c r="L78" i="7"/>
  <c r="L54" i="7"/>
  <c r="K62" i="7"/>
  <c r="H62" i="7"/>
  <c r="K47" i="7"/>
  <c r="J62" i="7"/>
  <c r="J47" i="7"/>
  <c r="Q37" i="3"/>
  <c r="L63" i="7"/>
  <c r="E56" i="7"/>
  <c r="O130" i="3"/>
  <c r="Q130" i="3" s="1"/>
  <c r="Q36" i="3"/>
  <c r="O132" i="3"/>
  <c r="Q132" i="3" s="1"/>
  <c r="Q19" i="3"/>
  <c r="Q217" i="3"/>
  <c r="Q58" i="3"/>
  <c r="Q35" i="3"/>
  <c r="Q40" i="3"/>
  <c r="O134" i="3"/>
  <c r="Q134" i="3" s="1"/>
  <c r="N129" i="3"/>
  <c r="Q129" i="3" s="1"/>
  <c r="N120" i="3"/>
  <c r="O133" i="3"/>
  <c r="N108" i="3"/>
  <c r="N105" i="3"/>
  <c r="N133" i="3"/>
  <c r="O122" i="3"/>
  <c r="N126" i="3"/>
  <c r="N123" i="3"/>
  <c r="O128" i="3"/>
  <c r="N103" i="3"/>
  <c r="O109" i="3"/>
  <c r="O131" i="3"/>
  <c r="Q131" i="3" s="1"/>
  <c r="L68" i="7"/>
  <c r="Q227" i="3"/>
  <c r="Q213" i="3"/>
  <c r="Q232" i="3"/>
  <c r="N127" i="3"/>
  <c r="Q127" i="3" s="1"/>
  <c r="L22" i="7"/>
  <c r="Q212" i="3"/>
  <c r="Q233" i="3"/>
  <c r="O126" i="3"/>
  <c r="L38" i="7"/>
  <c r="L71" i="7"/>
  <c r="L77" i="7"/>
  <c r="L43" i="7"/>
  <c r="Q219" i="3"/>
  <c r="Q201" i="3"/>
  <c r="Q194" i="3"/>
  <c r="Q189" i="3"/>
  <c r="Q382" i="3"/>
  <c r="Q347" i="3"/>
  <c r="Q370" i="3"/>
  <c r="Q388" i="3"/>
  <c r="Q372" i="3"/>
  <c r="Q333" i="3"/>
  <c r="Q400" i="3"/>
  <c r="Q384" i="3"/>
  <c r="Q392" i="3"/>
  <c r="Q350" i="3"/>
  <c r="Q374" i="3"/>
  <c r="O125" i="3"/>
  <c r="Q125" i="3" s="1"/>
  <c r="O108" i="3"/>
  <c r="O105" i="3"/>
  <c r="O123" i="3"/>
  <c r="N116" i="3"/>
  <c r="Q116" i="3" s="1"/>
  <c r="N113" i="3"/>
  <c r="Q113" i="3" s="1"/>
  <c r="N124" i="3"/>
  <c r="Q124" i="3" s="1"/>
  <c r="N114" i="3"/>
  <c r="Q114" i="3" s="1"/>
  <c r="O106" i="3"/>
  <c r="Q106" i="3" s="1"/>
  <c r="O121" i="3"/>
  <c r="Q121" i="3" s="1"/>
  <c r="O120" i="3"/>
  <c r="N109" i="3"/>
  <c r="N112" i="3"/>
  <c r="Q112" i="3" s="1"/>
  <c r="N118" i="3"/>
  <c r="Q118" i="3" s="1"/>
  <c r="O115" i="3"/>
  <c r="Q115" i="3" s="1"/>
  <c r="N119" i="3"/>
  <c r="Q119" i="3" s="1"/>
  <c r="N107" i="3"/>
  <c r="Q107" i="3" s="1"/>
  <c r="N122" i="3"/>
  <c r="O117" i="3"/>
  <c r="Q117" i="3" s="1"/>
  <c r="O104" i="3"/>
  <c r="O103" i="3"/>
  <c r="Q30" i="3"/>
  <c r="Q78" i="3"/>
  <c r="N32" i="3"/>
  <c r="Q32" i="3" s="1"/>
  <c r="Q64" i="3"/>
  <c r="L41" i="7"/>
  <c r="L49" i="7"/>
  <c r="Q61" i="3"/>
  <c r="Q92" i="3"/>
  <c r="Q3" i="3"/>
  <c r="L27" i="7"/>
  <c r="Q298" i="3"/>
  <c r="Q301" i="3"/>
  <c r="Q278" i="3"/>
  <c r="Q294" i="3"/>
  <c r="Q282" i="3"/>
  <c r="Q330" i="3"/>
  <c r="Q177" i="3"/>
  <c r="Q158" i="3"/>
  <c r="Q165" i="3"/>
  <c r="Q260" i="3"/>
  <c r="Q223" i="3"/>
  <c r="Q235" i="3"/>
  <c r="Q256" i="3"/>
  <c r="Q199" i="3"/>
  <c r="Q193" i="3"/>
  <c r="Q197" i="3"/>
  <c r="Q221" i="3"/>
  <c r="Q236" i="3"/>
  <c r="Q205" i="3"/>
  <c r="Q378" i="3"/>
  <c r="Q364" i="3"/>
  <c r="Q398" i="3"/>
  <c r="Q368" i="3"/>
  <c r="L69" i="7"/>
  <c r="Q346" i="3"/>
  <c r="Q379" i="3"/>
  <c r="Q353" i="3"/>
  <c r="Q146" i="3"/>
  <c r="Q331" i="3"/>
  <c r="Q327" i="3"/>
  <c r="Q268" i="3"/>
  <c r="Q377" i="3"/>
  <c r="Q348" i="3"/>
  <c r="Q334" i="3"/>
  <c r="Q192" i="3"/>
  <c r="Q351" i="3"/>
  <c r="Q390" i="3"/>
  <c r="Q196" i="3"/>
  <c r="Q147" i="3"/>
  <c r="Q98" i="3"/>
  <c r="Q361" i="3"/>
  <c r="Q367" i="3"/>
  <c r="Q313" i="3"/>
  <c r="Q305" i="3"/>
  <c r="Q387" i="3"/>
  <c r="Q341" i="3"/>
  <c r="Q359" i="3"/>
  <c r="Q391" i="3"/>
  <c r="Q365" i="3"/>
  <c r="Q57" i="3"/>
  <c r="Q340" i="3"/>
  <c r="Q302" i="3"/>
  <c r="Q265" i="3"/>
  <c r="Q326" i="3"/>
  <c r="Q156" i="3"/>
  <c r="Q140" i="3"/>
  <c r="Q291" i="3"/>
  <c r="Q337" i="3"/>
  <c r="Q325" i="3"/>
  <c r="Q266" i="3"/>
  <c r="Q310" i="3"/>
  <c r="Q286" i="3"/>
  <c r="Q322" i="3"/>
  <c r="Q314" i="3"/>
  <c r="Q289" i="3"/>
  <c r="Q277" i="3"/>
  <c r="Q317" i="3"/>
  <c r="Q339" i="3"/>
  <c r="Q267" i="3"/>
  <c r="Q283" i="3"/>
  <c r="Q318" i="3"/>
  <c r="Q293" i="3"/>
  <c r="Q281" i="3"/>
  <c r="Q270" i="3"/>
  <c r="Q284" i="3"/>
  <c r="Q323" i="3"/>
  <c r="Q336" i="3"/>
  <c r="Q300" i="3"/>
  <c r="Q312" i="3"/>
  <c r="Q275" i="3"/>
  <c r="Q321" i="3"/>
  <c r="Q279" i="3"/>
  <c r="Q290" i="3"/>
  <c r="Q274" i="3"/>
  <c r="Q168" i="3"/>
  <c r="L35" i="7"/>
  <c r="Q101" i="3"/>
  <c r="Q93" i="3"/>
  <c r="Q148" i="3"/>
  <c r="Q171" i="3"/>
  <c r="Q154" i="3"/>
  <c r="Q139" i="3"/>
  <c r="Q151" i="3"/>
  <c r="Q252" i="3"/>
  <c r="L32" i="7"/>
  <c r="Q208" i="3"/>
  <c r="Q200" i="3"/>
  <c r="Q206" i="3"/>
  <c r="Q215" i="3"/>
  <c r="Q357" i="3"/>
  <c r="Q363" i="3"/>
  <c r="Q395" i="3"/>
  <c r="Q396" i="3"/>
  <c r="Q380" i="3"/>
  <c r="Q397" i="3"/>
  <c r="Q371" i="3"/>
  <c r="Q358" i="3"/>
  <c r="Q375" i="3"/>
  <c r="Q383" i="3"/>
  <c r="Q344" i="3"/>
  <c r="L66" i="7"/>
  <c r="Q22" i="3"/>
  <c r="Q70" i="3"/>
  <c r="Q2" i="3"/>
  <c r="L17" i="3"/>
  <c r="J71" i="3"/>
  <c r="K17" i="3"/>
  <c r="L71" i="3"/>
  <c r="L56" i="3"/>
  <c r="N18" i="3"/>
  <c r="O18" i="3"/>
  <c r="J56" i="3"/>
  <c r="L86" i="3"/>
  <c r="J86" i="3"/>
  <c r="L16" i="3"/>
  <c r="K16" i="3"/>
  <c r="J16" i="3"/>
  <c r="L15" i="3"/>
  <c r="K15" i="3"/>
  <c r="J15" i="3"/>
  <c r="J41" i="3"/>
  <c r="L41" i="3"/>
  <c r="L14" i="3"/>
  <c r="K14" i="3"/>
  <c r="E45" i="7" s="1"/>
  <c r="J14" i="3"/>
  <c r="L13" i="3"/>
  <c r="K13" i="3"/>
  <c r="J13" i="3"/>
  <c r="K26" i="3"/>
  <c r="L26" i="3"/>
  <c r="L12" i="3"/>
  <c r="K12" i="3"/>
  <c r="J12" i="3"/>
  <c r="N71" i="3"/>
  <c r="O71" i="3"/>
  <c r="N41" i="3"/>
  <c r="O41" i="3"/>
  <c r="O86" i="3"/>
  <c r="N86" i="3"/>
  <c r="Q96" i="3"/>
  <c r="Q94" i="3"/>
  <c r="O25" i="3"/>
  <c r="N25" i="3"/>
  <c r="O56" i="3"/>
  <c r="N56" i="3"/>
  <c r="N11" i="3"/>
  <c r="O11" i="3"/>
  <c r="O9" i="3"/>
  <c r="N9" i="3"/>
  <c r="N8" i="3"/>
  <c r="O8" i="3"/>
  <c r="O7" i="3"/>
  <c r="N7" i="3"/>
  <c r="O6" i="3"/>
  <c r="N6" i="3"/>
  <c r="O5" i="3"/>
  <c r="N5" i="3"/>
  <c r="N4" i="3"/>
  <c r="O4" i="3"/>
  <c r="Q244" i="3"/>
  <c r="Q248" i="3"/>
  <c r="Q224" i="3"/>
  <c r="Q240" i="3"/>
  <c r="Q241" i="3"/>
  <c r="Q187" i="3"/>
  <c r="Q183" i="3"/>
  <c r="Q180" i="3"/>
  <c r="Q214" i="3"/>
  <c r="Q210" i="3"/>
  <c r="Q249" i="3"/>
  <c r="Q209" i="3"/>
  <c r="Q242" i="3"/>
  <c r="Q389" i="3"/>
  <c r="Q385" i="3"/>
  <c r="Q381" i="3"/>
  <c r="Q349" i="3"/>
  <c r="Q393" i="3"/>
  <c r="Q376" i="3"/>
  <c r="Q373" i="3"/>
  <c r="Q354" i="3"/>
  <c r="Q356" i="3"/>
  <c r="Q352" i="3"/>
  <c r="Q394" i="3"/>
  <c r="Q366" i="3"/>
  <c r="Q399" i="3"/>
  <c r="Q355" i="3"/>
  <c r="Q343" i="3"/>
  <c r="Q345" i="3"/>
  <c r="Q362" i="3"/>
  <c r="Q386" i="3"/>
  <c r="Q360" i="3"/>
  <c r="Q369" i="3"/>
  <c r="Q176" i="3"/>
  <c r="Q173" i="3"/>
  <c r="Q170" i="3"/>
  <c r="Q149" i="3"/>
  <c r="Q97" i="3"/>
  <c r="Q169" i="3"/>
  <c r="Q138" i="3"/>
  <c r="Q297" i="3"/>
  <c r="Q307" i="3"/>
  <c r="Q319" i="3"/>
  <c r="Q332" i="3"/>
  <c r="Q303" i="3"/>
  <c r="Q295" i="3"/>
  <c r="Q285" i="3"/>
  <c r="Q329" i="3"/>
  <c r="Q306" i="3"/>
  <c r="Q342" i="3"/>
  <c r="Q269" i="3"/>
  <c r="Q264" i="3"/>
  <c r="Q311" i="3"/>
  <c r="Q320" i="3"/>
  <c r="Q288" i="3"/>
  <c r="Q263" i="3"/>
  <c r="Q324" i="3"/>
  <c r="Q276" i="3"/>
  <c r="Q280" i="3"/>
  <c r="Q309" i="3"/>
  <c r="Q272" i="3"/>
  <c r="Q338" i="3"/>
  <c r="Q273" i="3"/>
  <c r="Q308" i="3"/>
  <c r="Q292" i="3"/>
  <c r="Q299" i="3"/>
  <c r="Q271" i="3"/>
  <c r="Q296" i="3"/>
  <c r="Q316" i="3"/>
  <c r="Q335" i="3"/>
  <c r="Q287" i="3"/>
  <c r="Q328" i="3"/>
  <c r="Q304" i="3"/>
  <c r="Q315" i="3"/>
  <c r="Q181" i="3"/>
  <c r="Q228" i="3"/>
  <c r="Q230" i="3"/>
  <c r="Q211" i="3"/>
  <c r="Q229" i="3"/>
  <c r="Q178" i="3"/>
  <c r="Q220" i="3"/>
  <c r="Q186" i="3"/>
  <c r="Q254" i="3"/>
  <c r="Q258" i="3"/>
  <c r="Q257" i="3"/>
  <c r="Q250" i="3"/>
  <c r="Q237" i="3"/>
  <c r="Q190" i="3"/>
  <c r="Q185" i="3"/>
  <c r="Q255" i="3"/>
  <c r="Q247" i="3"/>
  <c r="Q225" i="3"/>
  <c r="Q202" i="3"/>
  <c r="Q188" i="3"/>
  <c r="Q239" i="3"/>
  <c r="Q231" i="3"/>
  <c r="Q222" i="3"/>
  <c r="Q262" i="3"/>
  <c r="Q207" i="3"/>
  <c r="Q234" i="3"/>
  <c r="Q198" i="3"/>
  <c r="Q204" i="3"/>
  <c r="Q243" i="3"/>
  <c r="Q216" i="3"/>
  <c r="Q195" i="3"/>
  <c r="Q203" i="3"/>
  <c r="Q182" i="3"/>
  <c r="Q245" i="3"/>
  <c r="Q259" i="3"/>
  <c r="Q184" i="3"/>
  <c r="Q179" i="3"/>
  <c r="Q226" i="3"/>
  <c r="Q218" i="3"/>
  <c r="Q253" i="3"/>
  <c r="Q261" i="3"/>
  <c r="Q251" i="3"/>
  <c r="Q238" i="3"/>
  <c r="Q191" i="3"/>
  <c r="Q246" i="3"/>
  <c r="Q136" i="3"/>
  <c r="Q157" i="3"/>
  <c r="Q161" i="3"/>
  <c r="Q174" i="3"/>
  <c r="Q163" i="3"/>
  <c r="Q162" i="3"/>
  <c r="Q145" i="3"/>
  <c r="Q144" i="3"/>
  <c r="Q166" i="3"/>
  <c r="Q111" i="3"/>
  <c r="Q141" i="3"/>
  <c r="Q99" i="3"/>
  <c r="Q159" i="3"/>
  <c r="Q137" i="3"/>
  <c r="Q150" i="3"/>
  <c r="Q135" i="3"/>
  <c r="Q110" i="3"/>
  <c r="Q167" i="3"/>
  <c r="Q153" i="3"/>
  <c r="Q175" i="3"/>
  <c r="Q143" i="3"/>
  <c r="Q142" i="3"/>
  <c r="Q100" i="3"/>
  <c r="Q155" i="3"/>
  <c r="Q95" i="3"/>
  <c r="Q152" i="3"/>
  <c r="Q172" i="3"/>
  <c r="Q160" i="3"/>
  <c r="Q102" i="3"/>
  <c r="Q164" i="3"/>
  <c r="Q87" i="3"/>
  <c r="Q79" i="3"/>
  <c r="L46" i="7" l="1"/>
  <c r="Q128" i="3"/>
  <c r="L9" i="7"/>
  <c r="J75" i="7"/>
  <c r="H75" i="7"/>
  <c r="K75" i="7"/>
  <c r="Q104" i="3"/>
  <c r="L15" i="7"/>
  <c r="K56" i="7"/>
  <c r="H56" i="7"/>
  <c r="K45" i="7"/>
  <c r="H45" i="7"/>
  <c r="J56" i="7"/>
  <c r="J45" i="7"/>
  <c r="L62" i="7"/>
  <c r="E6" i="7"/>
  <c r="Q120" i="3"/>
  <c r="Q123" i="3"/>
  <c r="Q108" i="3"/>
  <c r="L80" i="7"/>
  <c r="Q133" i="3"/>
  <c r="Q109" i="3"/>
  <c r="Q103" i="3"/>
  <c r="Q105" i="3"/>
  <c r="L47" i="7"/>
  <c r="Q126" i="3"/>
  <c r="Q122" i="3"/>
  <c r="L7" i="7"/>
  <c r="L34" i="7"/>
  <c r="L40" i="7"/>
  <c r="L76" i="7"/>
  <c r="L60" i="7"/>
  <c r="L50" i="7"/>
  <c r="L12" i="7"/>
  <c r="L10" i="7"/>
  <c r="N17" i="3"/>
  <c r="O17" i="3"/>
  <c r="Q25" i="3"/>
  <c r="Q18" i="3"/>
  <c r="O16" i="3"/>
  <c r="N16" i="3"/>
  <c r="N15" i="3"/>
  <c r="O15" i="3"/>
  <c r="N14" i="3"/>
  <c r="O14" i="3"/>
  <c r="Q56" i="3"/>
  <c r="O13" i="3"/>
  <c r="N13" i="3"/>
  <c r="Q86" i="3"/>
  <c r="O12" i="3"/>
  <c r="N12" i="3"/>
  <c r="O26" i="3"/>
  <c r="N26" i="3"/>
  <c r="Q41" i="3"/>
  <c r="Q71" i="3"/>
  <c r="Q11" i="3"/>
  <c r="Q5" i="3"/>
  <c r="Q9" i="3"/>
  <c r="Q7" i="3"/>
  <c r="Q8" i="3"/>
  <c r="Q6" i="3"/>
  <c r="Q4" i="3"/>
  <c r="L75" i="7" l="1"/>
  <c r="K6" i="7"/>
  <c r="H6" i="7"/>
  <c r="Q2" i="7" s="1"/>
  <c r="J6" i="7"/>
  <c r="L45" i="7"/>
  <c r="L56" i="7"/>
  <c r="Q17" i="3"/>
  <c r="Q16" i="3"/>
  <c r="Q12" i="3"/>
  <c r="Q15" i="3"/>
  <c r="Q14" i="3"/>
  <c r="Q13" i="3"/>
  <c r="Q26" i="3"/>
  <c r="L48" i="7"/>
  <c r="L57" i="7"/>
  <c r="L58" i="7"/>
  <c r="L6" i="7" l="1"/>
  <c r="Q4" i="7" s="1"/>
  <c r="Q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5902DF-5E61-4283-8EE0-B784E6F45A14}" keepAlive="1" name="Query - ?datasource=tranquility&amp;type_id=2048" description="Connection to the '?datasource=tranquility&amp;type_id=2048' query in the workbook." type="5" refreshedVersion="7" background="1" saveData="1">
    <dbPr connection="Provider=Microsoft.Mashup.OleDb.1;Data Source=$Workbook$;Location=&quot;?datasource=tranquility&amp;type_id=2048&quot;;Extended Properties=&quot;&quot;" command="SELECT * FROM [?datasource=tranquility&amp;type_id=2048]"/>
  </connection>
  <connection id="2" xr16:uid="{DB64B398-7B22-4420-BF2B-05575FCF4705}" keepAlive="1" name="Query - ?datasource=tranquility&amp;type_id=2048 (10)" description="Connection to the '?datasource=tranquility&amp;type_id=2048 (10)' query in the workbook." type="5" refreshedVersion="7" background="1" saveData="1">
    <dbPr connection="Provider=Microsoft.Mashup.OleDb.1;Data Source=$Workbook$;Location=&quot;?datasource=tranquility&amp;type_id=2048 (10)&quot;;Extended Properties=&quot;&quot;" command="SELECT * FROM [?datasource=tranquility&amp;type_id=2048 (10)]"/>
  </connection>
  <connection id="3" xr16:uid="{3B2D9971-AE07-4578-99CA-22295EC99933}" keepAlive="1" name="Query - ?datasource=tranquility&amp;type_id=2048 (100)" description="Connection to the '?datasource=tranquility&amp;type_id=2048 (100)' query in the workbook." type="5" refreshedVersion="7" background="1" saveData="1">
    <dbPr connection="Provider=Microsoft.Mashup.OleDb.1;Data Source=$Workbook$;Location=&quot;?datasource=tranquility&amp;type_id=2048 (100)&quot;;Extended Properties=&quot;&quot;" command="SELECT * FROM [?datasource=tranquility&amp;type_id=2048 (100)]"/>
  </connection>
  <connection id="4" xr16:uid="{234A1EED-C261-40F0-9750-EBA793A8F88B}" keepAlive="1" name="Query - ?datasource=tranquility&amp;type_id=2048 (101)" description="Connection to the '?datasource=tranquility&amp;type_id=2048 (101)' query in the workbook." type="5" refreshedVersion="7" background="1" saveData="1">
    <dbPr connection="Provider=Microsoft.Mashup.OleDb.1;Data Source=$Workbook$;Location=&quot;?datasource=tranquility&amp;type_id=2048 (101)&quot;;Extended Properties=&quot;&quot;" command="SELECT * FROM [?datasource=tranquility&amp;type_id=2048 (101)]"/>
  </connection>
  <connection id="5" xr16:uid="{E5AE2388-ED84-46A3-8231-A40314FF3F92}" keepAlive="1" name="Query - ?datasource=tranquility&amp;type_id=2048 (102)" description="Connection to the '?datasource=tranquility&amp;type_id=2048 (102)' query in the workbook." type="5" refreshedVersion="7" background="1" saveData="1">
    <dbPr connection="Provider=Microsoft.Mashup.OleDb.1;Data Source=$Workbook$;Location=&quot;?datasource=tranquility&amp;type_id=2048 (102)&quot;;Extended Properties=&quot;&quot;" command="SELECT * FROM [?datasource=tranquility&amp;type_id=2048 (102)]"/>
  </connection>
  <connection id="6" xr16:uid="{83C380D9-CD90-4259-A169-18280D38FE6E}" keepAlive="1" name="Query - ?datasource=tranquility&amp;type_id=2048 (103)" description="Connection to the '?datasource=tranquility&amp;type_id=2048 (103)' query in the workbook." type="5" refreshedVersion="7" background="1" saveData="1">
    <dbPr connection="Provider=Microsoft.Mashup.OleDb.1;Data Source=$Workbook$;Location=&quot;?datasource=tranquility&amp;type_id=2048 (103)&quot;;Extended Properties=&quot;&quot;" command="SELECT * FROM [?datasource=tranquility&amp;type_id=2048 (103)]"/>
  </connection>
  <connection id="7" xr16:uid="{EC1824BD-919B-4334-B431-697FB424F4A9}" keepAlive="1" name="Query - ?datasource=tranquility&amp;type_id=2048 (104)" description="Connection to the '?datasource=tranquility&amp;type_id=2048 (104)' query in the workbook." type="5" refreshedVersion="7" background="1" saveData="1">
    <dbPr connection="Provider=Microsoft.Mashup.OleDb.1;Data Source=$Workbook$;Location=&quot;?datasource=tranquility&amp;type_id=2048 (104)&quot;;Extended Properties=&quot;&quot;" command="SELECT * FROM [?datasource=tranquility&amp;type_id=2048 (104)]"/>
  </connection>
  <connection id="8" xr16:uid="{EDA3E555-C99A-4D33-8254-1BA355B76400}" keepAlive="1" name="Query - ?datasource=tranquility&amp;type_id=2048 (105)" description="Connection to the '?datasource=tranquility&amp;type_id=2048 (105)' query in the workbook." type="5" refreshedVersion="7" background="1" saveData="1">
    <dbPr connection="Provider=Microsoft.Mashup.OleDb.1;Data Source=$Workbook$;Location=&quot;?datasource=tranquility&amp;type_id=2048 (105)&quot;;Extended Properties=&quot;&quot;" command="SELECT * FROM [?datasource=tranquility&amp;type_id=2048 (105)]"/>
  </connection>
  <connection id="9" xr16:uid="{C66BF94B-3EFF-4BFE-9F6A-4E3D64C28BAB}" keepAlive="1" name="Query - ?datasource=tranquility&amp;type_id=2048 (106)" description="Connection to the '?datasource=tranquility&amp;type_id=2048 (106)' query in the workbook." type="5" refreshedVersion="7" background="1" saveData="1">
    <dbPr connection="Provider=Microsoft.Mashup.OleDb.1;Data Source=$Workbook$;Location=&quot;?datasource=tranquility&amp;type_id=2048 (106)&quot;;Extended Properties=&quot;&quot;" command="SELECT * FROM [?datasource=tranquility&amp;type_id=2048 (106)]"/>
  </connection>
  <connection id="10" xr16:uid="{9D0AE911-73E6-4615-A76B-12FF483732E4}" keepAlive="1" name="Query - ?datasource=tranquility&amp;type_id=2048 (107)" description="Connection to the '?datasource=tranquility&amp;type_id=2048 (107)' query in the workbook." type="5" refreshedVersion="7" background="1" saveData="1">
    <dbPr connection="Provider=Microsoft.Mashup.OleDb.1;Data Source=$Workbook$;Location=&quot;?datasource=tranquility&amp;type_id=2048 (107)&quot;;Extended Properties=&quot;&quot;" command="SELECT * FROM [?datasource=tranquility&amp;type_id=2048 (107)]"/>
  </connection>
  <connection id="11" xr16:uid="{7DF820A9-511E-45B4-B759-BFF127C4A0FA}" keepAlive="1" name="Query - ?datasource=tranquility&amp;type_id=2048 (108)" description="Connection to the '?datasource=tranquility&amp;type_id=2048 (108)' query in the workbook." type="5" refreshedVersion="7" background="1" saveData="1">
    <dbPr connection="Provider=Microsoft.Mashup.OleDb.1;Data Source=$Workbook$;Location=&quot;?datasource=tranquility&amp;type_id=2048 (108)&quot;;Extended Properties=&quot;&quot;" command="SELECT * FROM [?datasource=tranquility&amp;type_id=2048 (108)]"/>
  </connection>
  <connection id="12" xr16:uid="{DBFE34FF-96DE-47C3-BA93-7BC2BAE74E09}" keepAlive="1" name="Query - ?datasource=tranquility&amp;type_id=2048 (109)" description="Connection to the '?datasource=tranquility&amp;type_id=2048 (109)' query in the workbook." type="5" refreshedVersion="7" background="1" saveData="1">
    <dbPr connection="Provider=Microsoft.Mashup.OleDb.1;Data Source=$Workbook$;Location=&quot;?datasource=tranquility&amp;type_id=2048 (109)&quot;;Extended Properties=&quot;&quot;" command="SELECT * FROM [?datasource=tranquility&amp;type_id=2048 (109)]"/>
  </connection>
  <connection id="13" xr16:uid="{FCFB997C-9971-43E4-8045-19FB2E586F4E}" keepAlive="1" name="Query - ?datasource=tranquility&amp;type_id=2048 (11)" description="Connection to the '?datasource=tranquility&amp;type_id=2048 (11)' query in the workbook." type="5" refreshedVersion="7" background="1" saveData="1">
    <dbPr connection="Provider=Microsoft.Mashup.OleDb.1;Data Source=$Workbook$;Location=&quot;?datasource=tranquility&amp;type_id=2048 (11)&quot;;Extended Properties=&quot;&quot;" command="SELECT * FROM [?datasource=tranquility&amp;type_id=2048 (11)]"/>
  </connection>
  <connection id="14" xr16:uid="{1DC9C829-04D7-400C-903F-8667CFA42FC1}" keepAlive="1" name="Query - ?datasource=tranquility&amp;type_id=2048 (110)" description="Connection to the '?datasource=tranquility&amp;type_id=2048 (110)' query in the workbook." type="5" refreshedVersion="7" background="1" saveData="1">
    <dbPr connection="Provider=Microsoft.Mashup.OleDb.1;Data Source=$Workbook$;Location=&quot;?datasource=tranquility&amp;type_id=2048 (110)&quot;;Extended Properties=&quot;&quot;" command="SELECT * FROM [?datasource=tranquility&amp;type_id=2048 (110)]"/>
  </connection>
  <connection id="15" xr16:uid="{801D16BB-5680-4426-AD9A-C189F0BD8F4C}" keepAlive="1" name="Query - ?datasource=tranquility&amp;type_id=2048 (111)" description="Connection to the '?datasource=tranquility&amp;type_id=2048 (111)' query in the workbook." type="5" refreshedVersion="7" background="1" saveData="1">
    <dbPr connection="Provider=Microsoft.Mashup.OleDb.1;Data Source=$Workbook$;Location=&quot;?datasource=tranquility&amp;type_id=2048 (111)&quot;;Extended Properties=&quot;&quot;" command="SELECT * FROM [?datasource=tranquility&amp;type_id=2048 (111)]"/>
  </connection>
  <connection id="16" xr16:uid="{4492E852-2B9D-48BD-8887-D53C8E0687E1}" keepAlive="1" name="Query - ?datasource=tranquility&amp;type_id=2048 (112)" description="Connection to the '?datasource=tranquility&amp;type_id=2048 (112)' query in the workbook." type="5" refreshedVersion="7" background="1" saveData="1">
    <dbPr connection="Provider=Microsoft.Mashup.OleDb.1;Data Source=$Workbook$;Location=&quot;?datasource=tranquility&amp;type_id=2048 (112)&quot;;Extended Properties=&quot;&quot;" command="SELECT * FROM [?datasource=tranquility&amp;type_id=2048 (112)]"/>
  </connection>
  <connection id="17" xr16:uid="{6ACB6E91-0E2B-4F21-BDF6-B5F50023CE6A}" keepAlive="1" name="Query - ?datasource=tranquility&amp;type_id=2048 (113)" description="Connection to the '?datasource=tranquility&amp;type_id=2048 (113)' query in the workbook." type="5" refreshedVersion="7" background="1" saveData="1">
    <dbPr connection="Provider=Microsoft.Mashup.OleDb.1;Data Source=$Workbook$;Location=&quot;?datasource=tranquility&amp;type_id=2048 (113)&quot;;Extended Properties=&quot;&quot;" command="SELECT * FROM [?datasource=tranquility&amp;type_id=2048 (113)]"/>
  </connection>
  <connection id="18" xr16:uid="{9A15EEF4-3B71-408F-841D-9F64A770BDDA}" keepAlive="1" name="Query - ?datasource=tranquility&amp;type_id=2048 (114)" description="Connection to the '?datasource=tranquility&amp;type_id=2048 (114)' query in the workbook." type="5" refreshedVersion="7" background="1" saveData="1">
    <dbPr connection="Provider=Microsoft.Mashup.OleDb.1;Data Source=$Workbook$;Location=&quot;?datasource=tranquility&amp;type_id=2048 (114)&quot;;Extended Properties=&quot;&quot;" command="SELECT * FROM [?datasource=tranquility&amp;type_id=2048 (114)]"/>
  </connection>
  <connection id="19" xr16:uid="{38F9E086-1042-4B80-AFCC-F07130336C4F}" keepAlive="1" name="Query - ?datasource=tranquility&amp;type_id=2048 (115)" description="Connection to the '?datasource=tranquility&amp;type_id=2048 (115)' query in the workbook." type="5" refreshedVersion="7" background="1" saveData="1">
    <dbPr connection="Provider=Microsoft.Mashup.OleDb.1;Data Source=$Workbook$;Location=&quot;?datasource=tranquility&amp;type_id=2048 (115)&quot;;Extended Properties=&quot;&quot;" command="SELECT * FROM [?datasource=tranquility&amp;type_id=2048 (115)]"/>
  </connection>
  <connection id="20" xr16:uid="{F9FFB7D7-9AC5-42B7-96B4-379599C9DF0F}" keepAlive="1" name="Query - ?datasource=tranquility&amp;type_id=2048 (116)" description="Connection to the '?datasource=tranquility&amp;type_id=2048 (116)' query in the workbook." type="5" refreshedVersion="7" background="1" saveData="1">
    <dbPr connection="Provider=Microsoft.Mashup.OleDb.1;Data Source=$Workbook$;Location=&quot;?datasource=tranquility&amp;type_id=2048 (116)&quot;;Extended Properties=&quot;&quot;" command="SELECT * FROM [?datasource=tranquility&amp;type_id=2048 (116)]"/>
  </connection>
  <connection id="21" xr16:uid="{D05A24A7-E020-4519-82B3-765A7530151D}" keepAlive="1" name="Query - ?datasource=tranquility&amp;type_id=2048 (117)" description="Connection to the '?datasource=tranquility&amp;type_id=2048 (117)' query in the workbook." type="5" refreshedVersion="7" background="1" saveData="1">
    <dbPr connection="Provider=Microsoft.Mashup.OleDb.1;Data Source=$Workbook$;Location=&quot;?datasource=tranquility&amp;type_id=2048 (117)&quot;;Extended Properties=&quot;&quot;" command="SELECT * FROM [?datasource=tranquility&amp;type_id=2048 (117)]"/>
  </connection>
  <connection id="22" xr16:uid="{6FBB9530-A393-4706-9EA1-AE5EA9C34BEE}" keepAlive="1" name="Query - ?datasource=tranquility&amp;type_id=2048 (118)" description="Connection to the '?datasource=tranquility&amp;type_id=2048 (118)' query in the workbook." type="5" refreshedVersion="7" background="1" saveData="1">
    <dbPr connection="Provider=Microsoft.Mashup.OleDb.1;Data Source=$Workbook$;Location=&quot;?datasource=tranquility&amp;type_id=2048 (118)&quot;;Extended Properties=&quot;&quot;" command="SELECT * FROM [?datasource=tranquility&amp;type_id=2048 (118)]"/>
  </connection>
  <connection id="23" xr16:uid="{D221C80C-8B4D-4277-9B00-3DB9398A702F}" keepAlive="1" name="Query - ?datasource=tranquility&amp;type_id=2048 (119)" description="Connection to the '?datasource=tranquility&amp;type_id=2048 (119)' query in the workbook." type="5" refreshedVersion="7" background="1" saveData="1">
    <dbPr connection="Provider=Microsoft.Mashup.OleDb.1;Data Source=$Workbook$;Location=&quot;?datasource=tranquility&amp;type_id=2048 (119)&quot;;Extended Properties=&quot;&quot;" command="SELECT * FROM [?datasource=tranquility&amp;type_id=2048 (119)]"/>
  </connection>
  <connection id="24" xr16:uid="{952938F9-EBF4-4D9F-BA1F-19699B7C637B}" keepAlive="1" name="Query - ?datasource=tranquility&amp;type_id=2048 (12)" description="Connection to the '?datasource=tranquility&amp;type_id=2048 (12)' query in the workbook." type="5" refreshedVersion="7" background="1" saveData="1">
    <dbPr connection="Provider=Microsoft.Mashup.OleDb.1;Data Source=$Workbook$;Location=&quot;?datasource=tranquility&amp;type_id=2048 (12)&quot;;Extended Properties=&quot;&quot;" command="SELECT * FROM [?datasource=tranquility&amp;type_id=2048 (12)]"/>
  </connection>
  <connection id="25" xr16:uid="{933A4048-AAC5-4D0B-8E80-4319C5AAD288}" keepAlive="1" name="Query - ?datasource=tranquility&amp;type_id=2048 (120)" description="Connection to the '?datasource=tranquility&amp;type_id=2048 (120)' query in the workbook." type="5" refreshedVersion="7" background="1" saveData="1">
    <dbPr connection="Provider=Microsoft.Mashup.OleDb.1;Data Source=$Workbook$;Location=&quot;?datasource=tranquility&amp;type_id=2048 (120)&quot;;Extended Properties=&quot;&quot;" command="SELECT * FROM [?datasource=tranquility&amp;type_id=2048 (120)]"/>
  </connection>
  <connection id="26" xr16:uid="{98E428C5-667D-4A86-A07A-78B516E44A8B}" keepAlive="1" name="Query - ?datasource=tranquility&amp;type_id=2048 (121)" description="Connection to the '?datasource=tranquility&amp;type_id=2048 (121)' query in the workbook." type="5" refreshedVersion="7" background="1" saveData="1">
    <dbPr connection="Provider=Microsoft.Mashup.OleDb.1;Data Source=$Workbook$;Location=&quot;?datasource=tranquility&amp;type_id=2048 (121)&quot;;Extended Properties=&quot;&quot;" command="SELECT * FROM [?datasource=tranquility&amp;type_id=2048 (121)]"/>
  </connection>
  <connection id="27" xr16:uid="{F1BD5701-291D-42BE-9F51-EFC4EA9D57AD}" keepAlive="1" name="Query - ?datasource=tranquility&amp;type_id=2048 (122)" description="Connection to the '?datasource=tranquility&amp;type_id=2048 (122)' query in the workbook." type="5" refreshedVersion="7" background="1" saveData="1">
    <dbPr connection="Provider=Microsoft.Mashup.OleDb.1;Data Source=$Workbook$;Location=&quot;?datasource=tranquility&amp;type_id=2048 (122)&quot;;Extended Properties=&quot;&quot;" command="SELECT * FROM [?datasource=tranquility&amp;type_id=2048 (122)]"/>
  </connection>
  <connection id="28" xr16:uid="{30F9D5C2-BD5D-41E7-AD3A-BAE7E12C678F}" keepAlive="1" name="Query - ?datasource=tranquility&amp;type_id=2048 (123)" description="Connection to the '?datasource=tranquility&amp;type_id=2048 (123)' query in the workbook." type="5" refreshedVersion="7" background="1" saveData="1">
    <dbPr connection="Provider=Microsoft.Mashup.OleDb.1;Data Source=$Workbook$;Location=&quot;?datasource=tranquility&amp;type_id=2048 (123)&quot;;Extended Properties=&quot;&quot;" command="SELECT * FROM [?datasource=tranquility&amp;type_id=2048 (123)]"/>
  </connection>
  <connection id="29" xr16:uid="{2E86A231-B2A8-4826-87B5-7081AC764521}" keepAlive="1" name="Query - ?datasource=tranquility&amp;type_id=2048 (124)" description="Connection to the '?datasource=tranquility&amp;type_id=2048 (124)' query in the workbook." type="5" refreshedVersion="7" background="1" saveData="1">
    <dbPr connection="Provider=Microsoft.Mashup.OleDb.1;Data Source=$Workbook$;Location=&quot;?datasource=tranquility&amp;type_id=2048 (124)&quot;;Extended Properties=&quot;&quot;" command="SELECT * FROM [?datasource=tranquility&amp;type_id=2048 (124)]"/>
  </connection>
  <connection id="30" xr16:uid="{C4E7B99D-5D7A-4C1B-A2DB-2E4DC556F25C}" keepAlive="1" name="Query - ?datasource=tranquility&amp;type_id=2048 (125)" description="Connection to the '?datasource=tranquility&amp;type_id=2048 (125)' query in the workbook." type="5" refreshedVersion="7" background="1" saveData="1">
    <dbPr connection="Provider=Microsoft.Mashup.OleDb.1;Data Source=$Workbook$;Location=&quot;?datasource=tranquility&amp;type_id=2048 (125)&quot;;Extended Properties=&quot;&quot;" command="SELECT * FROM [?datasource=tranquility&amp;type_id=2048 (125)]"/>
  </connection>
  <connection id="31" xr16:uid="{C3DB0DDC-3980-432C-9807-33DA6D3744BB}" keepAlive="1" name="Query - ?datasource=tranquility&amp;type_id=2048 (126)" description="Connection to the '?datasource=tranquility&amp;type_id=2048 (126)' query in the workbook." type="5" refreshedVersion="7" background="1" saveData="1">
    <dbPr connection="Provider=Microsoft.Mashup.OleDb.1;Data Source=$Workbook$;Location=&quot;?datasource=tranquility&amp;type_id=2048 (126)&quot;;Extended Properties=&quot;&quot;" command="SELECT * FROM [?datasource=tranquility&amp;type_id=2048 (126)]"/>
  </connection>
  <connection id="32" xr16:uid="{8E66A0A6-39D3-46C4-9435-EF2D00957903}" keepAlive="1" name="Query - ?datasource=tranquility&amp;type_id=2048 (127)" description="Connection to the '?datasource=tranquility&amp;type_id=2048 (127)' query in the workbook." type="5" refreshedVersion="7" background="1" saveData="1">
    <dbPr connection="Provider=Microsoft.Mashup.OleDb.1;Data Source=$Workbook$;Location=&quot;?datasource=tranquility&amp;type_id=2048 (127)&quot;;Extended Properties=&quot;&quot;" command="SELECT * FROM [?datasource=tranquility&amp;type_id=2048 (127)]"/>
  </connection>
  <connection id="33" xr16:uid="{52CEA753-29AE-491A-87E6-A272DCF24F86}" keepAlive="1" name="Query - ?datasource=tranquility&amp;type_id=2048 (128)" description="Connection to the '?datasource=tranquility&amp;type_id=2048 (128)' query in the workbook." type="5" refreshedVersion="7" background="1" saveData="1">
    <dbPr connection="Provider=Microsoft.Mashup.OleDb.1;Data Source=$Workbook$;Location=&quot;?datasource=tranquility&amp;type_id=2048 (128)&quot;;Extended Properties=&quot;&quot;" command="SELECT * FROM [?datasource=tranquility&amp;type_id=2048 (128)]"/>
  </connection>
  <connection id="34" xr16:uid="{09F2EECB-62F5-4343-ABBD-86D87396AF0B}" keepAlive="1" name="Query - ?datasource=tranquility&amp;type_id=2048 (129)" description="Connection to the '?datasource=tranquility&amp;type_id=2048 (129)' query in the workbook." type="5" refreshedVersion="7" background="1" saveData="1">
    <dbPr connection="Provider=Microsoft.Mashup.OleDb.1;Data Source=$Workbook$;Location=&quot;?datasource=tranquility&amp;type_id=2048 (129)&quot;;Extended Properties=&quot;&quot;" command="SELECT * FROM [?datasource=tranquility&amp;type_id=2048 (129)]"/>
  </connection>
  <connection id="35" xr16:uid="{82DA9331-A314-4F42-82F3-2F739DF3BB45}" keepAlive="1" name="Query - ?datasource=tranquility&amp;type_id=2048 (13)" description="Connection to the '?datasource=tranquility&amp;type_id=2048 (13)' query in the workbook." type="5" refreshedVersion="7" background="1" saveData="1">
    <dbPr connection="Provider=Microsoft.Mashup.OleDb.1;Data Source=$Workbook$;Location=&quot;?datasource=tranquility&amp;type_id=2048 (13)&quot;;Extended Properties=&quot;&quot;" command="SELECT * FROM [?datasource=tranquility&amp;type_id=2048 (13)]"/>
  </connection>
  <connection id="36" xr16:uid="{696724DE-7FD6-4C6E-90FA-094AAAA30180}" keepAlive="1" name="Query - ?datasource=tranquility&amp;type_id=2048 (130)" description="Connection to the '?datasource=tranquility&amp;type_id=2048 (130)' query in the workbook." type="5" refreshedVersion="7" background="1" saveData="1">
    <dbPr connection="Provider=Microsoft.Mashup.OleDb.1;Data Source=$Workbook$;Location=&quot;?datasource=tranquility&amp;type_id=2048 (130)&quot;;Extended Properties=&quot;&quot;" command="SELECT * FROM [?datasource=tranquility&amp;type_id=2048 (130)]"/>
  </connection>
  <connection id="37" xr16:uid="{81BFA9AE-A541-424D-9EE8-58AF174EA2E5}" keepAlive="1" name="Query - ?datasource=tranquility&amp;type_id=2048 (131)" description="Connection to the '?datasource=tranquility&amp;type_id=2048 (131)' query in the workbook." type="5" refreshedVersion="7" background="1" saveData="1">
    <dbPr connection="Provider=Microsoft.Mashup.OleDb.1;Data Source=$Workbook$;Location=&quot;?datasource=tranquility&amp;type_id=2048 (131)&quot;;Extended Properties=&quot;&quot;" command="SELECT * FROM [?datasource=tranquility&amp;type_id=2048 (131)]"/>
  </connection>
  <connection id="38" xr16:uid="{BD9E3664-62F1-4005-A087-8F1421C18348}" keepAlive="1" name="Query - ?datasource=tranquility&amp;type_id=2048 (132)" description="Connection to the '?datasource=tranquility&amp;type_id=2048 (132)' query in the workbook." type="5" refreshedVersion="7" background="1" saveData="1">
    <dbPr connection="Provider=Microsoft.Mashup.OleDb.1;Data Source=$Workbook$;Location=&quot;?datasource=tranquility&amp;type_id=2048 (132)&quot;;Extended Properties=&quot;&quot;" command="SELECT * FROM [?datasource=tranquility&amp;type_id=2048 (132)]"/>
  </connection>
  <connection id="39" xr16:uid="{25BCC6D7-8FD6-48D4-B3F9-1533E4F86DDA}" keepAlive="1" name="Query - ?datasource=tranquility&amp;type_id=2048 (133)" description="Connection to the '?datasource=tranquility&amp;type_id=2048 (133)' query in the workbook." type="5" refreshedVersion="7" background="1" saveData="1">
    <dbPr connection="Provider=Microsoft.Mashup.OleDb.1;Data Source=$Workbook$;Location=&quot;?datasource=tranquility&amp;type_id=2048 (133)&quot;;Extended Properties=&quot;&quot;" command="SELECT * FROM [?datasource=tranquility&amp;type_id=2048 (133)]"/>
  </connection>
  <connection id="40" xr16:uid="{87546169-C3F8-442B-8333-D2B84A104970}" keepAlive="1" name="Query - ?datasource=tranquility&amp;type_id=2048 (134)" description="Connection to the '?datasource=tranquility&amp;type_id=2048 (134)' query in the workbook." type="5" refreshedVersion="7" background="1" saveData="1">
    <dbPr connection="Provider=Microsoft.Mashup.OleDb.1;Data Source=$Workbook$;Location=&quot;?datasource=tranquility&amp;type_id=2048 (134)&quot;;Extended Properties=&quot;&quot;" command="SELECT * FROM [?datasource=tranquility&amp;type_id=2048 (134)]"/>
  </connection>
  <connection id="41" xr16:uid="{D8DFF2C6-BD08-4A6A-A8D5-A5E3F270B432}" keepAlive="1" name="Query - ?datasource=tranquility&amp;type_id=2048 (135)" description="Connection to the '?datasource=tranquility&amp;type_id=2048 (135)' query in the workbook." type="5" refreshedVersion="7" background="1" saveData="1">
    <dbPr connection="Provider=Microsoft.Mashup.OleDb.1;Data Source=$Workbook$;Location=&quot;?datasource=tranquility&amp;type_id=2048 (135)&quot;;Extended Properties=&quot;&quot;" command="SELECT * FROM [?datasource=tranquility&amp;type_id=2048 (135)]"/>
  </connection>
  <connection id="42" xr16:uid="{4C9F8735-3EA0-41E2-8881-A661DC83ED6B}" keepAlive="1" name="Query - ?datasource=tranquility&amp;type_id=2048 (136)" description="Connection to the '?datasource=tranquility&amp;type_id=2048 (136)' query in the workbook." type="5" refreshedVersion="7" background="1" saveData="1">
    <dbPr connection="Provider=Microsoft.Mashup.OleDb.1;Data Source=$Workbook$;Location=&quot;?datasource=tranquility&amp;type_id=2048 (136)&quot;;Extended Properties=&quot;&quot;" command="SELECT * FROM [?datasource=tranquility&amp;type_id=2048 (136)]"/>
  </connection>
  <connection id="43" xr16:uid="{23461D49-DD29-4B5C-A183-50797830597E}" keepAlive="1" name="Query - ?datasource=tranquility&amp;type_id=2048 (137)" description="Connection to the '?datasource=tranquility&amp;type_id=2048 (137)' query in the workbook." type="5" refreshedVersion="7" background="1" saveData="1">
    <dbPr connection="Provider=Microsoft.Mashup.OleDb.1;Data Source=$Workbook$;Location=&quot;?datasource=tranquility&amp;type_id=2048 (137)&quot;;Extended Properties=&quot;&quot;" command="SELECT * FROM [?datasource=tranquility&amp;type_id=2048 (137)]"/>
  </connection>
  <connection id="44" xr16:uid="{3CD380DD-28ED-4274-BF2C-D553525B1289}" keepAlive="1" name="Query - ?datasource=tranquility&amp;type_id=2048 (14)" description="Connection to the '?datasource=tranquility&amp;type_id=2048 (14)' query in the workbook." type="5" refreshedVersion="7" background="1" saveData="1">
    <dbPr connection="Provider=Microsoft.Mashup.OleDb.1;Data Source=$Workbook$;Location=&quot;?datasource=tranquility&amp;type_id=2048 (14)&quot;;Extended Properties=&quot;&quot;" command="SELECT * FROM [?datasource=tranquility&amp;type_id=2048 (14)]"/>
  </connection>
  <connection id="45" xr16:uid="{08F571CC-D64C-41F5-80C0-FB1D11E033E8}" keepAlive="1" name="Query - ?datasource=tranquility&amp;type_id=2048 (15)" description="Connection to the '?datasource=tranquility&amp;type_id=2048 (15)' query in the workbook." type="5" refreshedVersion="7" background="1" saveData="1">
    <dbPr connection="Provider=Microsoft.Mashup.OleDb.1;Data Source=$Workbook$;Location=&quot;?datasource=tranquility&amp;type_id=2048 (15)&quot;;Extended Properties=&quot;&quot;" command="SELECT * FROM [?datasource=tranquility&amp;type_id=2048 (15)]"/>
  </connection>
  <connection id="46" xr16:uid="{BCD25591-B93F-4592-A659-FA81F7837121}" keepAlive="1" name="Query - ?datasource=tranquility&amp;type_id=2048 (16)" description="Connection to the '?datasource=tranquility&amp;type_id=2048 (16)' query in the workbook." type="5" refreshedVersion="7" background="1" saveData="1">
    <dbPr connection="Provider=Microsoft.Mashup.OleDb.1;Data Source=$Workbook$;Location=&quot;?datasource=tranquility&amp;type_id=2048 (16)&quot;;Extended Properties=&quot;&quot;" command="SELECT * FROM [?datasource=tranquility&amp;type_id=2048 (16)]"/>
  </connection>
  <connection id="47" xr16:uid="{23F69C8D-D812-47A4-A87B-B4A971D3DC1C}" keepAlive="1" name="Query - ?datasource=tranquility&amp;type_id=2048 (17)" description="Connection to the '?datasource=tranquility&amp;type_id=2048 (17)' query in the workbook." type="5" refreshedVersion="7" background="1" saveData="1">
    <dbPr connection="Provider=Microsoft.Mashup.OleDb.1;Data Source=$Workbook$;Location=&quot;?datasource=tranquility&amp;type_id=2048 (17)&quot;;Extended Properties=&quot;&quot;" command="SELECT * FROM [?datasource=tranquility&amp;type_id=2048 (17)]"/>
  </connection>
  <connection id="48" xr16:uid="{D3B4A1DA-7849-48B1-94FB-6AFA3933F9FF}" keepAlive="1" name="Query - ?datasource=tranquility&amp;type_id=2048 (18)" description="Connection to the '?datasource=tranquility&amp;type_id=2048 (18)' query in the workbook." type="5" refreshedVersion="7" background="1" saveData="1">
    <dbPr connection="Provider=Microsoft.Mashup.OleDb.1;Data Source=$Workbook$;Location=&quot;?datasource=tranquility&amp;type_id=2048 (18)&quot;;Extended Properties=&quot;&quot;" command="SELECT * FROM [?datasource=tranquility&amp;type_id=2048 (18)]"/>
  </connection>
  <connection id="49" xr16:uid="{61AB5675-9588-4E50-8C20-A4767D5C94B8}" keepAlive="1" name="Query - ?datasource=tranquility&amp;type_id=2048 (19)" description="Connection to the '?datasource=tranquility&amp;type_id=2048 (19)' query in the workbook." type="5" refreshedVersion="7" background="1" saveData="1">
    <dbPr connection="Provider=Microsoft.Mashup.OleDb.1;Data Source=$Workbook$;Location=&quot;?datasource=tranquility&amp;type_id=2048 (19)&quot;;Extended Properties=&quot;&quot;" command="SELECT * FROM [?datasource=tranquility&amp;type_id=2048 (19)]"/>
  </connection>
  <connection id="50" xr16:uid="{287A35F3-45CF-4F63-8D71-5CC2766A13AA}" keepAlive="1" name="Query - ?datasource=tranquility&amp;type_id=2048 (2)" description="Connection to the '?datasource=tranquility&amp;type_id=2048 (2)' query in the workbook." type="5" refreshedVersion="7" background="1" saveData="1">
    <dbPr connection="Provider=Microsoft.Mashup.OleDb.1;Data Source=$Workbook$;Location=&quot;?datasource=tranquility&amp;type_id=2048 (2)&quot;;Extended Properties=&quot;&quot;" command="SELECT * FROM [?datasource=tranquility&amp;type_id=2048 (2)]"/>
  </connection>
  <connection id="51" xr16:uid="{B48C98F6-BB32-4A33-B1E6-524BF3D6A141}" keepAlive="1" name="Query - ?datasource=tranquility&amp;type_id=2048 (20)" description="Connection to the '?datasource=tranquility&amp;type_id=2048 (20)' query in the workbook." type="5" refreshedVersion="7" background="1" saveData="1">
    <dbPr connection="Provider=Microsoft.Mashup.OleDb.1;Data Source=$Workbook$;Location=&quot;?datasource=tranquility&amp;type_id=2048 (20)&quot;;Extended Properties=&quot;&quot;" command="SELECT * FROM [?datasource=tranquility&amp;type_id=2048 (20)]"/>
  </connection>
  <connection id="52" xr16:uid="{4A61BCBB-935B-4D56-B598-761A4BEDB826}" keepAlive="1" name="Query - ?datasource=tranquility&amp;type_id=2048 (21)" description="Connection to the '?datasource=tranquility&amp;type_id=2048 (21)' query in the workbook." type="5" refreshedVersion="7" background="1" saveData="1">
    <dbPr connection="Provider=Microsoft.Mashup.OleDb.1;Data Source=$Workbook$;Location=&quot;?datasource=tranquility&amp;type_id=2048 (21)&quot;;Extended Properties=&quot;&quot;" command="SELECT * FROM [?datasource=tranquility&amp;type_id=2048 (21)]"/>
  </connection>
  <connection id="53" xr16:uid="{40886AC8-35AE-4E8E-B851-5DFFFD19430D}" keepAlive="1" name="Query - ?datasource=tranquility&amp;type_id=2048 (22)" description="Connection to the '?datasource=tranquility&amp;type_id=2048 (22)' query in the workbook." type="5" refreshedVersion="7" background="1" saveData="1">
    <dbPr connection="Provider=Microsoft.Mashup.OleDb.1;Data Source=$Workbook$;Location=&quot;?datasource=tranquility&amp;type_id=2048 (22)&quot;;Extended Properties=&quot;&quot;" command="SELECT * FROM [?datasource=tranquility&amp;type_id=2048 (22)]"/>
  </connection>
  <connection id="54" xr16:uid="{60AEA92F-DA00-47C4-B86F-FD4B6B936ABC}" keepAlive="1" name="Query - ?datasource=tranquility&amp;type_id=2048 (23)" description="Connection to the '?datasource=tranquility&amp;type_id=2048 (23)' query in the workbook." type="5" refreshedVersion="7" background="1" saveData="1">
    <dbPr connection="Provider=Microsoft.Mashup.OleDb.1;Data Source=$Workbook$;Location=&quot;?datasource=tranquility&amp;type_id=2048 (23)&quot;;Extended Properties=&quot;&quot;" command="SELECT * FROM [?datasource=tranquility&amp;type_id=2048 (23)]"/>
  </connection>
  <connection id="55" xr16:uid="{563C1FE1-96A9-46D5-8EB6-F12DC9E8C487}" keepAlive="1" name="Query - ?datasource=tranquility&amp;type_id=2048 (24)" description="Connection to the '?datasource=tranquility&amp;type_id=2048 (24)' query in the workbook." type="5" refreshedVersion="7" background="1" saveData="1">
    <dbPr connection="Provider=Microsoft.Mashup.OleDb.1;Data Source=$Workbook$;Location=&quot;?datasource=tranquility&amp;type_id=2048 (24)&quot;;Extended Properties=&quot;&quot;" command="SELECT * FROM [?datasource=tranquility&amp;type_id=2048 (24)]"/>
  </connection>
  <connection id="56" xr16:uid="{E6B2F0BB-7A62-475C-BF1F-642D45CCD6F9}" keepAlive="1" name="Query - ?datasource=tranquility&amp;type_id=2048 (25)" description="Connection to the '?datasource=tranquility&amp;type_id=2048 (25)' query in the workbook." type="5" refreshedVersion="7" background="1" saveData="1">
    <dbPr connection="Provider=Microsoft.Mashup.OleDb.1;Data Source=$Workbook$;Location=&quot;?datasource=tranquility&amp;type_id=2048 (25)&quot;;Extended Properties=&quot;&quot;" command="SELECT * FROM [?datasource=tranquility&amp;type_id=2048 (25)]"/>
  </connection>
  <connection id="57" xr16:uid="{ABA183D5-B05E-46FA-B26B-4AC6BC3C3278}" keepAlive="1" name="Query - ?datasource=tranquility&amp;type_id=2048 (26)" description="Connection to the '?datasource=tranquility&amp;type_id=2048 (26)' query in the workbook." type="5" refreshedVersion="7" background="1" saveData="1">
    <dbPr connection="Provider=Microsoft.Mashup.OleDb.1;Data Source=$Workbook$;Location=&quot;?datasource=tranquility&amp;type_id=2048 (26)&quot;;Extended Properties=&quot;&quot;" command="SELECT * FROM [?datasource=tranquility&amp;type_id=2048 (26)]"/>
  </connection>
  <connection id="58" xr16:uid="{5B0D0DB7-7874-424D-9636-5B3433D93B02}" keepAlive="1" name="Query - ?datasource=tranquility&amp;type_id=2048 (27)" description="Connection to the '?datasource=tranquility&amp;type_id=2048 (27)' query in the workbook." type="5" refreshedVersion="7" background="1" saveData="1">
    <dbPr connection="Provider=Microsoft.Mashup.OleDb.1;Data Source=$Workbook$;Location=&quot;?datasource=tranquility&amp;type_id=2048 (27)&quot;;Extended Properties=&quot;&quot;" command="SELECT * FROM [?datasource=tranquility&amp;type_id=2048 (27)]"/>
  </connection>
  <connection id="59" xr16:uid="{3ABBFECB-0AB9-4C75-82D0-7843FCF69527}" keepAlive="1" name="Query - ?datasource=tranquility&amp;type_id=2048 (28)" description="Connection to the '?datasource=tranquility&amp;type_id=2048 (28)' query in the workbook." type="5" refreshedVersion="7" background="1" saveData="1">
    <dbPr connection="Provider=Microsoft.Mashup.OleDb.1;Data Source=$Workbook$;Location=&quot;?datasource=tranquility&amp;type_id=2048 (28)&quot;;Extended Properties=&quot;&quot;" command="SELECT * FROM [?datasource=tranquility&amp;type_id=2048 (28)]"/>
  </connection>
  <connection id="60" xr16:uid="{41D354D5-3752-4183-BDFA-5AA6F2A241C2}" keepAlive="1" name="Query - ?datasource=tranquility&amp;type_id=2048 (29)" description="Connection to the '?datasource=tranquility&amp;type_id=2048 (29)' query in the workbook." type="5" refreshedVersion="7" background="1" saveData="1">
    <dbPr connection="Provider=Microsoft.Mashup.OleDb.1;Data Source=$Workbook$;Location=&quot;?datasource=tranquility&amp;type_id=2048 (29)&quot;;Extended Properties=&quot;&quot;" command="SELECT * FROM [?datasource=tranquility&amp;type_id=2048 (29)]"/>
  </connection>
  <connection id="61" xr16:uid="{F66163FF-031F-4C68-AC22-B54EF3B013D9}" keepAlive="1" name="Query - ?datasource=tranquility&amp;type_id=2048 (3)" description="Connection to the '?datasource=tranquility&amp;type_id=2048 (3)' query in the workbook." type="5" refreshedVersion="7" background="1" saveData="1">
    <dbPr connection="Provider=Microsoft.Mashup.OleDb.1;Data Source=$Workbook$;Location=&quot;?datasource=tranquility&amp;type_id=2048 (3)&quot;;Extended Properties=&quot;&quot;" command="SELECT * FROM [?datasource=tranquility&amp;type_id=2048 (3)]"/>
  </connection>
  <connection id="62" xr16:uid="{B896A6B9-3950-4C85-815C-469C1F6C6055}" keepAlive="1" name="Query - ?datasource=tranquility&amp;type_id=2048 (30)" description="Connection to the '?datasource=tranquility&amp;type_id=2048 (30)' query in the workbook." type="5" refreshedVersion="7" background="1" saveData="1">
    <dbPr connection="Provider=Microsoft.Mashup.OleDb.1;Data Source=$Workbook$;Location=&quot;?datasource=tranquility&amp;type_id=2048 (30)&quot;;Extended Properties=&quot;&quot;" command="SELECT * FROM [?datasource=tranquility&amp;type_id=2048 (30)]"/>
  </connection>
  <connection id="63" xr16:uid="{9B3A5BA4-2227-4977-8773-D9EEC51DAA36}" keepAlive="1" name="Query - ?datasource=tranquility&amp;type_id=2048 (31)" description="Connection to the '?datasource=tranquility&amp;type_id=2048 (31)' query in the workbook." type="5" refreshedVersion="7" background="1" saveData="1">
    <dbPr connection="Provider=Microsoft.Mashup.OleDb.1;Data Source=$Workbook$;Location=&quot;?datasource=tranquility&amp;type_id=2048 (31)&quot;;Extended Properties=&quot;&quot;" command="SELECT * FROM [?datasource=tranquility&amp;type_id=2048 (31)]"/>
  </connection>
  <connection id="64" xr16:uid="{72239B5C-02B7-4294-B150-E2AA2B8CE16E}" keepAlive="1" name="Query - ?datasource=tranquility&amp;type_id=2048 (32)" description="Connection to the '?datasource=tranquility&amp;type_id=2048 (32)' query in the workbook." type="5" refreshedVersion="7" background="1" saveData="1">
    <dbPr connection="Provider=Microsoft.Mashup.OleDb.1;Data Source=$Workbook$;Location=&quot;?datasource=tranquility&amp;type_id=2048 (32)&quot;;Extended Properties=&quot;&quot;" command="SELECT * FROM [?datasource=tranquility&amp;type_id=2048 (32)]"/>
  </connection>
  <connection id="65" xr16:uid="{5275997B-F1FA-4416-A848-F264001D7D72}" keepAlive="1" name="Query - ?datasource=tranquility&amp;type_id=2048 (33)" description="Connection to the '?datasource=tranquility&amp;type_id=2048 (33)' query in the workbook." type="5" refreshedVersion="7" background="1" saveData="1">
    <dbPr connection="Provider=Microsoft.Mashup.OleDb.1;Data Source=$Workbook$;Location=&quot;?datasource=tranquility&amp;type_id=2048 (33)&quot;;Extended Properties=&quot;&quot;" command="SELECT * FROM [?datasource=tranquility&amp;type_id=2048 (33)]"/>
  </connection>
  <connection id="66" xr16:uid="{CCFAF85E-8CDB-4E46-86F0-1BC662D59B7B}" keepAlive="1" name="Query - ?datasource=tranquility&amp;type_id=2048 (34)" description="Connection to the '?datasource=tranquility&amp;type_id=2048 (34)' query in the workbook." type="5" refreshedVersion="7" background="1" saveData="1">
    <dbPr connection="Provider=Microsoft.Mashup.OleDb.1;Data Source=$Workbook$;Location=&quot;?datasource=tranquility&amp;type_id=2048 (34)&quot;;Extended Properties=&quot;&quot;" command="SELECT * FROM [?datasource=tranquility&amp;type_id=2048 (34)]"/>
  </connection>
  <connection id="67" xr16:uid="{C03ECB99-3A80-42EA-9083-28407BDE64F3}" keepAlive="1" name="Query - ?datasource=tranquility&amp;type_id=2048 (35)" description="Connection to the '?datasource=tranquility&amp;type_id=2048 (35)' query in the workbook." type="5" refreshedVersion="7" background="1" saveData="1">
    <dbPr connection="Provider=Microsoft.Mashup.OleDb.1;Data Source=$Workbook$;Location=&quot;?datasource=tranquility&amp;type_id=2048 (35)&quot;;Extended Properties=&quot;&quot;" command="SELECT * FROM [?datasource=tranquility&amp;type_id=2048 (35)]"/>
  </connection>
  <connection id="68" xr16:uid="{F49B89DD-5377-49BD-B777-874F8AB43F08}" keepAlive="1" name="Query - ?datasource=tranquility&amp;type_id=2048 (36)" description="Connection to the '?datasource=tranquility&amp;type_id=2048 (36)' query in the workbook." type="5" refreshedVersion="7" background="1" saveData="1">
    <dbPr connection="Provider=Microsoft.Mashup.OleDb.1;Data Source=$Workbook$;Location=&quot;?datasource=tranquility&amp;type_id=2048 (36)&quot;;Extended Properties=&quot;&quot;" command="SELECT * FROM [?datasource=tranquility&amp;type_id=2048 (36)]"/>
  </connection>
  <connection id="69" xr16:uid="{90A5F3F7-2D78-49A0-8516-296E19980744}" keepAlive="1" name="Query - ?datasource=tranquility&amp;type_id=2048 (37)" description="Connection to the '?datasource=tranquility&amp;type_id=2048 (37)' query in the workbook." type="5" refreshedVersion="7" background="1" saveData="1">
    <dbPr connection="Provider=Microsoft.Mashup.OleDb.1;Data Source=$Workbook$;Location=&quot;?datasource=tranquility&amp;type_id=2048 (37)&quot;;Extended Properties=&quot;&quot;" command="SELECT * FROM [?datasource=tranquility&amp;type_id=2048 (37)]"/>
  </connection>
  <connection id="70" xr16:uid="{AB2BA3FC-8372-4AD9-BE7C-C2C0E61D8077}" keepAlive="1" name="Query - ?datasource=tranquility&amp;type_id=2048 (38)" description="Connection to the '?datasource=tranquility&amp;type_id=2048 (38)' query in the workbook." type="5" refreshedVersion="7" background="1" saveData="1">
    <dbPr connection="Provider=Microsoft.Mashup.OleDb.1;Data Source=$Workbook$;Location=&quot;?datasource=tranquility&amp;type_id=2048 (38)&quot;;Extended Properties=&quot;&quot;" command="SELECT * FROM [?datasource=tranquility&amp;type_id=2048 (38)]"/>
  </connection>
  <connection id="71" xr16:uid="{9BD1EA15-D94D-4F35-850E-1350A963DF46}" keepAlive="1" name="Query - ?datasource=tranquility&amp;type_id=2048 (39)" description="Connection to the '?datasource=tranquility&amp;type_id=2048 (39)' query in the workbook." type="5" refreshedVersion="7" background="1" saveData="1">
    <dbPr connection="Provider=Microsoft.Mashup.OleDb.1;Data Source=$Workbook$;Location=&quot;?datasource=tranquility&amp;type_id=2048 (39)&quot;;Extended Properties=&quot;&quot;" command="SELECT * FROM [?datasource=tranquility&amp;type_id=2048 (39)]"/>
  </connection>
  <connection id="72" xr16:uid="{09BA4C56-EF51-41C2-98F2-44AD96675EFA}" keepAlive="1" name="Query - ?datasource=tranquility&amp;type_id=2048 (4)" description="Connection to the '?datasource=tranquility&amp;type_id=2048 (4)' query in the workbook." type="5" refreshedVersion="7" background="1" saveData="1">
    <dbPr connection="Provider=Microsoft.Mashup.OleDb.1;Data Source=$Workbook$;Location=&quot;?datasource=tranquility&amp;type_id=2048 (4)&quot;;Extended Properties=&quot;&quot;" command="SELECT * FROM [?datasource=tranquility&amp;type_id=2048 (4)]"/>
  </connection>
  <connection id="73" xr16:uid="{33C939CF-4467-4D2F-8CA1-13E74A5A7258}" keepAlive="1" name="Query - ?datasource=tranquility&amp;type_id=2048 (40)" description="Connection to the '?datasource=tranquility&amp;type_id=2048 (40)' query in the workbook." type="5" refreshedVersion="7" background="1" saveData="1">
    <dbPr connection="Provider=Microsoft.Mashup.OleDb.1;Data Source=$Workbook$;Location=&quot;?datasource=tranquility&amp;type_id=2048 (40)&quot;;Extended Properties=&quot;&quot;" command="SELECT * FROM [?datasource=tranquility&amp;type_id=2048 (40)]"/>
  </connection>
  <connection id="74" xr16:uid="{F782D12A-7592-4140-843A-D3DAB09F432D}" keepAlive="1" name="Query - ?datasource=tranquility&amp;type_id=2048 (41)" description="Connection to the '?datasource=tranquility&amp;type_id=2048 (41)' query in the workbook." type="5" refreshedVersion="7" background="1" saveData="1">
    <dbPr connection="Provider=Microsoft.Mashup.OleDb.1;Data Source=$Workbook$;Location=&quot;?datasource=tranquility&amp;type_id=2048 (41)&quot;;Extended Properties=&quot;&quot;" command="SELECT * FROM [?datasource=tranquility&amp;type_id=2048 (41)]"/>
  </connection>
  <connection id="75" xr16:uid="{1E29D28C-D7FA-4DDB-826D-810257E127C4}" keepAlive="1" name="Query - ?datasource=tranquility&amp;type_id=2048 (42)" description="Connection to the '?datasource=tranquility&amp;type_id=2048 (42)' query in the workbook." type="5" refreshedVersion="7" background="1" saveData="1">
    <dbPr connection="Provider=Microsoft.Mashup.OleDb.1;Data Source=$Workbook$;Location=&quot;?datasource=tranquility&amp;type_id=2048 (42)&quot;;Extended Properties=&quot;&quot;" command="SELECT * FROM [?datasource=tranquility&amp;type_id=2048 (42)]"/>
  </connection>
  <connection id="76" xr16:uid="{2515031E-1FCA-433F-9DE7-7475035E662C}" keepAlive="1" name="Query - ?datasource=tranquility&amp;type_id=2048 (43)" description="Connection to the '?datasource=tranquility&amp;type_id=2048 (43)' query in the workbook." type="5" refreshedVersion="7" background="1" saveData="1">
    <dbPr connection="Provider=Microsoft.Mashup.OleDb.1;Data Source=$Workbook$;Location=&quot;?datasource=tranquility&amp;type_id=2048 (43)&quot;;Extended Properties=&quot;&quot;" command="SELECT * FROM [?datasource=tranquility&amp;type_id=2048 (43)]"/>
  </connection>
  <connection id="77" xr16:uid="{31543F16-B8AB-4AD8-8746-26BD03B34759}" keepAlive="1" name="Query - ?datasource=tranquility&amp;type_id=2048 (44)" description="Connection to the '?datasource=tranquility&amp;type_id=2048 (44)' query in the workbook." type="5" refreshedVersion="7" background="1" saveData="1">
    <dbPr connection="Provider=Microsoft.Mashup.OleDb.1;Data Source=$Workbook$;Location=&quot;?datasource=tranquility&amp;type_id=2048 (44)&quot;;Extended Properties=&quot;&quot;" command="SELECT * FROM [?datasource=tranquility&amp;type_id=2048 (44)]"/>
  </connection>
  <connection id="78" xr16:uid="{CE476CC3-C3B3-4CDC-A718-EBE7E37E26E5}" keepAlive="1" name="Query - ?datasource=tranquility&amp;type_id=2048 (45)" description="Connection to the '?datasource=tranquility&amp;type_id=2048 (45)' query in the workbook." type="5" refreshedVersion="7" background="1" saveData="1">
    <dbPr connection="Provider=Microsoft.Mashup.OleDb.1;Data Source=$Workbook$;Location=&quot;?datasource=tranquility&amp;type_id=2048 (45)&quot;;Extended Properties=&quot;&quot;" command="SELECT * FROM [?datasource=tranquility&amp;type_id=2048 (45)]"/>
  </connection>
  <connection id="79" xr16:uid="{7EA098D5-9138-4DFE-B505-FA9A31E51B8F}" keepAlive="1" name="Query - ?datasource=tranquility&amp;type_id=2048 (46)" description="Connection to the '?datasource=tranquility&amp;type_id=2048 (46)' query in the workbook." type="5" refreshedVersion="7" background="1" saveData="1">
    <dbPr connection="Provider=Microsoft.Mashup.OleDb.1;Data Source=$Workbook$;Location=&quot;?datasource=tranquility&amp;type_id=2048 (46)&quot;;Extended Properties=&quot;&quot;" command="SELECT * FROM [?datasource=tranquility&amp;type_id=2048 (46)]"/>
  </connection>
  <connection id="80" xr16:uid="{2B4470E8-D0D2-4BD5-BAE8-29F749E8E30B}" keepAlive="1" name="Query - ?datasource=tranquility&amp;type_id=2048 (47)" description="Connection to the '?datasource=tranquility&amp;type_id=2048 (47)' query in the workbook." type="5" refreshedVersion="7" background="1" saveData="1">
    <dbPr connection="Provider=Microsoft.Mashup.OleDb.1;Data Source=$Workbook$;Location=&quot;?datasource=tranquility&amp;type_id=2048 (47)&quot;;Extended Properties=&quot;&quot;" command="SELECT * FROM [?datasource=tranquility&amp;type_id=2048 (47)]"/>
  </connection>
  <connection id="81" xr16:uid="{C86DB3C9-7A3B-4EA2-9E3B-3CB4D3669CA7}" keepAlive="1" name="Query - ?datasource=tranquility&amp;type_id=2048 (48)" description="Connection to the '?datasource=tranquility&amp;type_id=2048 (48)' query in the workbook." type="5" refreshedVersion="7" background="1" saveData="1">
    <dbPr connection="Provider=Microsoft.Mashup.OleDb.1;Data Source=$Workbook$;Location=&quot;?datasource=tranquility&amp;type_id=2048 (48)&quot;;Extended Properties=&quot;&quot;" command="SELECT * FROM [?datasource=tranquility&amp;type_id=2048 (48)]"/>
  </connection>
  <connection id="82" xr16:uid="{D826DFF2-A531-43FD-B7E4-1E14E1646F2E}" keepAlive="1" name="Query - ?datasource=tranquility&amp;type_id=2048 (49)" description="Connection to the '?datasource=tranquility&amp;type_id=2048 (49)' query in the workbook." type="5" refreshedVersion="7" background="1" saveData="1">
    <dbPr connection="Provider=Microsoft.Mashup.OleDb.1;Data Source=$Workbook$;Location=&quot;?datasource=tranquility&amp;type_id=2048 (49)&quot;;Extended Properties=&quot;&quot;" command="SELECT * FROM [?datasource=tranquility&amp;type_id=2048 (49)]"/>
  </connection>
  <connection id="83" xr16:uid="{EAD0CD8A-9142-4BB5-9D04-7803D6E69F9F}" keepAlive="1" name="Query - ?datasource=tranquility&amp;type_id=2048 (5)" description="Connection to the '?datasource=tranquility&amp;type_id=2048 (5)' query in the workbook." type="5" refreshedVersion="7" background="1" saveData="1">
    <dbPr connection="Provider=Microsoft.Mashup.OleDb.1;Data Source=$Workbook$;Location=&quot;?datasource=tranquility&amp;type_id=2048 (5)&quot;;Extended Properties=&quot;&quot;" command="SELECT * FROM [?datasource=tranquility&amp;type_id=2048 (5)]"/>
  </connection>
  <connection id="84" xr16:uid="{F8BDF784-8BB7-405D-AE79-C6E3DFE82591}" keepAlive="1" name="Query - ?datasource=tranquility&amp;type_id=2048 (50)" description="Connection to the '?datasource=tranquility&amp;type_id=2048 (50)' query in the workbook." type="5" refreshedVersion="7" background="1" saveData="1">
    <dbPr connection="Provider=Microsoft.Mashup.OleDb.1;Data Source=$Workbook$;Location=&quot;?datasource=tranquility&amp;type_id=2048 (50)&quot;;Extended Properties=&quot;&quot;" command="SELECT * FROM [?datasource=tranquility&amp;type_id=2048 (50)]"/>
  </connection>
  <connection id="85" xr16:uid="{D1B654EA-475F-43C3-A7C2-37DC6E3CC185}" keepAlive="1" name="Query - ?datasource=tranquility&amp;type_id=2048 (51)" description="Connection to the '?datasource=tranquility&amp;type_id=2048 (51)' query in the workbook." type="5" refreshedVersion="7" background="1" saveData="1">
    <dbPr connection="Provider=Microsoft.Mashup.OleDb.1;Data Source=$Workbook$;Location=&quot;?datasource=tranquility&amp;type_id=2048 (51)&quot;;Extended Properties=&quot;&quot;" command="SELECT * FROM [?datasource=tranquility&amp;type_id=2048 (51)]"/>
  </connection>
  <connection id="86" xr16:uid="{03D4B3AC-1DFB-48E2-AFD9-9765A7C30E3B}" keepAlive="1" name="Query - ?datasource=tranquility&amp;type_id=2048 (52)" description="Connection to the '?datasource=tranquility&amp;type_id=2048 (52)' query in the workbook." type="5" refreshedVersion="7" background="1" saveData="1">
    <dbPr connection="Provider=Microsoft.Mashup.OleDb.1;Data Source=$Workbook$;Location=&quot;?datasource=tranquility&amp;type_id=2048 (52)&quot;;Extended Properties=&quot;&quot;" command="SELECT * FROM [?datasource=tranquility&amp;type_id=2048 (52)]"/>
  </connection>
  <connection id="87" xr16:uid="{A8197E4A-B103-4B1A-98B3-5D26763AEEB8}" keepAlive="1" name="Query - ?datasource=tranquility&amp;type_id=2048 (53)" description="Connection to the '?datasource=tranquility&amp;type_id=2048 (53)' query in the workbook." type="5" refreshedVersion="7" background="1" saveData="1">
    <dbPr connection="Provider=Microsoft.Mashup.OleDb.1;Data Source=$Workbook$;Location=&quot;?datasource=tranquility&amp;type_id=2048 (53)&quot;;Extended Properties=&quot;&quot;" command="SELECT * FROM [?datasource=tranquility&amp;type_id=2048 (53)]"/>
  </connection>
  <connection id="88" xr16:uid="{FEC80CC3-E829-4A07-8524-603C57D38F9F}" keepAlive="1" name="Query - ?datasource=tranquility&amp;type_id=2048 (54)" description="Connection to the '?datasource=tranquility&amp;type_id=2048 (54)' query in the workbook." type="5" refreshedVersion="7" background="1" saveData="1">
    <dbPr connection="Provider=Microsoft.Mashup.OleDb.1;Data Source=$Workbook$;Location=&quot;?datasource=tranquility&amp;type_id=2048 (54)&quot;;Extended Properties=&quot;&quot;" command="SELECT * FROM [?datasource=tranquility&amp;type_id=2048 (54)]"/>
  </connection>
  <connection id="89" xr16:uid="{04E93839-5B92-494D-AC8D-693A81005134}" keepAlive="1" name="Query - ?datasource=tranquility&amp;type_id=2048 (55)" description="Connection to the '?datasource=tranquility&amp;type_id=2048 (55)' query in the workbook." type="5" refreshedVersion="7" background="1" saveData="1">
    <dbPr connection="Provider=Microsoft.Mashup.OleDb.1;Data Source=$Workbook$;Location=&quot;?datasource=tranquility&amp;type_id=2048 (55)&quot;;Extended Properties=&quot;&quot;" command="SELECT * FROM [?datasource=tranquility&amp;type_id=2048 (55)]"/>
  </connection>
  <connection id="90" xr16:uid="{313B626E-B293-483A-AEEF-87B238928289}" keepAlive="1" name="Query - ?datasource=tranquility&amp;type_id=2048 (56)" description="Connection to the '?datasource=tranquility&amp;type_id=2048 (56)' query in the workbook." type="5" refreshedVersion="7" background="1" saveData="1">
    <dbPr connection="Provider=Microsoft.Mashup.OleDb.1;Data Source=$Workbook$;Location=&quot;?datasource=tranquility&amp;type_id=2048 (56)&quot;;Extended Properties=&quot;&quot;" command="SELECT * FROM [?datasource=tranquility&amp;type_id=2048 (56)]"/>
  </connection>
  <connection id="91" xr16:uid="{EB4BF301-A8EC-4DB0-939C-3C8F291D26E3}" keepAlive="1" name="Query - ?datasource=tranquility&amp;type_id=2048 (57)" description="Connection to the '?datasource=tranquility&amp;type_id=2048 (57)' query in the workbook." type="5" refreshedVersion="7" background="1" saveData="1">
    <dbPr connection="Provider=Microsoft.Mashup.OleDb.1;Data Source=$Workbook$;Location=&quot;?datasource=tranquility&amp;type_id=2048 (57)&quot;;Extended Properties=&quot;&quot;" command="SELECT * FROM [?datasource=tranquility&amp;type_id=2048 (57)]"/>
  </connection>
  <connection id="92" xr16:uid="{A036AD7C-AF99-4238-A3CB-28CABEEB9DF1}" keepAlive="1" name="Query - ?datasource=tranquility&amp;type_id=2048 (58)" description="Connection to the '?datasource=tranquility&amp;type_id=2048 (58)' query in the workbook." type="5" refreshedVersion="7" background="1" saveData="1">
    <dbPr connection="Provider=Microsoft.Mashup.OleDb.1;Data Source=$Workbook$;Location=&quot;?datasource=tranquility&amp;type_id=2048 (58)&quot;;Extended Properties=&quot;&quot;" command="SELECT * FROM [?datasource=tranquility&amp;type_id=2048 (58)]"/>
  </connection>
  <connection id="93" xr16:uid="{24A29158-50C1-4598-AB98-A4934104EE72}" keepAlive="1" name="Query - ?datasource=tranquility&amp;type_id=2048 (59)" description="Connection to the '?datasource=tranquility&amp;type_id=2048 (59)' query in the workbook." type="5" refreshedVersion="7" background="1" saveData="1">
    <dbPr connection="Provider=Microsoft.Mashup.OleDb.1;Data Source=$Workbook$;Location=&quot;?datasource=tranquility&amp;type_id=2048 (59)&quot;;Extended Properties=&quot;&quot;" command="SELECT * FROM [?datasource=tranquility&amp;type_id=2048 (59)]"/>
  </connection>
  <connection id="94" xr16:uid="{73D85C02-467C-4B3C-8AEE-2445CEF84D43}" keepAlive="1" name="Query - ?datasource=tranquility&amp;type_id=2048 (6)" description="Connection to the '?datasource=tranquility&amp;type_id=2048 (6)' query in the workbook." type="5" refreshedVersion="7" background="1" saveData="1">
    <dbPr connection="Provider=Microsoft.Mashup.OleDb.1;Data Source=$Workbook$;Location=&quot;?datasource=tranquility&amp;type_id=2048 (6)&quot;;Extended Properties=&quot;&quot;" command="SELECT * FROM [?datasource=tranquility&amp;type_id=2048 (6)]"/>
  </connection>
  <connection id="95" xr16:uid="{9A83F987-B459-459F-8A77-4E0FCBF45595}" keepAlive="1" name="Query - ?datasource=tranquility&amp;type_id=2048 (60)" description="Connection to the '?datasource=tranquility&amp;type_id=2048 (60)' query in the workbook." type="5" refreshedVersion="7" background="1" saveData="1">
    <dbPr connection="Provider=Microsoft.Mashup.OleDb.1;Data Source=$Workbook$;Location=&quot;?datasource=tranquility&amp;type_id=2048 (60)&quot;;Extended Properties=&quot;&quot;" command="SELECT * FROM [?datasource=tranquility&amp;type_id=2048 (60)]"/>
  </connection>
  <connection id="96" xr16:uid="{76D868A9-5DE1-4C9A-A297-3DB1C2789C00}" keepAlive="1" name="Query - ?datasource=tranquility&amp;type_id=2048 (61)" description="Connection to the '?datasource=tranquility&amp;type_id=2048 (61)' query in the workbook." type="5" refreshedVersion="7" background="1" saveData="1">
    <dbPr connection="Provider=Microsoft.Mashup.OleDb.1;Data Source=$Workbook$;Location=&quot;?datasource=tranquility&amp;type_id=2048 (61)&quot;;Extended Properties=&quot;&quot;" command="SELECT * FROM [?datasource=tranquility&amp;type_id=2048 (61)]"/>
  </connection>
  <connection id="97" xr16:uid="{F77EC2FD-FBBD-4883-ADA1-3A8D6650A374}" keepAlive="1" name="Query - ?datasource=tranquility&amp;type_id=2048 (62)" description="Connection to the '?datasource=tranquility&amp;type_id=2048 (62)' query in the workbook." type="5" refreshedVersion="7" background="1" saveData="1">
    <dbPr connection="Provider=Microsoft.Mashup.OleDb.1;Data Source=$Workbook$;Location=&quot;?datasource=tranquility&amp;type_id=2048 (62)&quot;;Extended Properties=&quot;&quot;" command="SELECT * FROM [?datasource=tranquility&amp;type_id=2048 (62)]"/>
  </connection>
  <connection id="98" xr16:uid="{4419AA53-B776-4001-850C-B10248A3E4E2}" keepAlive="1" name="Query - ?datasource=tranquility&amp;type_id=2048 (63)" description="Connection to the '?datasource=tranquility&amp;type_id=2048 (63)' query in the workbook." type="5" refreshedVersion="7" background="1" saveData="1">
    <dbPr connection="Provider=Microsoft.Mashup.OleDb.1;Data Source=$Workbook$;Location=&quot;?datasource=tranquility&amp;type_id=2048 (63)&quot;;Extended Properties=&quot;&quot;" command="SELECT * FROM [?datasource=tranquility&amp;type_id=2048 (63)]"/>
  </connection>
  <connection id="99" xr16:uid="{1AA9638B-FE4D-4FF8-BF38-8231B0286BE3}" keepAlive="1" name="Query - ?datasource=tranquility&amp;type_id=2048 (64)" description="Connection to the '?datasource=tranquility&amp;type_id=2048 (64)' query in the workbook." type="5" refreshedVersion="7" background="1" saveData="1">
    <dbPr connection="Provider=Microsoft.Mashup.OleDb.1;Data Source=$Workbook$;Location=&quot;?datasource=tranquility&amp;type_id=2048 (64)&quot;;Extended Properties=&quot;&quot;" command="SELECT * FROM [?datasource=tranquility&amp;type_id=2048 (64)]"/>
  </connection>
  <connection id="100" xr16:uid="{A3F1B7B1-41D3-44CB-BD4C-3F643A6C8A24}" keepAlive="1" name="Query - ?datasource=tranquility&amp;type_id=2048 (65)" description="Connection to the '?datasource=tranquility&amp;type_id=2048 (65)' query in the workbook." type="5" refreshedVersion="7" background="1" saveData="1">
    <dbPr connection="Provider=Microsoft.Mashup.OleDb.1;Data Source=$Workbook$;Location=&quot;?datasource=tranquility&amp;type_id=2048 (65)&quot;;Extended Properties=&quot;&quot;" command="SELECT * FROM [?datasource=tranquility&amp;type_id=2048 (65)]"/>
  </connection>
  <connection id="101" xr16:uid="{0F2488A3-6B2D-4BEC-8719-20BBECCF6A23}" keepAlive="1" name="Query - ?datasource=tranquility&amp;type_id=2048 (66)" description="Connection to the '?datasource=tranquility&amp;type_id=2048 (66)' query in the workbook." type="5" refreshedVersion="7" background="1" saveData="1">
    <dbPr connection="Provider=Microsoft.Mashup.OleDb.1;Data Source=$Workbook$;Location=&quot;?datasource=tranquility&amp;type_id=2048 (66)&quot;;Extended Properties=&quot;&quot;" command="SELECT * FROM [?datasource=tranquility&amp;type_id=2048 (66)]"/>
  </connection>
  <connection id="102" xr16:uid="{9D75B59A-ED03-4C30-9265-DBC990C52234}" keepAlive="1" name="Query - ?datasource=tranquility&amp;type_id=2048 (67)" description="Connection to the '?datasource=tranquility&amp;type_id=2048 (67)' query in the workbook." type="5" refreshedVersion="7" background="1" saveData="1">
    <dbPr connection="Provider=Microsoft.Mashup.OleDb.1;Data Source=$Workbook$;Location=&quot;?datasource=tranquility&amp;type_id=2048 (67)&quot;;Extended Properties=&quot;&quot;" command="SELECT * FROM [?datasource=tranquility&amp;type_id=2048 (67)]"/>
  </connection>
  <connection id="103" xr16:uid="{355EEFAE-C86D-4BAD-8DCA-8E7B3C2D6C1D}" keepAlive="1" name="Query - ?datasource=tranquility&amp;type_id=2048 (68)" description="Connection to the '?datasource=tranquility&amp;type_id=2048 (68)' query in the workbook." type="5" refreshedVersion="7" background="1" saveData="1">
    <dbPr connection="Provider=Microsoft.Mashup.OleDb.1;Data Source=$Workbook$;Location=&quot;?datasource=tranquility&amp;type_id=2048 (68)&quot;;Extended Properties=&quot;&quot;" command="SELECT * FROM [?datasource=tranquility&amp;type_id=2048 (68)]"/>
  </connection>
  <connection id="104" xr16:uid="{FBA2F9F0-2E74-41E8-9605-C191A7EE2960}" keepAlive="1" name="Query - ?datasource=tranquility&amp;type_id=2048 (69)" description="Connection to the '?datasource=tranquility&amp;type_id=2048 (69)' query in the workbook." type="5" refreshedVersion="7" background="1" saveData="1">
    <dbPr connection="Provider=Microsoft.Mashup.OleDb.1;Data Source=$Workbook$;Location=&quot;?datasource=tranquility&amp;type_id=2048 (69)&quot;;Extended Properties=&quot;&quot;" command="SELECT * FROM [?datasource=tranquility&amp;type_id=2048 (69)]"/>
  </connection>
  <connection id="105" xr16:uid="{2522AAF4-86A7-4B1D-83C9-E47FC9B3A461}" keepAlive="1" name="Query - ?datasource=tranquility&amp;type_id=2048 (7)" description="Connection to the '?datasource=tranquility&amp;type_id=2048 (7)' query in the workbook." type="5" refreshedVersion="7" background="1" saveData="1">
    <dbPr connection="Provider=Microsoft.Mashup.OleDb.1;Data Source=$Workbook$;Location=&quot;?datasource=tranquility&amp;type_id=2048 (7)&quot;;Extended Properties=&quot;&quot;" command="SELECT * FROM [?datasource=tranquility&amp;type_id=2048 (7)]"/>
  </connection>
  <connection id="106" xr16:uid="{68672D5F-0C9C-42F1-BA8D-43BF3BD49B9F}" keepAlive="1" name="Query - ?datasource=tranquility&amp;type_id=2048 (70)" description="Connection to the '?datasource=tranquility&amp;type_id=2048 (70)' query in the workbook." type="5" refreshedVersion="7" background="1" saveData="1">
    <dbPr connection="Provider=Microsoft.Mashup.OleDb.1;Data Source=$Workbook$;Location=&quot;?datasource=tranquility&amp;type_id=2048 (70)&quot;;Extended Properties=&quot;&quot;" command="SELECT * FROM [?datasource=tranquility&amp;type_id=2048 (70)]"/>
  </connection>
  <connection id="107" xr16:uid="{ECF57580-04BB-46BD-9C68-D35FD31DCD84}" keepAlive="1" name="Query - ?datasource=tranquility&amp;type_id=2048 (71)" description="Connection to the '?datasource=tranquility&amp;type_id=2048 (71)' query in the workbook." type="5" refreshedVersion="7" background="1" saveData="1">
    <dbPr connection="Provider=Microsoft.Mashup.OleDb.1;Data Source=$Workbook$;Location=&quot;?datasource=tranquility&amp;type_id=2048 (71)&quot;;Extended Properties=&quot;&quot;" command="SELECT * FROM [?datasource=tranquility&amp;type_id=2048 (71)]"/>
  </connection>
  <connection id="108" xr16:uid="{245E427F-79CB-4A32-B884-0433DE630EB1}" keepAlive="1" name="Query - ?datasource=tranquility&amp;type_id=2048 (72)" description="Connection to the '?datasource=tranquility&amp;type_id=2048 (72)' query in the workbook." type="5" refreshedVersion="7" background="1" saveData="1">
    <dbPr connection="Provider=Microsoft.Mashup.OleDb.1;Data Source=$Workbook$;Location=&quot;?datasource=tranquility&amp;type_id=2048 (72)&quot;;Extended Properties=&quot;&quot;" command="SELECT * FROM [?datasource=tranquility&amp;type_id=2048 (72)]"/>
  </connection>
  <connection id="109" xr16:uid="{95DA623A-EE64-4E4C-B879-E147A4753F5A}" keepAlive="1" name="Query - ?datasource=tranquility&amp;type_id=2048 (73)" description="Connection to the '?datasource=tranquility&amp;type_id=2048 (73)' query in the workbook." type="5" refreshedVersion="7" background="1" saveData="1">
    <dbPr connection="Provider=Microsoft.Mashup.OleDb.1;Data Source=$Workbook$;Location=&quot;?datasource=tranquility&amp;type_id=2048 (73)&quot;;Extended Properties=&quot;&quot;" command="SELECT * FROM [?datasource=tranquility&amp;type_id=2048 (73)]"/>
  </connection>
  <connection id="110" xr16:uid="{82B87DDC-177A-4F03-9583-70D82E97C8A5}" keepAlive="1" name="Query - ?datasource=tranquility&amp;type_id=2048 (74)" description="Connection to the '?datasource=tranquility&amp;type_id=2048 (74)' query in the workbook." type="5" refreshedVersion="7" background="1" saveData="1">
    <dbPr connection="Provider=Microsoft.Mashup.OleDb.1;Data Source=$Workbook$;Location=&quot;?datasource=tranquility&amp;type_id=2048 (74)&quot;;Extended Properties=&quot;&quot;" command="SELECT * FROM [?datasource=tranquility&amp;type_id=2048 (74)]"/>
  </connection>
  <connection id="111" xr16:uid="{902A07AE-312B-4668-B1DC-4FC70B867CD9}" keepAlive="1" name="Query - ?datasource=tranquility&amp;type_id=2048 (75)" description="Connection to the '?datasource=tranquility&amp;type_id=2048 (75)' query in the workbook." type="5" refreshedVersion="7" background="1" saveData="1">
    <dbPr connection="Provider=Microsoft.Mashup.OleDb.1;Data Source=$Workbook$;Location=&quot;?datasource=tranquility&amp;type_id=2048 (75)&quot;;Extended Properties=&quot;&quot;" command="SELECT * FROM [?datasource=tranquility&amp;type_id=2048 (75)]"/>
  </connection>
  <connection id="112" xr16:uid="{8B6E15E9-70C5-4143-B7C5-06C0A3040BEE}" keepAlive="1" name="Query - ?datasource=tranquility&amp;type_id=2048 (76)" description="Connection to the '?datasource=tranquility&amp;type_id=2048 (76)' query in the workbook." type="5" refreshedVersion="7" background="1" saveData="1">
    <dbPr connection="Provider=Microsoft.Mashup.OleDb.1;Data Source=$Workbook$;Location=&quot;?datasource=tranquility&amp;type_id=2048 (76)&quot;;Extended Properties=&quot;&quot;" command="SELECT * FROM [?datasource=tranquility&amp;type_id=2048 (76)]"/>
  </connection>
  <connection id="113" xr16:uid="{44EF10B1-EE86-42B0-B06E-FC31A398834B}" keepAlive="1" name="Query - ?datasource=tranquility&amp;type_id=2048 (77)" description="Connection to the '?datasource=tranquility&amp;type_id=2048 (77)' query in the workbook." type="5" refreshedVersion="7" background="1" saveData="1">
    <dbPr connection="Provider=Microsoft.Mashup.OleDb.1;Data Source=$Workbook$;Location=&quot;?datasource=tranquility&amp;type_id=2048 (77)&quot;;Extended Properties=&quot;&quot;" command="SELECT * FROM [?datasource=tranquility&amp;type_id=2048 (77)]"/>
  </connection>
  <connection id="114" xr16:uid="{68AB4B2F-1C5A-4362-AFC1-20C0DCCA5793}" keepAlive="1" name="Query - ?datasource=tranquility&amp;type_id=2048 (78)" description="Connection to the '?datasource=tranquility&amp;type_id=2048 (78)' query in the workbook." type="5" refreshedVersion="7" background="1" saveData="1">
    <dbPr connection="Provider=Microsoft.Mashup.OleDb.1;Data Source=$Workbook$;Location=&quot;?datasource=tranquility&amp;type_id=2048 (78)&quot;;Extended Properties=&quot;&quot;" command="SELECT * FROM [?datasource=tranquility&amp;type_id=2048 (78)]"/>
  </connection>
  <connection id="115" xr16:uid="{3BEDD3C4-584B-429E-9DF8-50D304EAB03D}" keepAlive="1" name="Query - ?datasource=tranquility&amp;type_id=2048 (79)" description="Connection to the '?datasource=tranquility&amp;type_id=2048 (79)' query in the workbook." type="5" refreshedVersion="7" background="1" saveData="1">
    <dbPr connection="Provider=Microsoft.Mashup.OleDb.1;Data Source=$Workbook$;Location=&quot;?datasource=tranquility&amp;type_id=2048 (79)&quot;;Extended Properties=&quot;&quot;" command="SELECT * FROM [?datasource=tranquility&amp;type_id=2048 (79)]"/>
  </connection>
  <connection id="116" xr16:uid="{7604315B-116F-429D-AA4E-9D92FB425C0B}" keepAlive="1" name="Query - ?datasource=tranquility&amp;type_id=2048 (8)" description="Connection to the '?datasource=tranquility&amp;type_id=2048 (8)' query in the workbook." type="5" refreshedVersion="7" background="1" saveData="1">
    <dbPr connection="Provider=Microsoft.Mashup.OleDb.1;Data Source=$Workbook$;Location=&quot;?datasource=tranquility&amp;type_id=2048 (8)&quot;;Extended Properties=&quot;&quot;" command="SELECT * FROM [?datasource=tranquility&amp;type_id=2048 (8)]"/>
  </connection>
  <connection id="117" xr16:uid="{27633D1F-6C41-4467-A299-2514B2911F34}" keepAlive="1" name="Query - ?datasource=tranquility&amp;type_id=2048 (80)" description="Connection to the '?datasource=tranquility&amp;type_id=2048 (80)' query in the workbook." type="5" refreshedVersion="7" background="1" saveData="1">
    <dbPr connection="Provider=Microsoft.Mashup.OleDb.1;Data Source=$Workbook$;Location=&quot;?datasource=tranquility&amp;type_id=2048 (80)&quot;;Extended Properties=&quot;&quot;" command="SELECT * FROM [?datasource=tranquility&amp;type_id=2048 (80)]"/>
  </connection>
  <connection id="118" xr16:uid="{B97F0900-4404-4ABA-B6B7-2D41F0E2BB82}" keepAlive="1" name="Query - ?datasource=tranquility&amp;type_id=2048 (81)" description="Connection to the '?datasource=tranquility&amp;type_id=2048 (81)' query in the workbook." type="5" refreshedVersion="7" background="1" saveData="1">
    <dbPr connection="Provider=Microsoft.Mashup.OleDb.1;Data Source=$Workbook$;Location=&quot;?datasource=tranquility&amp;type_id=2048 (81)&quot;;Extended Properties=&quot;&quot;" command="SELECT * FROM [?datasource=tranquility&amp;type_id=2048 (81)]"/>
  </connection>
  <connection id="119" xr16:uid="{733CC50F-0CF9-47CD-BD60-9CB12B707458}" keepAlive="1" name="Query - ?datasource=tranquility&amp;type_id=2048 (82)" description="Connection to the '?datasource=tranquility&amp;type_id=2048 (82)' query in the workbook." type="5" refreshedVersion="7" background="1" saveData="1">
    <dbPr connection="Provider=Microsoft.Mashup.OleDb.1;Data Source=$Workbook$;Location=&quot;?datasource=tranquility&amp;type_id=2048 (82)&quot;;Extended Properties=&quot;&quot;" command="SELECT * FROM [?datasource=tranquility&amp;type_id=2048 (82)]"/>
  </connection>
  <connection id="120" xr16:uid="{055C62D8-E786-4B3F-A389-181463D7B60A}" keepAlive="1" name="Query - ?datasource=tranquility&amp;type_id=2048 (83)" description="Connection to the '?datasource=tranquility&amp;type_id=2048 (83)' query in the workbook." type="5" refreshedVersion="7" background="1" saveData="1">
    <dbPr connection="Provider=Microsoft.Mashup.OleDb.1;Data Source=$Workbook$;Location=&quot;?datasource=tranquility&amp;type_id=2048 (83)&quot;;Extended Properties=&quot;&quot;" command="SELECT * FROM [?datasource=tranquility&amp;type_id=2048 (83)]"/>
  </connection>
  <connection id="121" xr16:uid="{8DC5BFA2-867B-4E2B-8B85-6888E5CFAD33}" keepAlive="1" name="Query - ?datasource=tranquility&amp;type_id=2048 (84)" description="Connection to the '?datasource=tranquility&amp;type_id=2048 (84)' query in the workbook." type="5" refreshedVersion="7" background="1" saveData="1">
    <dbPr connection="Provider=Microsoft.Mashup.OleDb.1;Data Source=$Workbook$;Location=&quot;?datasource=tranquility&amp;type_id=2048 (84)&quot;;Extended Properties=&quot;&quot;" command="SELECT * FROM [?datasource=tranquility&amp;type_id=2048 (84)]"/>
  </connection>
  <connection id="122" xr16:uid="{8A559D07-0319-4801-ACED-0E365428A9F6}" keepAlive="1" name="Query - ?datasource=tranquility&amp;type_id=2048 (85)" description="Connection to the '?datasource=tranquility&amp;type_id=2048 (85)' query in the workbook." type="5" refreshedVersion="7" background="1" saveData="1">
    <dbPr connection="Provider=Microsoft.Mashup.OleDb.1;Data Source=$Workbook$;Location=&quot;?datasource=tranquility&amp;type_id=2048 (85)&quot;;Extended Properties=&quot;&quot;" command="SELECT * FROM [?datasource=tranquility&amp;type_id=2048 (85)]"/>
  </connection>
  <connection id="123" xr16:uid="{ECB45385-2FEE-40E5-9EA1-C60935062764}" keepAlive="1" name="Query - ?datasource=tranquility&amp;type_id=2048 (86)" description="Connection to the '?datasource=tranquility&amp;type_id=2048 (86)' query in the workbook." type="5" refreshedVersion="7" background="1" saveData="1">
    <dbPr connection="Provider=Microsoft.Mashup.OleDb.1;Data Source=$Workbook$;Location=&quot;?datasource=tranquility&amp;type_id=2048 (86)&quot;;Extended Properties=&quot;&quot;" command="SELECT * FROM [?datasource=tranquility&amp;type_id=2048 (86)]"/>
  </connection>
  <connection id="124" xr16:uid="{4D9A5F76-EA80-47E6-BF77-D6CFCE3E9F58}" keepAlive="1" name="Query - ?datasource=tranquility&amp;type_id=2048 (87)" description="Connection to the '?datasource=tranquility&amp;type_id=2048 (87)' query in the workbook." type="5" refreshedVersion="7" background="1" saveData="1">
    <dbPr connection="Provider=Microsoft.Mashup.OleDb.1;Data Source=$Workbook$;Location=&quot;?datasource=tranquility&amp;type_id=2048 (87)&quot;;Extended Properties=&quot;&quot;" command="SELECT * FROM [?datasource=tranquility&amp;type_id=2048 (87)]"/>
  </connection>
  <connection id="125" xr16:uid="{05580326-284F-40E3-9D37-F0164C8517B5}" keepAlive="1" name="Query - ?datasource=tranquility&amp;type_id=2048 (88)" description="Connection to the '?datasource=tranquility&amp;type_id=2048 (88)' query in the workbook." type="5" refreshedVersion="7" background="1" saveData="1">
    <dbPr connection="Provider=Microsoft.Mashup.OleDb.1;Data Source=$Workbook$;Location=&quot;?datasource=tranquility&amp;type_id=2048 (88)&quot;;Extended Properties=&quot;&quot;" command="SELECT * FROM [?datasource=tranquility&amp;type_id=2048 (88)]"/>
  </connection>
  <connection id="126" xr16:uid="{84F1D91D-CB35-40CC-B041-6BFFAF811595}" keepAlive="1" name="Query - ?datasource=tranquility&amp;type_id=2048 (89)" description="Connection to the '?datasource=tranquility&amp;type_id=2048 (89)' query in the workbook." type="5" refreshedVersion="7" background="1" saveData="1">
    <dbPr connection="Provider=Microsoft.Mashup.OleDb.1;Data Source=$Workbook$;Location=&quot;?datasource=tranquility&amp;type_id=2048 (89)&quot;;Extended Properties=&quot;&quot;" command="SELECT * FROM [?datasource=tranquility&amp;type_id=2048 (89)]"/>
  </connection>
  <connection id="127" xr16:uid="{B4C0D6B3-8A53-4205-8B2B-BC7BE680AC92}" keepAlive="1" name="Query - ?datasource=tranquility&amp;type_id=2048 (9)" description="Connection to the '?datasource=tranquility&amp;type_id=2048 (9)' query in the workbook." type="5" refreshedVersion="7" background="1" saveData="1">
    <dbPr connection="Provider=Microsoft.Mashup.OleDb.1;Data Source=$Workbook$;Location=&quot;?datasource=tranquility&amp;type_id=2048 (9)&quot;;Extended Properties=&quot;&quot;" command="SELECT * FROM [?datasource=tranquility&amp;type_id=2048 (9)]"/>
  </connection>
  <connection id="128" xr16:uid="{ABE61E27-68D7-41BA-9F69-9AE09E0E84BD}" keepAlive="1" name="Query - ?datasource=tranquility&amp;type_id=2048 (90)" description="Connection to the '?datasource=tranquility&amp;type_id=2048 (90)' query in the workbook." type="5" refreshedVersion="7" background="1" saveData="1">
    <dbPr connection="Provider=Microsoft.Mashup.OleDb.1;Data Source=$Workbook$;Location=&quot;?datasource=tranquility&amp;type_id=2048 (90)&quot;;Extended Properties=&quot;&quot;" command="SELECT * FROM [?datasource=tranquility&amp;type_id=2048 (90)]"/>
  </connection>
  <connection id="129" xr16:uid="{15D070C0-4A96-435C-9113-5464F4CDC72D}" keepAlive="1" name="Query - ?datasource=tranquility&amp;type_id=2048 (91)" description="Connection to the '?datasource=tranquility&amp;type_id=2048 (91)' query in the workbook." type="5" refreshedVersion="7" background="1" saveData="1">
    <dbPr connection="Provider=Microsoft.Mashup.OleDb.1;Data Source=$Workbook$;Location=&quot;?datasource=tranquility&amp;type_id=2048 (91)&quot;;Extended Properties=&quot;&quot;" command="SELECT * FROM [?datasource=tranquility&amp;type_id=2048 (91)]"/>
  </connection>
  <connection id="130" xr16:uid="{0F110621-CA6D-4E8D-B13B-93EDCEDB2B76}" keepAlive="1" name="Query - ?datasource=tranquility&amp;type_id=2048 (92)" description="Connection to the '?datasource=tranquility&amp;type_id=2048 (92)' query in the workbook." type="5" refreshedVersion="7" background="1" saveData="1">
    <dbPr connection="Provider=Microsoft.Mashup.OleDb.1;Data Source=$Workbook$;Location=&quot;?datasource=tranquility&amp;type_id=2048 (92)&quot;;Extended Properties=&quot;&quot;" command="SELECT * FROM [?datasource=tranquility&amp;type_id=2048 (92)]"/>
  </connection>
  <connection id="131" xr16:uid="{FD6C4534-0C7C-4597-9DBF-BFCE72E3B3F6}" keepAlive="1" name="Query - ?datasource=tranquility&amp;type_id=2048 (93)" description="Connection to the '?datasource=tranquility&amp;type_id=2048 (93)' query in the workbook." type="5" refreshedVersion="7" background="1" saveData="1">
    <dbPr connection="Provider=Microsoft.Mashup.OleDb.1;Data Source=$Workbook$;Location=&quot;?datasource=tranquility&amp;type_id=2048 (93)&quot;;Extended Properties=&quot;&quot;" command="SELECT * FROM [?datasource=tranquility&amp;type_id=2048 (93)]"/>
  </connection>
  <connection id="132" xr16:uid="{B0870C16-DCB8-4FC4-B07D-0D810AD255F4}" keepAlive="1" name="Query - ?datasource=tranquility&amp;type_id=2048 (94)" description="Connection to the '?datasource=tranquility&amp;type_id=2048 (94)' query in the workbook." type="5" refreshedVersion="7" background="1" saveData="1">
    <dbPr connection="Provider=Microsoft.Mashup.OleDb.1;Data Source=$Workbook$;Location=&quot;?datasource=tranquility&amp;type_id=2048 (94)&quot;;Extended Properties=&quot;&quot;" command="SELECT * FROM [?datasource=tranquility&amp;type_id=2048 (94)]"/>
  </connection>
  <connection id="133" xr16:uid="{C75FF02B-6CB3-4989-8BC5-DE61D0188330}" keepAlive="1" name="Query - ?datasource=tranquility&amp;type_id=2048 (95)" description="Connection to the '?datasource=tranquility&amp;type_id=2048 (95)' query in the workbook." type="5" refreshedVersion="7" background="1" saveData="1">
    <dbPr connection="Provider=Microsoft.Mashup.OleDb.1;Data Source=$Workbook$;Location=&quot;?datasource=tranquility&amp;type_id=2048 (95)&quot;;Extended Properties=&quot;&quot;" command="SELECT * FROM [?datasource=tranquility&amp;type_id=2048 (95)]"/>
  </connection>
  <connection id="134" xr16:uid="{18366E07-5DDE-4A81-A943-C632B5B2ABCC}" keepAlive="1" name="Query - ?datasource=tranquility&amp;type_id=2048 (96)" description="Connection to the '?datasource=tranquility&amp;type_id=2048 (96)' query in the workbook." type="5" refreshedVersion="7" background="1" saveData="1">
    <dbPr connection="Provider=Microsoft.Mashup.OleDb.1;Data Source=$Workbook$;Location=&quot;?datasource=tranquility&amp;type_id=2048 (96)&quot;;Extended Properties=&quot;&quot;" command="SELECT * FROM [?datasource=tranquility&amp;type_id=2048 (96)]"/>
  </connection>
  <connection id="135" xr16:uid="{553D75BB-0953-498C-B8BE-C42C3EE65B89}" keepAlive="1" name="Query - ?datasource=tranquility&amp;type_id=2048 (97)" description="Connection to the '?datasource=tranquility&amp;type_id=2048 (97)' query in the workbook." type="5" refreshedVersion="7" background="1" saveData="1">
    <dbPr connection="Provider=Microsoft.Mashup.OleDb.1;Data Source=$Workbook$;Location=&quot;?datasource=tranquility&amp;type_id=2048 (97)&quot;;Extended Properties=&quot;&quot;" command="SELECT * FROM [?datasource=tranquility&amp;type_id=2048 (97)]"/>
  </connection>
  <connection id="136" xr16:uid="{86EA9DC9-D994-456E-9CE3-0C13E47267D0}" keepAlive="1" name="Query - ?datasource=tranquility&amp;type_id=2048 (98)" description="Connection to the '?datasource=tranquility&amp;type_id=2048 (98)' query in the workbook." type="5" refreshedVersion="7" background="1" saveData="1">
    <dbPr connection="Provider=Microsoft.Mashup.OleDb.1;Data Source=$Workbook$;Location=&quot;?datasource=tranquility&amp;type_id=2048 (98)&quot;;Extended Properties=&quot;&quot;" command="SELECT * FROM [?datasource=tranquility&amp;type_id=2048 (98)]"/>
  </connection>
  <connection id="137" xr16:uid="{0F009A77-BC0D-49DF-8248-AF94E1C8EC5C}" keepAlive="1" name="Query - ?datasource=tranquility&amp;type_id=2048 (99)" description="Connection to the '?datasource=tranquility&amp;type_id=2048 (99)' query in the workbook." type="5" refreshedVersion="7" background="1" saveData="1">
    <dbPr connection="Provider=Microsoft.Mashup.OleDb.1;Data Source=$Workbook$;Location=&quot;?datasource=tranquility&amp;type_id=2048 (99)&quot;;Extended Properties=&quot;&quot;" command="SELECT * FROM [?datasource=tranquility&amp;type_id=2048 (99)]"/>
  </connection>
  <connection id="138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<sst xmlns="http://schemas.openxmlformats.org/spreadsheetml/2006/main" count="56982" uniqueCount="46575">
  <si>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</si>
  <si>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</si>
  <si>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</si>
  <si>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</si>
  <si>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</si>
  <si>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</si>
  <si>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</si>
  <si>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</si>
  <si>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</si>
  <si>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</si>
  <si>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</si>
  <si>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</si>
  <si>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</si>
  <si>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</si>
  <si>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</si>
  <si>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</si>
  <si>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</si>
  <si>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</si>
  <si>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</si>
  <si>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</si>
  <si>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</si>
  <si>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</si>
  <si>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</si>
  <si>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</si>
  <si>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</si>
  <si>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</si>
  <si>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</si>
  <si>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</si>
  <si>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</si>
  <si>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</si>
  <si>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</si>
  <si>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</si>
  <si>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</si>
  <si>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</si>
  <si>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</si>
  <si>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</si>
  <si>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</si>
  <si>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</si>
  <si>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</si>
  <si>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</si>
  <si>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</si>
  <si>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</si>
  <si>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</si>
  <si>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</si>
  <si>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</si>
  <si>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</si>
  <si>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</si>
  <si>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</si>
  <si>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</si>
  <si>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</si>
  <si>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</si>
  <si>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</si>
  <si>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</si>
  <si>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</si>
  <si>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</si>
  <si>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</si>
  <si>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</si>
  <si>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</si>
  <si>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</si>
  <si>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</si>
  <si>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</si>
  <si>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</si>
  <si>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</si>
  <si>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</si>
  <si>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</si>
  <si>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</si>
  <si>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</si>
  <si>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</si>
  <si>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</si>
  <si>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</si>
  <si>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</si>
  <si>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</si>
  <si>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</si>
  <si>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</si>
  <si>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</si>
  <si>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</si>
  <si>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</si>
  <si>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</si>
  <si>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</si>
  <si>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</si>
  <si>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</si>
  <si>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</si>
  <si>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</si>
  <si>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</si>
  <si>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</si>
  <si>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</si>
  <si>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</si>
  <si>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</si>
  <si>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</si>
  <si>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</si>
  <si>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</si>
  <si>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</si>
  <si>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</si>
  <si>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</si>
  <si>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</si>
  <si>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</si>
  <si>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</si>
  <si>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</si>
  <si>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</si>
  <si>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</si>
  <si>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</si>
  <si>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</si>
  <si>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</si>
  <si>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</si>
  <si>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</si>
  <si>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</si>
  <si>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</si>
  <si>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</si>
  <si>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</si>
  <si>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</si>
  <si>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</si>
  <si>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</si>
  <si>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</si>
  <si>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</si>
  <si>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</si>
  <si>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</si>
  <si>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</si>
  <si>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</si>
  <si>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</si>
  <si>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</si>
  <si>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</si>
  <si>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</si>
  <si>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</si>
  <si>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</si>
  <si>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</si>
  <si>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</si>
  <si>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</si>
  <si>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</si>
  <si>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</si>
  <si>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</si>
  <si>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</si>
  <si>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</si>
  <si>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</si>
  <si>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</si>
  <si>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</si>
  <si>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</si>
  <si>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</si>
  <si>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</si>
  <si>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</si>
  <si>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</si>
  <si>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</si>
  <si>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</si>
  <si>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</si>
  <si>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</si>
  <si>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</si>
  <si>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</si>
  <si>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</si>
  <si>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</si>
  <si>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</si>
  <si>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</si>
  <si>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</si>
  <si>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</si>
  <si>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</si>
  <si>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</si>
  <si>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</si>
  <si>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</si>
  <si>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</si>
  <si>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</si>
  <si>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</si>
  <si>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</si>
  <si>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</si>
  <si>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</si>
  <si>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</si>
  <si>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</si>
  <si>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</si>
  <si>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</si>
  <si>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</si>
  <si>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</si>
  <si>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</si>
  <si>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</si>
  <si>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</si>
  <si>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</si>
  <si>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</si>
  <si>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</si>
  <si>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</si>
  <si>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</si>
  <si>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</si>
  <si>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</si>
  <si>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</si>
  <si>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</si>
  <si>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</si>
  <si>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</si>
  <si>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</si>
  <si>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</si>
  <si>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</si>
  <si>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</si>
  <si>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</si>
  <si>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</si>
  <si>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</si>
  <si>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</si>
  <si>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</si>
  <si>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</si>
  <si>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</si>
  <si>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</si>
  <si>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</si>
  <si>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</si>
  <si>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</si>
  <si>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</si>
  <si>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</si>
  <si>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</si>
  <si>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</si>
  <si>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</si>
  <si>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</si>
  <si>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</si>
  <si>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</si>
  <si>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</si>
  <si>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</si>
  <si>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</si>
  <si>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</si>
  <si>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</si>
  <si>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</si>
  <si>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</si>
  <si>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</si>
  <si>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</si>
  <si>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</si>
  <si>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</si>
  <si>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</si>
  <si>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</si>
  <si>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</si>
  <si>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</si>
  <si>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</si>
  <si>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</si>
  <si>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</si>
  <si>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</si>
  <si>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</si>
  <si>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</si>
  <si>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</si>
  <si>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</si>
  <si>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</si>
  <si>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</si>
  <si>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</si>
  <si>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</si>
  <si>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</si>
  <si>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</si>
  <si>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</si>
  <si>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</si>
  <si>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</si>
  <si>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</si>
  <si>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</si>
  <si>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</si>
  <si>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</si>
  <si>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</si>
  <si>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</si>
  <si>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</si>
  <si>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</si>
  <si>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</si>
  <si>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</si>
  <si>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</si>
  <si>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</si>
  <si>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</si>
  <si>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</si>
  <si>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</si>
  <si>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</si>
  <si>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</si>
  <si>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</si>
  <si>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</si>
  <si>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</si>
  <si>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</si>
  <si>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</si>
  <si>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</si>
  <si>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</si>
  <si>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</si>
  <si>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</si>
  <si>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</si>
  <si>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</si>
  <si>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</si>
  <si>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</si>
  <si>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</si>
  <si>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</si>
  <si>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</si>
  <si>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</si>
  <si>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</si>
  <si>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</si>
  <si>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</si>
  <si>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</si>
  <si>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</si>
  <si>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</si>
  <si>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</si>
  <si>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</si>
  <si>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</si>
  <si>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</si>
  <si>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</si>
  <si>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</si>
  <si>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</si>
  <si>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</si>
  <si>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</si>
  <si>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</si>
  <si>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</si>
  <si>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</si>
  <si>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</si>
  <si>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</si>
  <si>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</si>
  <si>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</si>
  <si>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</si>
  <si>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</si>
  <si>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</si>
  <si>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</si>
  <si>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</si>
  <si>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</si>
  <si>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</si>
  <si>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</si>
  <si>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</si>
  <si>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</si>
  <si>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</si>
  <si>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</si>
  <si>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</si>
  <si>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</si>
  <si>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</si>
  <si>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</si>
  <si>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</si>
  <si>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</si>
  <si>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</si>
  <si>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</si>
  <si>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</si>
  <si>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</si>
  <si>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</si>
  <si>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</si>
  <si>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</si>
  <si>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</si>
  <si>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</si>
  <si>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</si>
  <si>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</si>
  <si>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</si>
  <si>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</si>
  <si>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</si>
  <si>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</si>
  <si>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</si>
  <si>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</si>
  <si>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</si>
  <si>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</si>
  <si>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</si>
  <si>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</si>
  <si>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</si>
  <si>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</si>
  <si>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</si>
  <si>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</si>
  <si>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</si>
  <si>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</si>
  <si>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</si>
  <si>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</si>
  <si>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</si>
  <si>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</si>
  <si>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</si>
  <si>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</si>
  <si>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</si>
  <si>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</si>
  <si>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</si>
  <si>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</si>
  <si>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</si>
  <si>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</si>
  <si>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</si>
  <si>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</si>
  <si>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</si>
  <si>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</si>
  <si>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</si>
  <si>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</si>
  <si>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</si>
  <si>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</si>
  <si>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</si>
  <si>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</si>
  <si>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</si>
  <si>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</si>
  <si>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</si>
  <si>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</si>
  <si>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</si>
  <si>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</si>
  <si>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</si>
  <si>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</si>
  <si>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</si>
  <si>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</si>
  <si>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</si>
  <si>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</si>
  <si>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</si>
  <si>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</si>
  <si>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</si>
  <si>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</si>
  <si>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</si>
  <si>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</si>
  <si>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</si>
  <si>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</si>
  <si>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</si>
  <si>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</si>
  <si>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</si>
  <si>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</si>
  <si>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</si>
  <si>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</si>
  <si>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</si>
  <si>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</si>
  <si>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</si>
  <si>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</si>
  <si>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</si>
  <si>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</si>
  <si>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</si>
  <si>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</si>
  <si>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</si>
  <si>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</si>
  <si>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</si>
  <si>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</si>
  <si>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</si>
  <si>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</si>
  <si>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</si>
  <si>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</si>
  <si>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</si>
  <si>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</si>
  <si>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</si>
  <si>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</si>
  <si>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</si>
  <si>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</si>
  <si>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</si>
  <si>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</si>
  <si>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</si>
  <si>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</si>
  <si>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</si>
  <si>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</si>
  <si>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</si>
  <si>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</si>
  <si>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</si>
  <si>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</si>
  <si>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</si>
  <si>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</si>
  <si>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</si>
  <si>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</si>
  <si>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</si>
  <si>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</si>
  <si>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</si>
  <si>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</si>
  <si>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</si>
  <si>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</si>
  <si>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</si>
  <si>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</si>
  <si>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</si>
  <si>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</si>
  <si>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</si>
  <si>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</si>
  <si>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</si>
  <si>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</si>
  <si>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</si>
  <si>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</si>
  <si>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</si>
  <si>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</si>
  <si>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</si>
  <si>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</si>
  <si>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</si>
  <si>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</si>
  <si>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</si>
  <si>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</si>
  <si>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</si>
  <si>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</si>
  <si>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</si>
  <si>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</si>
  <si>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</si>
  <si>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</si>
  <si>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</si>
  <si>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</si>
  <si>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</si>
  <si>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</si>
  <si>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</si>
  <si>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</si>
  <si>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</si>
  <si>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</si>
  <si>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</si>
  <si>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</si>
  <si>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</si>
  <si>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</si>
  <si>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</si>
  <si>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</si>
  <si>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</si>
  <si>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</si>
  <si>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</si>
  <si>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</si>
  <si>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</si>
  <si>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</si>
  <si>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</si>
  <si>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</si>
  <si>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</si>
  <si>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</si>
  <si>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</si>
  <si>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</si>
  <si>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</si>
  <si>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</si>
  <si>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</si>
  <si>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</si>
  <si>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</si>
  <si>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</si>
  <si>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</si>
  <si>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</si>
  <si>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</si>
  <si>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</si>
  <si>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</si>
  <si>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</si>
  <si>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</si>
  <si>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</si>
  <si>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</si>
  <si>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</si>
  <si>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</si>
  <si>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</si>
  <si>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</si>
  <si>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</si>
  <si>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</si>
  <si>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</si>
  <si>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</si>
  <si>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</si>
  <si>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</si>
  <si>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</si>
  <si>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</si>
  <si>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</si>
  <si>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</si>
  <si>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</si>
  <si>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</si>
  <si>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</si>
  <si>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</si>
  <si>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</si>
  <si>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</si>
  <si>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</si>
  <si>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</si>
  <si>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</si>
  <si>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</si>
  <si>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</si>
  <si>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</si>
  <si>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</si>
  <si>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</si>
  <si>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</si>
  <si>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</si>
  <si>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</si>
  <si>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</si>
  <si>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</si>
  <si>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</si>
  <si>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</si>
  <si>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</si>
  <si>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</si>
  <si>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</si>
  <si>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</si>
  <si>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</si>
  <si>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</si>
  <si>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</si>
  <si>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</si>
  <si>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</si>
  <si>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</si>
  <si>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</si>
  <si>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</si>
  <si>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</si>
  <si>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</si>
  <si>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</si>
  <si>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</si>
  <si>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</si>
  <si>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</si>
  <si>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</si>
  <si>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</si>
  <si>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</si>
  <si>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</si>
  <si>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</si>
  <si>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</si>
  <si>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</si>
  <si>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</si>
  <si>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</si>
  <si>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</si>
  <si>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</si>
  <si>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</si>
  <si>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</si>
  <si>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</si>
  <si>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</si>
  <si>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</si>
  <si>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</si>
  <si>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</si>
  <si>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</si>
  <si>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</si>
  <si>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</si>
  <si>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</si>
  <si>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</si>
  <si>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</si>
  <si>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</si>
  <si>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</si>
  <si>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</si>
  <si>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</si>
  <si>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</si>
  <si>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</si>
  <si>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</si>
  <si>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</si>
  <si>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</si>
  <si>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</si>
  <si>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</si>
  <si>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</si>
  <si>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</si>
  <si>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</si>
  <si>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</si>
  <si>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</si>
  <si>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</si>
  <si>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</si>
  <si>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</si>
  <si>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</si>
  <si>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</si>
  <si>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</si>
  <si>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</si>
  <si>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</si>
  <si>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</si>
  <si>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</si>
  <si>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</si>
  <si>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</si>
  <si>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</si>
  <si>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</si>
  <si>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</si>
  <si>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</si>
  <si>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</si>
  <si>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</si>
  <si>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</si>
  <si>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</si>
  <si>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</si>
  <si>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</si>
  <si>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</si>
  <si>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</si>
  <si>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</si>
  <si>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</si>
  <si>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</si>
  <si>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</si>
  <si>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</si>
  <si>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</si>
  <si>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</si>
  <si>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</si>
  <si>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</si>
  <si>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</si>
  <si>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</si>
  <si>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</si>
  <si>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</si>
  <si>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</si>
  <si>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</si>
  <si>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</si>
  <si>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</si>
  <si>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</si>
  <si>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</si>
  <si>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</si>
  <si>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</si>
  <si>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</si>
  <si>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</si>
  <si>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</si>
  <si>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</si>
  <si>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</si>
  <si>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</si>
  <si>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</si>
  <si>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</si>
  <si>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</si>
  <si>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</si>
  <si>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</si>
  <si>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</si>
  <si>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</si>
  <si>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</si>
  <si>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</si>
  <si>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</si>
  <si>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</si>
  <si>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</si>
  <si>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</si>
  <si>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</si>
  <si>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</si>
  <si>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</si>
  <si>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</si>
  <si>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</si>
  <si>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</si>
  <si>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</si>
  <si>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</si>
  <si>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</si>
  <si>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</si>
  <si>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</si>
  <si>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</si>
  <si>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</si>
  <si>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</si>
  <si>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</si>
  <si>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</si>
  <si>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</si>
  <si>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</si>
  <si>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</si>
  <si>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</si>
  <si>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</si>
  <si>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</si>
  <si>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</si>
  <si>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</si>
  <si>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</si>
  <si>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</si>
  <si>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</si>
  <si>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</si>
  <si>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</si>
  <si>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</si>
  <si>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</si>
  <si>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</si>
  <si>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</si>
  <si>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</si>
  <si>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</si>
  <si>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</si>
  <si>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</si>
  <si>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</si>
  <si>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</si>
  <si>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</si>
  <si>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</si>
  <si>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</si>
  <si>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</si>
  <si>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</si>
  <si>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</si>
  <si>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</si>
  <si>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</si>
  <si>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</si>
  <si>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</si>
  <si>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</si>
  <si>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</si>
  <si>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</si>
  <si>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</si>
  <si>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</si>
  <si>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</si>
  <si>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</si>
  <si>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</si>
  <si>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</si>
  <si>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</si>
  <si>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</si>
  <si>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</si>
  <si>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</si>
  <si>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</si>
  <si>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</si>
  <si>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</si>
  <si>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</si>
  <si>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</si>
  <si>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</si>
  <si>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</si>
  <si>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</si>
  <si>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</si>
  <si>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</si>
  <si>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</si>
  <si>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</si>
  <si>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</si>
  <si>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</si>
  <si>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</si>
  <si>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</si>
  <si>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</si>
  <si>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</si>
  <si>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</si>
  <si>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</si>
  <si>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</si>
  <si>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</si>
  <si>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</si>
  <si>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</si>
  <si>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</si>
  <si>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</si>
  <si>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</si>
  <si>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</si>
  <si>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</si>
  <si>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</si>
  <si>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</si>
  <si>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</si>
  <si>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</si>
  <si>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</si>
  <si>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</si>
  <si>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</si>
  <si>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</si>
  <si>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</si>
  <si>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</si>
  <si>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</si>
  <si>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</si>
  <si>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</si>
  <si>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</si>
  <si>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</si>
  <si>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</si>
  <si>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</si>
  <si>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</si>
  <si>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</si>
  <si>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</si>
  <si>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</si>
  <si>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</si>
  <si>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</si>
  <si>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</si>
  <si>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</si>
  <si>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</si>
  <si>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</si>
  <si>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</si>
  <si>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</si>
  <si>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</si>
  <si>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</si>
  <si>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</si>
  <si>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</si>
  <si>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</si>
  <si>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</si>
  <si>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</si>
  <si>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</si>
  <si>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</si>
  <si>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</si>
  <si>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</si>
  <si>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</si>
  <si>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</si>
  <si>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</si>
  <si>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</si>
  <si>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</si>
  <si>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</si>
  <si>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</si>
  <si>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</si>
  <si>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</si>
  <si>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</si>
  <si>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</si>
  <si>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</si>
  <si>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</si>
  <si>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</si>
  <si>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</si>
  <si>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</si>
  <si>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</si>
  <si>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</si>
  <si>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</si>
  <si>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</si>
  <si>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</si>
  <si>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</si>
  <si>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</si>
  <si>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</si>
  <si>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</si>
  <si>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</si>
  <si>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</si>
  <si>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</si>
  <si>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</si>
  <si>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</si>
  <si>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</si>
  <si>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</si>
  <si>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</si>
  <si>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</si>
  <si>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</si>
  <si>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</si>
  <si>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</si>
  <si>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</si>
  <si>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</si>
  <si>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</si>
  <si>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</si>
  <si>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</si>
  <si>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</si>
  <si>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</si>
  <si>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</si>
  <si>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</si>
  <si>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</si>
  <si>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</si>
  <si>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</si>
  <si>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</si>
  <si>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</si>
  <si>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</si>
  <si>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</si>
  <si>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</si>
  <si>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</si>
  <si>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</si>
  <si>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</si>
  <si>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</si>
  <si>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</si>
  <si>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</si>
  <si>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</si>
  <si>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</si>
  <si>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</si>
  <si>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</si>
  <si>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</si>
  <si>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</si>
  <si>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</si>
  <si>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</si>
  <si>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</si>
  <si>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</si>
  <si>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</si>
  <si>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</si>
  <si>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</si>
  <si>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</si>
  <si>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</si>
  <si>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</si>
  <si>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</si>
  <si>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</si>
  <si>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</si>
  <si>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</si>
  <si>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</si>
  <si>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</si>
  <si>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</si>
  <si>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</si>
  <si>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</si>
  <si>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</si>
  <si>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</si>
  <si>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</si>
  <si>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</si>
  <si>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</si>
  <si>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</si>
  <si>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</si>
  <si>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</si>
  <si>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</si>
  <si>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</si>
  <si>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</si>
  <si>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</si>
  <si>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</si>
  <si>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</si>
  <si>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</si>
  <si>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</si>
  <si>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</si>
  <si>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</si>
  <si>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</si>
  <si>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</si>
  <si>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</si>
  <si>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</si>
  <si>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</si>
  <si>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</si>
  <si>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</si>
  <si>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</si>
  <si>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</si>
  <si>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</si>
  <si>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</si>
  <si>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</si>
  <si>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</si>
  <si>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</si>
  <si>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</si>
  <si>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</si>
  <si>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</si>
  <si>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</si>
  <si>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</si>
  <si>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</si>
  <si>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</si>
  <si>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</si>
  <si>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</si>
  <si>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</si>
  <si>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</si>
  <si>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</si>
  <si>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</si>
  <si>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</si>
  <si>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</si>
  <si>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</si>
  <si>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</si>
  <si>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</si>
  <si>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</si>
  <si>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</si>
  <si>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</si>
  <si>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</si>
  <si>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</si>
  <si>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</si>
  <si>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</si>
  <si>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</si>
  <si>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</si>
  <si>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</si>
  <si>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</si>
  <si>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</si>
  <si>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</si>
  <si>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</si>
  <si>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</si>
  <si>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</si>
  <si>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</si>
  <si>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</si>
  <si>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</si>
  <si>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</si>
  <si>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</si>
  <si>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</si>
  <si>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</si>
  <si>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</si>
  <si>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</si>
  <si>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</si>
  <si>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</si>
  <si>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</si>
  <si>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</si>
  <si>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</si>
  <si>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</si>
  <si>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</si>
  <si>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</si>
  <si>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</si>
  <si>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</si>
  <si>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</si>
  <si>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</si>
  <si>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</si>
  <si>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</si>
  <si>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</si>
  <si>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</si>
  <si>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</si>
  <si>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</si>
  <si>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</si>
  <si>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</si>
  <si>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</si>
  <si>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</si>
  <si>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</si>
  <si>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</si>
  <si>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</si>
  <si>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</si>
  <si>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</si>
  <si>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</si>
  <si>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</si>
  <si>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</si>
  <si>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</si>
  <si>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</si>
  <si>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</si>
  <si>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</si>
  <si>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</si>
  <si>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</si>
  <si>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</si>
  <si>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</si>
  <si>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</si>
  <si>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</si>
  <si>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</si>
  <si>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</si>
  <si>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</si>
  <si>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</si>
  <si>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</si>
  <si>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</si>
  <si>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</si>
  <si>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</si>
  <si>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</si>
  <si>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</si>
  <si>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</si>
  <si>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</si>
  <si>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</si>
  <si>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</si>
  <si>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</si>
  <si>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</si>
  <si>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</si>
  <si>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</si>
  <si>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</si>
  <si>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</si>
  <si>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</si>
  <si>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</si>
  <si>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</si>
  <si>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</si>
  <si>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</si>
  <si>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</si>
  <si>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</si>
  <si>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</si>
  <si>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</si>
  <si>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</si>
  <si>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</si>
  <si>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</si>
  <si>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</si>
  <si>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</si>
  <si>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</si>
  <si>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</si>
  <si>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</si>
  <si>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</si>
  <si>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</si>
  <si>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</si>
  <si>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</si>
  <si>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</si>
  <si>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</si>
  <si>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</si>
  <si>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</si>
  <si>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</si>
  <si>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</si>
  <si>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</si>
  <si>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</si>
  <si>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</si>
  <si>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</si>
  <si>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</si>
  <si>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</si>
  <si>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</si>
  <si>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</si>
  <si>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</si>
  <si>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</si>
  <si>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</si>
  <si>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</si>
  <si>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</si>
  <si>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</si>
  <si>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</si>
  <si>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</si>
  <si>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</si>
  <si>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</si>
  <si>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</si>
  <si>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</si>
  <si>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</si>
  <si>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</si>
  <si>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</si>
  <si>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</si>
  <si>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</si>
  <si>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</si>
  <si>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</si>
  <si>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</si>
  <si>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</si>
  <si>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</si>
  <si>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</si>
  <si>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</si>
  <si>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</si>
  <si>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</si>
  <si>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</si>
  <si>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</si>
  <si>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</si>
  <si>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</si>
  <si>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</si>
  <si>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</si>
  <si>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</si>
  <si>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</si>
  <si>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</si>
  <si>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</si>
  <si>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</si>
  <si>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</si>
  <si>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</si>
  <si>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</si>
  <si>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</si>
  <si>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</si>
  <si>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</si>
  <si>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</si>
  <si>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</si>
  <si>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</si>
  <si>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</si>
  <si>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</si>
  <si>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</si>
  <si>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</si>
  <si>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</si>
  <si>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</si>
  <si>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</si>
  <si>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</si>
  <si>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</si>
  <si>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</si>
  <si>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</si>
  <si>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</si>
  <si>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</si>
  <si>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</si>
  <si>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</si>
  <si>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</si>
  <si>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</si>
  <si>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</si>
  <si>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</si>
  <si>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</si>
  <si>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</si>
  <si>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</si>
  <si>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</si>
  <si>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</si>
  <si>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</si>
  <si>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</si>
  <si>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</si>
  <si>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</si>
  <si>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</si>
  <si>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</si>
  <si>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</si>
  <si>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</si>
  <si>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</si>
  <si>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</si>
  <si>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</si>
  <si>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</si>
  <si>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</si>
  <si>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</si>
  <si>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</si>
  <si>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</si>
  <si>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</si>
  <si>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</si>
  <si>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</si>
  <si>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</si>
  <si>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</si>
  <si>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</si>
  <si>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</si>
  <si>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</si>
  <si>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</si>
  <si>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</si>
  <si>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</si>
  <si>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</si>
  <si>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</si>
  <si>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</si>
  <si>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</si>
  <si>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</si>
  <si>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</si>
  <si>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</si>
  <si>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</si>
  <si>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</si>
  <si>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</si>
  <si>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</si>
  <si>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</si>
  <si>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</si>
  <si>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</si>
  <si>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</si>
  <si>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</si>
  <si>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</si>
  <si>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</si>
  <si>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</si>
  <si>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</si>
  <si>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</si>
  <si>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</si>
  <si>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</si>
  <si>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</si>
  <si>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</si>
  <si>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</si>
  <si>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</si>
  <si>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</si>
  <si>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</si>
  <si>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</si>
  <si>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</si>
  <si>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</si>
  <si>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</si>
  <si>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</si>
  <si>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</si>
  <si>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</si>
  <si>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</si>
  <si>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</si>
  <si>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</si>
  <si>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</si>
  <si>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</si>
  <si>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</si>
  <si>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</si>
  <si>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</si>
  <si>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</si>
  <si>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</si>
  <si>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</si>
  <si>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</si>
  <si>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</si>
  <si>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</si>
  <si>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</si>
  <si>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</si>
  <si>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</si>
  <si>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</si>
  <si>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</si>
  <si>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</si>
  <si>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</si>
  <si>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</si>
  <si>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</si>
  <si>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</si>
  <si>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</si>
  <si>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</si>
  <si>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</si>
  <si>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</si>
  <si>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</si>
  <si>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</si>
  <si>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</si>
  <si>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</si>
  <si>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</si>
  <si>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</si>
  <si>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</si>
  <si>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</si>
  <si>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</si>
  <si>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</si>
  <si>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</si>
  <si>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</si>
  <si>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</si>
  <si>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</si>
  <si>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</si>
  <si>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</si>
  <si>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</si>
  <si>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</si>
  <si>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</si>
  <si>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</si>
  <si>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</si>
  <si>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</si>
  <si>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</si>
  <si>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</si>
  <si>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</si>
  <si>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</si>
  <si>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</si>
  <si>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</si>
  <si>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</si>
  <si>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</si>
  <si>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</si>
  <si>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</si>
  <si>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</si>
  <si>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</si>
  <si>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</si>
  <si>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</si>
  <si>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</si>
  <si>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</si>
  <si>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</si>
  <si>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</si>
  <si>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</si>
  <si>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</si>
  <si>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</si>
  <si>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</si>
  <si>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</si>
  <si>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</si>
  <si>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</si>
  <si>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</si>
  <si>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</si>
  <si>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</si>
  <si>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</si>
  <si>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</si>
  <si>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</si>
  <si>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</si>
  <si>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</si>
  <si>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</si>
  <si>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</si>
  <si>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</si>
  <si>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</si>
  <si>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</si>
  <si>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</si>
  <si>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</si>
  <si>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</si>
  <si>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</si>
  <si>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</si>
  <si>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</si>
  <si>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</si>
  <si>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</si>
  <si>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</si>
  <si>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</si>
  <si>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</si>
  <si>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</si>
  <si>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</si>
  <si>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</si>
  <si>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</si>
  <si>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</si>
  <si>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</si>
  <si>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</si>
  <si>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</si>
  <si>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</si>
  <si>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</si>
  <si>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</si>
  <si>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</si>
  <si>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</si>
  <si>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</si>
  <si>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</si>
  <si>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</si>
  <si>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</si>
  <si>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</si>
  <si>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</si>
  <si>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</si>
  <si>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</si>
  <si>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</si>
  <si>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</si>
  <si>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</si>
  <si>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</si>
  <si>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</si>
  <si>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</si>
  <si>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</si>
  <si>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</si>
  <si>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</si>
  <si>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</si>
  <si>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</si>
  <si>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</si>
  <si>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</si>
  <si>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</si>
  <si>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</si>
  <si>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</si>
  <si>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</si>
  <si>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</si>
  <si>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</si>
  <si>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</si>
  <si>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</si>
  <si>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</si>
  <si>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</si>
  <si>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</si>
  <si>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</si>
  <si>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</si>
  <si>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</si>
  <si>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</si>
  <si>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</si>
  <si>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</si>
  <si>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</si>
  <si>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</si>
  <si>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</si>
  <si>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</si>
  <si>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</si>
  <si>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</si>
  <si>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</si>
  <si>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</si>
  <si>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</si>
  <si>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</si>
  <si>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</si>
  <si>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</si>
  <si>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</si>
  <si>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</si>
  <si>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</si>
  <si>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</si>
  <si>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</si>
  <si>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</si>
  <si>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</si>
  <si>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</si>
  <si>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</si>
  <si>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</si>
  <si>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</si>
  <si>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</si>
  <si>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</si>
  <si>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</si>
  <si>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</si>
  <si>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</si>
  <si>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</si>
  <si>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</si>
  <si>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</si>
  <si>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</si>
  <si>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</si>
  <si>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</si>
  <si>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</si>
  <si>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</si>
  <si>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</si>
  <si>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</si>
  <si>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</si>
  <si>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</si>
  <si>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</si>
  <si>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</si>
  <si>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</si>
  <si>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</si>
  <si>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</si>
  <si>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</si>
  <si>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</si>
  <si>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</si>
  <si>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</si>
  <si>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</si>
  <si>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</si>
  <si>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</si>
  <si>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</si>
  <si>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</si>
  <si>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</si>
  <si>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</si>
  <si>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</si>
  <si>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</si>
  <si>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</si>
  <si>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</si>
  <si>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</si>
  <si>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</si>
  <si>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</si>
  <si>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</si>
  <si>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</si>
  <si>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</si>
  <si>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</si>
  <si>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</si>
  <si>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</si>
  <si>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</si>
  <si>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</si>
  <si>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</si>
  <si>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</si>
  <si>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</si>
  <si>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</si>
  <si>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</si>
  <si>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</si>
  <si>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</si>
  <si>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</si>
  <si>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</si>
  <si>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</si>
  <si>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</si>
  <si>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</si>
  <si>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</si>
  <si>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</si>
  <si>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</si>
  <si>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</si>
  <si>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</si>
  <si>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</si>
  <si>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</si>
  <si>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</si>
  <si>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</si>
  <si>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</si>
  <si>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</si>
  <si>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</si>
  <si>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</si>
  <si>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</si>
  <si>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</si>
  <si>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</si>
  <si>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</si>
  <si>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</si>
  <si>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</si>
  <si>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</si>
  <si>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</si>
  <si>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</si>
  <si>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</si>
  <si>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</si>
  <si>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</si>
  <si>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</si>
  <si>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</si>
  <si>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</si>
  <si>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</si>
  <si>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</si>
  <si>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</si>
  <si>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</si>
  <si>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</si>
  <si>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</si>
  <si>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</si>
  <si>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</si>
  <si>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</si>
  <si>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</si>
  <si>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</si>
  <si>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</si>
  <si>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</si>
  <si>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</si>
  <si>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</si>
  <si>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</si>
  <si>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</si>
  <si>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</si>
  <si>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</si>
  <si>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</si>
  <si>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</si>
  <si>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</si>
  <si>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</si>
  <si>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</si>
  <si>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</si>
  <si>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</si>
  <si>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</si>
  <si>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</si>
  <si>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</si>
  <si>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</si>
  <si>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</si>
  <si>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</si>
  <si>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</si>
  <si>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</si>
  <si>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</si>
  <si>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</si>
  <si>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</si>
  <si>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</si>
  <si>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</si>
  <si>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</si>
  <si>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</si>
  <si>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</si>
  <si>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</si>
  <si>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</si>
  <si>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</si>
  <si>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</si>
  <si>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</si>
  <si>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</si>
  <si>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</si>
  <si>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</si>
  <si>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</si>
  <si>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</si>
  <si>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</si>
  <si>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</si>
  <si>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</si>
  <si>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</si>
  <si>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</si>
  <si>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</si>
  <si>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</si>
  <si>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</si>
  <si>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</si>
  <si>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</si>
  <si>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</si>
  <si>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</si>
  <si>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</si>
  <si>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</si>
  <si>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</si>
  <si>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</si>
  <si>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</si>
  <si>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</si>
  <si>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</si>
  <si>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</si>
  <si>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</si>
  <si>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</si>
  <si>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</si>
  <si>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</si>
  <si>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</si>
  <si>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</si>
  <si>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</si>
  <si>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</si>
  <si>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</si>
  <si>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</si>
  <si>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</si>
  <si>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</si>
  <si>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</si>
  <si>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</si>
  <si>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</si>
  <si>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</si>
  <si>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</si>
  <si>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</si>
  <si>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</si>
  <si>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</si>
  <si>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</si>
  <si>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</si>
  <si>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</si>
  <si>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</si>
  <si>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</si>
  <si>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</si>
  <si>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</si>
  <si>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</si>
  <si>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</si>
  <si>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</si>
  <si>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</si>
  <si>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</si>
  <si>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</si>
  <si>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</si>
  <si>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</si>
  <si>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</si>
  <si>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</si>
  <si>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</si>
  <si>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</si>
  <si>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</si>
  <si>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</si>
  <si>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</si>
  <si>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</si>
  <si>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</si>
  <si>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</si>
  <si>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</si>
  <si>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</si>
  <si>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</si>
  <si>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</si>
  <si>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</si>
  <si>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</si>
  <si>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</si>
  <si>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</si>
  <si>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</si>
  <si>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</si>
  <si>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</si>
  <si>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</si>
  <si>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</si>
  <si>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</si>
  <si>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</si>
  <si>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</si>
  <si>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</si>
  <si>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</si>
  <si>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</si>
  <si>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</si>
  <si>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</si>
  <si>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</si>
  <si>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</si>
  <si>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</si>
  <si>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</si>
  <si>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</si>
  <si>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</si>
  <si>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</si>
  <si>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</si>
  <si>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</si>
  <si>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</si>
  <si>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</si>
  <si>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</si>
  <si>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</si>
  <si>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</si>
  <si>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</si>
  <si>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</si>
  <si>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</si>
  <si>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</si>
  <si>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</si>
  <si>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</si>
  <si>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</si>
  <si>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</si>
  <si>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</si>
  <si>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</si>
  <si>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</si>
  <si>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</si>
  <si>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</si>
  <si>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</si>
  <si>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</si>
  <si>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</si>
  <si>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</si>
  <si>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</si>
  <si>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</si>
  <si>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</si>
  <si>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</si>
  <si>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</si>
  <si>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</si>
  <si>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</si>
  <si>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</si>
  <si>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</si>
  <si>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</si>
  <si>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</si>
  <si>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</si>
  <si>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</si>
  <si>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</si>
  <si>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</si>
  <si>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</si>
  <si>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</si>
  <si>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</si>
  <si>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</si>
  <si>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</si>
  <si>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</si>
  <si>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</si>
  <si>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</si>
  <si>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</si>
  <si>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</si>
  <si>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</si>
  <si>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</si>
  <si>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</si>
  <si>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</si>
  <si>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</si>
  <si>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</si>
  <si>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</si>
  <si>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</si>
  <si>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</si>
  <si>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</si>
  <si>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</si>
  <si>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</si>
  <si>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</si>
  <si>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</si>
  <si>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</si>
  <si>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</si>
  <si>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</si>
  <si>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</si>
  <si>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</si>
  <si>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</si>
  <si>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</si>
  <si>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</si>
  <si>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</si>
  <si>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</si>
  <si>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</si>
  <si>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</si>
  <si>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</si>
  <si>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</si>
  <si>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</si>
  <si>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</si>
  <si>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</si>
  <si>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</si>
  <si>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</si>
  <si>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</si>
  <si>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</si>
  <si>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</si>
  <si>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</si>
  <si>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</si>
  <si>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</si>
  <si>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</si>
  <si>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</si>
  <si>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</si>
  <si>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</si>
  <si>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</si>
  <si>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</si>
  <si>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</si>
  <si>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</si>
  <si>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</si>
  <si>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</si>
  <si>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</si>
  <si>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</si>
  <si>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</si>
  <si>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</si>
  <si>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</si>
  <si>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</si>
  <si>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</si>
  <si>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</si>
  <si>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</si>
  <si>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</si>
  <si>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</si>
  <si>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</si>
  <si>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</si>
  <si>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</si>
  <si>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</si>
  <si>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</si>
  <si>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</si>
  <si>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</si>
  <si>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</si>
  <si>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</si>
  <si>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</si>
  <si>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</si>
  <si>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</si>
  <si>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</si>
  <si>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</si>
  <si>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</si>
  <si>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</si>
  <si>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</si>
  <si>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</si>
  <si>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</si>
  <si>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</si>
  <si>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</si>
  <si>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</si>
  <si>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</si>
  <si>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</si>
  <si>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</si>
  <si>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</si>
  <si>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</si>
  <si>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</si>
  <si>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</si>
  <si>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</si>
  <si>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</si>
  <si>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</si>
  <si>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</si>
  <si>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</si>
  <si>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</si>
  <si>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</si>
  <si>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</si>
  <si>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</si>
  <si>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</si>
  <si>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</si>
  <si>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</si>
  <si>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</si>
  <si>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</si>
  <si>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</si>
  <si>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</si>
  <si>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</si>
  <si>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</si>
  <si>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</si>
  <si>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</si>
  <si>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</si>
  <si>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</si>
  <si>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</si>
  <si>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</si>
  <si>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</si>
  <si>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</si>
  <si>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</si>
  <si>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</si>
  <si>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</si>
  <si>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</si>
  <si>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</si>
  <si>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</si>
  <si>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</si>
  <si>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</si>
  <si>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</si>
  <si>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</si>
  <si>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</si>
  <si>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</si>
  <si>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</si>
  <si>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</si>
  <si>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</si>
  <si>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</si>
  <si>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</si>
  <si>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</si>
  <si>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</si>
  <si>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</si>
  <si>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</si>
  <si>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</si>
  <si>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</si>
  <si>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</si>
  <si>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</si>
  <si>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</si>
  <si>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</si>
  <si>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</si>
  <si>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</si>
  <si>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</si>
  <si>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</si>
  <si>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</si>
  <si>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</si>
  <si>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</si>
  <si>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</si>
  <si>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</si>
  <si>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</si>
  <si>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</si>
  <si>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</si>
  <si>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</si>
  <si>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</si>
  <si>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</si>
  <si>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</si>
  <si>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</si>
  <si>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</si>
  <si>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</si>
  <si>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</si>
  <si>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</si>
  <si>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</si>
  <si>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</si>
  <si>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</si>
  <si>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</si>
  <si>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</si>
  <si>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</si>
  <si>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</si>
  <si>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</si>
  <si>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</si>
  <si>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</si>
  <si>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</si>
  <si>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</si>
  <si>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</si>
  <si>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</si>
  <si>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</si>
  <si>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</si>
  <si>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</si>
  <si>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</si>
  <si>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</si>
  <si>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</si>
  <si>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</si>
  <si>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</si>
  <si>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</si>
  <si>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</si>
  <si>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</si>
  <si>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</si>
  <si>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</si>
  <si>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</si>
  <si>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</si>
  <si>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</si>
  <si>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</si>
  <si>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</si>
  <si>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</si>
  <si>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</si>
  <si>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</si>
  <si>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</si>
  <si>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</si>
  <si>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</si>
  <si>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</si>
  <si>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</si>
  <si>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</si>
  <si>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</si>
  <si>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</si>
  <si>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</si>
  <si>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</si>
  <si>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</si>
  <si>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</si>
  <si>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</si>
  <si>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</si>
  <si>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</si>
  <si>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</si>
  <si>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</si>
  <si>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</si>
  <si>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</si>
  <si>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</si>
  <si>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</si>
  <si>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</si>
  <si>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</si>
  <si>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</si>
  <si>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</si>
  <si>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</si>
  <si>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</si>
  <si>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</si>
  <si>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</si>
  <si>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</si>
  <si>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</si>
  <si>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</si>
  <si>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</si>
  <si>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</si>
  <si>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</si>
  <si>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</si>
  <si>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</si>
  <si>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</si>
  <si>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</si>
  <si>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</si>
  <si>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</si>
  <si>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</si>
  <si>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</si>
  <si>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</si>
  <si>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</si>
  <si>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</si>
  <si>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</si>
  <si>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</si>
  <si>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</si>
  <si>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</si>
  <si>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</si>
  <si>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</si>
  <si>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</si>
  <si>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</si>
  <si>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</si>
  <si>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</si>
  <si>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</si>
  <si>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</si>
  <si>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</si>
  <si>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</si>
  <si>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</si>
  <si>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</si>
  <si>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</si>
  <si>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</si>
  <si>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</si>
  <si>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</si>
  <si>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</si>
  <si>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</si>
  <si>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</si>
  <si>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</si>
  <si>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</si>
  <si>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</si>
  <si>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</si>
  <si>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</si>
  <si>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</si>
  <si>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</si>
  <si>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</si>
  <si>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</si>
  <si>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</si>
  <si>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</si>
  <si>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</si>
  <si>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</si>
  <si>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</si>
  <si>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</si>
  <si>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</si>
  <si>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</si>
  <si>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</si>
  <si>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</si>
  <si>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</si>
  <si>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</si>
  <si>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</si>
  <si>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</si>
  <si>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</si>
  <si>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</si>
  <si>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</si>
  <si>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</si>
  <si>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</si>
  <si>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</si>
  <si>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</si>
  <si>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</si>
  <si>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</si>
  <si>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</si>
  <si>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</si>
  <si>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</si>
  <si>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</si>
  <si>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</si>
  <si>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</si>
  <si>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</si>
  <si>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</si>
  <si>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</si>
  <si>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</si>
  <si>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</si>
  <si>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</si>
  <si>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</si>
  <si>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</si>
  <si>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</si>
  <si>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</si>
  <si>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</si>
  <si>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</si>
  <si>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</si>
  <si>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</si>
  <si>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</si>
  <si>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</si>
  <si>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</si>
  <si>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</si>
  <si>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</si>
  <si>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</si>
  <si>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</si>
  <si>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</si>
  <si>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</si>
  <si>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</si>
  <si>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</si>
  <si>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</si>
  <si>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</si>
  <si>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</si>
  <si>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</si>
  <si>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</si>
  <si>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</si>
  <si>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</si>
  <si>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</si>
  <si>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</si>
  <si>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</si>
  <si>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</si>
  <si>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</si>
  <si>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</si>
  <si>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</si>
  <si>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</si>
  <si>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</si>
  <si>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</si>
  <si>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</si>
  <si>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</si>
  <si>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</si>
  <si>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</si>
  <si>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</si>
  <si>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</si>
  <si>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</si>
  <si>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</si>
  <si>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</si>
  <si>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</si>
  <si>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</si>
  <si>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</si>
  <si>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</si>
  <si>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</si>
  <si>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</si>
  <si>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</si>
  <si>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</si>
  <si>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</si>
  <si>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</si>
  <si>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</si>
  <si>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</si>
  <si>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</si>
  <si>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</si>
  <si>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</si>
  <si>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</si>
  <si>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</si>
  <si>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</si>
  <si>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</si>
  <si>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</si>
  <si>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</si>
  <si>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</si>
  <si>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</si>
  <si>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</si>
  <si>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</si>
  <si>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</si>
  <si>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</si>
  <si>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</si>
  <si>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</si>
  <si>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</si>
  <si>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</si>
  <si>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</si>
  <si>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</si>
  <si>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</si>
  <si>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</si>
  <si>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</si>
  <si>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</si>
  <si>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</si>
  <si>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</si>
  <si>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</si>
  <si>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</si>
  <si>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</si>
  <si>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</si>
  <si>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</si>
  <si>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</si>
  <si>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</si>
  <si>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</si>
  <si>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</si>
  <si>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</si>
  <si>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</si>
  <si>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</si>
  <si>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</si>
  <si>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</si>
  <si>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</si>
  <si>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</si>
  <si>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</si>
  <si>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</si>
  <si>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</si>
  <si>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</si>
  <si>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</si>
  <si>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</si>
  <si>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</si>
  <si>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</si>
  <si>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</si>
  <si>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</si>
  <si>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</si>
  <si>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</si>
  <si>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</si>
  <si>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</si>
  <si>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</si>
  <si>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</si>
  <si>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</si>
  <si>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</si>
  <si>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</si>
  <si>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</si>
  <si>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</si>
  <si>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</si>
  <si>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</si>
  <si>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</si>
  <si>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</si>
  <si>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</si>
  <si>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</si>
  <si>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</si>
  <si>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</si>
  <si>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</si>
  <si>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</si>
  <si>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</si>
  <si>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</si>
  <si>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</si>
  <si>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</si>
  <si>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</si>
  <si>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</si>
  <si>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</si>
  <si>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</si>
  <si>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</si>
  <si>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</si>
  <si>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</si>
  <si>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</si>
  <si>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</si>
  <si>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</si>
  <si>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</si>
  <si>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</si>
  <si>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</si>
  <si>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</si>
  <si>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</si>
  <si>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</si>
  <si>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</si>
  <si>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</si>
  <si>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</si>
  <si>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</si>
  <si>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</si>
  <si>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</si>
  <si>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</si>
  <si>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</si>
  <si>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</si>
  <si>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</si>
  <si>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</si>
  <si>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</si>
  <si>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</si>
  <si>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</si>
  <si>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</si>
  <si>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</si>
  <si>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</si>
  <si>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</si>
  <si>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</si>
  <si>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</si>
  <si>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</si>
  <si>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</si>
  <si>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</si>
  <si>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</si>
  <si>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</si>
  <si>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</si>
  <si>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</si>
  <si>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</si>
  <si>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</si>
  <si>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</si>
  <si>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</si>
  <si>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</si>
  <si>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</si>
  <si>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</si>
  <si>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</si>
  <si>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</si>
  <si>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</si>
  <si>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</si>
  <si>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</si>
  <si>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</si>
  <si>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</si>
  <si>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</si>
  <si>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</si>
  <si>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</si>
  <si>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</si>
  <si>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</si>
  <si>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</si>
  <si>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</si>
  <si>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</si>
  <si>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</si>
  <si>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</si>
  <si>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</si>
  <si>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</si>
  <si>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</si>
  <si>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</si>
  <si>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</si>
  <si>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</si>
  <si>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</si>
  <si>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</si>
  <si>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</si>
  <si>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</si>
  <si>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</si>
  <si>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</si>
  <si>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</si>
  <si>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</si>
  <si>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</si>
  <si>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</si>
  <si>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</si>
  <si>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</si>
  <si>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</si>
  <si>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</si>
  <si>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</si>
  <si>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</si>
  <si>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</si>
  <si>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</si>
  <si>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</si>
  <si>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</si>
  <si>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</si>
  <si>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</si>
  <si>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</si>
  <si>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</si>
  <si>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</si>
  <si>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</si>
  <si>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</si>
  <si>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</si>
  <si>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</si>
  <si>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</si>
  <si>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</si>
  <si>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</si>
  <si>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</si>
  <si>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</si>
  <si>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</si>
  <si>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</si>
  <si>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</si>
  <si>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</si>
  <si>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</si>
  <si>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</si>
  <si>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</si>
  <si>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</si>
  <si>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</si>
  <si>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</si>
  <si>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</si>
  <si>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</si>
  <si>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</si>
  <si>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</si>
  <si>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</si>
  <si>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</si>
  <si>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</si>
  <si>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</si>
  <si>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</si>
  <si>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</si>
  <si>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</si>
  <si>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</si>
  <si>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</si>
  <si>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</si>
  <si>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</si>
  <si>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</si>
  <si>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</si>
  <si>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</si>
  <si>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</si>
  <si>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</si>
  <si>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</si>
  <si>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</si>
  <si>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</si>
  <si>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</si>
  <si>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</si>
  <si>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</si>
  <si>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</si>
  <si>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</si>
  <si>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</si>
  <si>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</si>
  <si>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</si>
  <si>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</si>
  <si>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</si>
  <si>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</si>
  <si>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</si>
  <si>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</si>
  <si>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</si>
  <si>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</si>
  <si>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</si>
  <si>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</si>
  <si>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</si>
  <si>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</si>
  <si>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</si>
  <si>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</si>
  <si>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</si>
  <si>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</si>
  <si>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</si>
  <si>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</si>
  <si>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</si>
  <si>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</si>
  <si>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</si>
  <si>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</si>
  <si>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</si>
  <si>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</si>
  <si>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</si>
  <si>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</si>
  <si>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</si>
  <si>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</si>
  <si>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</si>
  <si>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</si>
  <si>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</si>
  <si>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</si>
  <si>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</si>
  <si>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</si>
  <si>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</si>
  <si>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</si>
  <si>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</si>
  <si>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</si>
  <si>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</si>
  <si>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</si>
  <si>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</si>
  <si>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</si>
  <si>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</si>
  <si>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</si>
  <si>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</si>
  <si>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</si>
  <si>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</si>
  <si>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</si>
  <si>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</si>
  <si>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</si>
  <si>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</si>
  <si>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</si>
  <si>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</si>
  <si>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</si>
  <si>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</si>
  <si>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</si>
  <si>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</si>
  <si>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</si>
  <si>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</si>
  <si>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</si>
  <si>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</si>
  <si>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</si>
  <si>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</si>
  <si>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</si>
  <si>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</si>
  <si>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</si>
  <si>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</si>
  <si>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</si>
  <si>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</si>
  <si>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</si>
  <si>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</si>
  <si>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</si>
  <si>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</si>
  <si>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</si>
  <si>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</si>
  <si>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</si>
  <si>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</si>
  <si>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</si>
  <si>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</si>
  <si>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</si>
  <si>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</si>
  <si>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</si>
  <si>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</si>
  <si>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</si>
  <si>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</si>
  <si>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</si>
  <si>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</si>
  <si>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</si>
  <si>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</si>
  <si>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</si>
  <si>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</si>
  <si>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</si>
  <si>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</si>
  <si>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</si>
  <si>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</si>
  <si>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</si>
  <si>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</si>
  <si>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</si>
  <si>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</si>
  <si>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</si>
  <si>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</si>
  <si>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</si>
  <si>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</si>
  <si>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</si>
  <si>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</si>
  <si>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</si>
  <si>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</si>
  <si>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</si>
  <si>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</si>
  <si>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</si>
  <si>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</si>
  <si>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</si>
  <si>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</si>
  <si>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</si>
  <si>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</si>
  <si>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</si>
  <si>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</si>
  <si>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</si>
  <si>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</si>
  <si>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</si>
  <si>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</si>
  <si>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</si>
  <si>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</si>
  <si>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</si>
  <si>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</si>
  <si>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</si>
  <si>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</si>
  <si>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</si>
  <si>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</si>
  <si>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</si>
  <si>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</si>
  <si>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</si>
  <si>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</si>
  <si>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</si>
  <si>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</si>
  <si>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</si>
  <si>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</si>
  <si>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</si>
  <si>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</si>
  <si>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</si>
  <si>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</si>
  <si>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</si>
  <si>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</si>
  <si>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</si>
  <si>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</si>
  <si>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</si>
  <si>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</si>
  <si>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</si>
  <si>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</si>
  <si>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</si>
  <si>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</si>
  <si>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</si>
  <si>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</si>
  <si>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</si>
  <si>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</si>
  <si>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</si>
  <si>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</si>
  <si>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</si>
  <si>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</si>
  <si>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</si>
  <si>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</si>
  <si>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</si>
  <si>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</si>
  <si>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</si>
  <si>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</si>
  <si>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</si>
  <si>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</si>
  <si>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</si>
  <si>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</si>
  <si>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</si>
  <si>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</si>
  <si>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</si>
  <si>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</si>
  <si>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</si>
  <si>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</si>
  <si>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</si>
  <si>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</si>
  <si>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</si>
  <si>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</si>
  <si>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</si>
  <si>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</si>
  <si>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</si>
  <si>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</si>
  <si>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</si>
  <si>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</si>
  <si>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</si>
  <si>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</si>
  <si>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</si>
  <si>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</si>
  <si>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</si>
  <si>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</si>
  <si>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</si>
  <si>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</si>
  <si>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</si>
  <si>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</si>
  <si>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</si>
  <si>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</si>
  <si>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</si>
  <si>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</si>
  <si>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</si>
  <si>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</si>
  <si>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</si>
  <si>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</si>
  <si>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</si>
  <si>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</si>
  <si>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</si>
  <si>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</si>
  <si>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</si>
  <si>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</si>
  <si>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</si>
  <si>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</si>
  <si>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</si>
  <si>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</si>
  <si>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</si>
  <si>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</si>
  <si>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</si>
  <si>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</si>
  <si>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</si>
  <si>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</si>
  <si>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</si>
  <si>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</si>
  <si>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</si>
  <si>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</si>
  <si>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</si>
  <si>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</si>
  <si>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</si>
  <si>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</si>
  <si>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</si>
  <si>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</si>
  <si>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</si>
  <si>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</si>
  <si>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</si>
  <si>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</si>
  <si>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</si>
  <si>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</si>
  <si>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</si>
  <si>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</si>
  <si>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</si>
  <si>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</si>
  <si>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</si>
  <si>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</si>
  <si>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</si>
  <si>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</si>
  <si>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</si>
  <si>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</si>
  <si>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</si>
  <si>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</si>
  <si>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</si>
  <si>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</si>
  <si>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</si>
  <si>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</si>
  <si>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</si>
  <si>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</si>
  <si>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</si>
  <si>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</si>
  <si>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</si>
  <si>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</si>
  <si>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</si>
  <si>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</si>
  <si>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</si>
  <si>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</si>
  <si>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</si>
  <si>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</si>
  <si>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</si>
  <si>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</si>
  <si>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</si>
  <si>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</si>
  <si>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</si>
  <si>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</si>
  <si>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</si>
  <si>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</si>
  <si>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</si>
  <si>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</si>
  <si>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</si>
  <si>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</si>
  <si>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</si>
  <si>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</si>
  <si>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</si>
  <si>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</si>
  <si>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</si>
  <si>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</si>
  <si>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</si>
  <si>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</si>
  <si>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</si>
  <si>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</si>
  <si>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</si>
  <si>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</si>
  <si>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</si>
  <si>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</si>
  <si>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</si>
  <si>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</si>
  <si>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</si>
  <si>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</si>
  <si>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</si>
  <si>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</si>
  <si>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</si>
  <si>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</si>
  <si>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</si>
  <si>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</si>
  <si>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</si>
  <si>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</si>
  <si>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</si>
  <si>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</si>
  <si>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</si>
  <si>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</si>
  <si>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</si>
  <si>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</si>
  <si>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</si>
  <si>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</si>
  <si>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</si>
  <si>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</si>
  <si>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</si>
  <si>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</si>
  <si>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</si>
  <si>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</si>
  <si>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</si>
  <si>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</si>
  <si>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</si>
  <si>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</si>
  <si>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</si>
  <si>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</si>
  <si>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</si>
  <si>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</si>
  <si>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</si>
  <si>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</si>
  <si>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</si>
  <si>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</si>
  <si>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</si>
  <si>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</si>
  <si>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</si>
  <si>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</si>
  <si>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</si>
  <si>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</si>
  <si>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</si>
  <si>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</si>
  <si>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</si>
  <si>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</si>
  <si>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</si>
  <si>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</si>
  <si>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</si>
  <si>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</si>
  <si>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</si>
  <si>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</si>
  <si>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</si>
  <si>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</si>
  <si>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</si>
  <si>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</si>
  <si>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</si>
  <si>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</si>
  <si>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</si>
  <si>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</si>
  <si>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</si>
  <si>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</si>
  <si>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</si>
  <si>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</si>
  <si>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</si>
  <si>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</si>
  <si>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</si>
  <si>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</si>
  <si>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</si>
  <si>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</si>
  <si>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</si>
  <si>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</si>
  <si>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</si>
  <si>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</si>
  <si>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</si>
  <si>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</si>
  <si>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</si>
  <si>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</si>
  <si>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</si>
  <si>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</si>
  <si>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</si>
  <si>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</si>
  <si>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</si>
  <si>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</si>
  <si>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</si>
  <si>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</si>
  <si>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</si>
  <si>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</si>
  <si>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</si>
  <si>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</si>
  <si>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</si>
  <si>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</si>
  <si>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</si>
  <si>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</si>
  <si>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</si>
  <si>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</si>
  <si>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</si>
  <si>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</si>
  <si>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</si>
  <si>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</si>
  <si>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</si>
  <si>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</si>
  <si>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</si>
  <si>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</si>
  <si>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</si>
  <si>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</si>
  <si>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</si>
  <si>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</si>
  <si>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</si>
  <si>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</si>
  <si>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</si>
  <si>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</si>
  <si>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</si>
  <si>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</si>
  <si>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</si>
  <si>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</si>
  <si>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</si>
  <si>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</si>
  <si>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</si>
  <si>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</si>
  <si>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</si>
  <si>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</si>
  <si>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</si>
  <si>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</si>
  <si>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</si>
  <si>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</si>
  <si>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</si>
  <si>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</si>
  <si>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</si>
  <si>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</si>
  <si>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</si>
  <si>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</si>
  <si>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</si>
  <si>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</si>
  <si>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</si>
  <si>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</si>
  <si>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</si>
  <si>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</si>
  <si>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</si>
  <si>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</si>
  <si>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</si>
  <si>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</si>
  <si>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</si>
  <si>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</si>
  <si>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</si>
  <si>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</si>
  <si>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</si>
  <si>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</si>
  <si>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</si>
  <si>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</si>
  <si>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</si>
  <si>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</si>
  <si>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</si>
  <si>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</si>
  <si>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</si>
  <si>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</si>
  <si>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</si>
  <si>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</si>
  <si>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</si>
  <si>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</si>
  <si>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</si>
  <si>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</si>
  <si>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</si>
  <si>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</si>
  <si>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</si>
  <si>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</si>
  <si>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</si>
  <si>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</si>
  <si>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</si>
  <si>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</si>
  <si>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</si>
  <si>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</si>
  <si>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</si>
  <si>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</si>
  <si>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</si>
  <si>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</si>
  <si>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</si>
  <si>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</si>
  <si>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</si>
  <si>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</si>
  <si>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</si>
  <si>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</si>
  <si>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</si>
  <si>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</si>
  <si>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</si>
  <si>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</si>
  <si>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</si>
  <si>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</si>
  <si>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</si>
  <si>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</si>
  <si>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</si>
  <si>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</si>
  <si>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</si>
  <si>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</si>
  <si>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</si>
  <si>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</si>
  <si>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</si>
  <si>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</si>
  <si>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</si>
  <si>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</si>
  <si>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</si>
  <si>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</si>
  <si>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</si>
  <si>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</si>
  <si>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</si>
  <si>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</si>
  <si>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</si>
  <si>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</si>
  <si>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</si>
  <si>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</si>
  <si>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</si>
  <si>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</si>
  <si>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</si>
  <si>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</si>
  <si>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</si>
  <si>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</si>
  <si>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</si>
  <si>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</si>
  <si>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</si>
  <si>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</si>
  <si>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</si>
  <si>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</si>
  <si>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</si>
  <si>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</si>
  <si>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</si>
  <si>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</si>
  <si>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</si>
  <si>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</si>
  <si>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</si>
  <si>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</si>
  <si>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</si>
  <si>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</si>
  <si>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</si>
  <si>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</si>
  <si>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</si>
  <si>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</si>
  <si>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</si>
  <si>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</si>
  <si>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</si>
  <si>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</si>
  <si>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</si>
  <si>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</si>
  <si>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</si>
  <si>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</si>
  <si>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</si>
  <si>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</si>
  <si>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</si>
  <si>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</si>
  <si>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</si>
  <si>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</si>
  <si>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</si>
  <si>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</si>
  <si>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</si>
  <si>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</si>
  <si>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</si>
  <si>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</si>
  <si>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</si>
  <si>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</si>
  <si>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</si>
  <si>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</si>
  <si>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</si>
  <si>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</si>
  <si>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</si>
  <si>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</si>
  <si>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</si>
  <si>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</si>
  <si>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</si>
  <si>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</si>
  <si>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</si>
  <si>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</si>
  <si>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</si>
  <si>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</si>
  <si>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</si>
  <si>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</si>
  <si>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</si>
  <si>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</si>
  <si>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</si>
  <si>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</si>
  <si>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</si>
  <si>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</si>
  <si>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</si>
  <si>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</si>
  <si>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</si>
  <si>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</si>
  <si>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</si>
  <si>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</si>
  <si>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</si>
  <si>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</si>
  <si>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</si>
  <si>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</si>
  <si>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</si>
  <si>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</si>
  <si>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</si>
  <si>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</si>
  <si>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</si>
  <si>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</si>
  <si>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</si>
  <si>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</si>
  <si>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</si>
  <si>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</si>
  <si>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</si>
  <si>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</si>
  <si>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</si>
  <si>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</si>
  <si>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</si>
  <si>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</si>
  <si>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</si>
  <si>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</si>
  <si>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</si>
  <si>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</si>
  <si>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</si>
  <si>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</si>
  <si>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</si>
  <si>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</si>
  <si>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</si>
  <si>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</si>
  <si>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</si>
  <si>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</si>
  <si>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</si>
  <si>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</si>
  <si>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</si>
  <si>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</si>
  <si>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</si>
  <si>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</si>
  <si>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</si>
  <si>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</si>
  <si>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</si>
  <si>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</si>
  <si>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</si>
  <si>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</si>
  <si>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</si>
  <si>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</si>
  <si>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</si>
  <si>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</si>
  <si>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</si>
  <si>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</si>
  <si>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</si>
  <si>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</si>
  <si>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</si>
  <si>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</si>
  <si>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</si>
  <si>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</si>
  <si>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</si>
  <si>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</si>
  <si>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</si>
  <si>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</si>
  <si>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</si>
  <si>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</si>
  <si>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</si>
  <si>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</si>
  <si>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</si>
  <si>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</si>
  <si>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</si>
  <si>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</si>
  <si>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</si>
  <si>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</si>
  <si>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</si>
  <si>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</si>
  <si>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</si>
  <si>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</si>
  <si>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</si>
  <si>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</si>
  <si>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</si>
  <si>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</si>
  <si>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</si>
  <si>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</si>
  <si>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</si>
  <si>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</si>
  <si>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</si>
  <si>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</si>
  <si>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</si>
  <si>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</si>
  <si>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</si>
  <si>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</si>
  <si>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</si>
  <si>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</si>
  <si>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</si>
  <si>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</si>
  <si>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</si>
  <si>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</si>
  <si>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</si>
  <si>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</si>
  <si>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</si>
  <si>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</si>
  <si>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</si>
  <si>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</si>
  <si>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</si>
  <si>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</si>
  <si>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</si>
  <si>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</si>
  <si>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</si>
  <si>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</si>
  <si>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</si>
  <si>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</si>
  <si>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</si>
  <si>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</si>
  <si>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</si>
  <si>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</si>
  <si>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</si>
  <si>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</si>
  <si>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</si>
  <si>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</si>
  <si>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</si>
  <si>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</si>
  <si>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</si>
  <si>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</si>
  <si>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</si>
  <si>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</si>
  <si>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</si>
  <si>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</si>
  <si>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</si>
  <si>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</si>
  <si>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</si>
  <si>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</si>
  <si>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</si>
  <si>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</si>
  <si>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</si>
  <si>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</si>
  <si>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</si>
  <si>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</si>
  <si>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</si>
  <si>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</si>
  <si>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</si>
  <si>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</si>
  <si>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</si>
  <si>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</si>
  <si>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</si>
  <si>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</si>
  <si>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</si>
  <si>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</si>
  <si>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</si>
  <si>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</si>
  <si>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</si>
  <si>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</si>
  <si>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</si>
  <si>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</si>
  <si>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</si>
  <si>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</si>
  <si>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</si>
  <si>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</si>
  <si>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</si>
  <si>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</si>
  <si>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</si>
  <si>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</si>
  <si>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</si>
  <si>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</si>
  <si>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</si>
  <si>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</si>
  <si>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</si>
  <si>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</si>
  <si>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</si>
  <si>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</si>
  <si>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</si>
  <si>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</si>
  <si>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</si>
  <si>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</si>
  <si>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</si>
  <si>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</si>
  <si>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</si>
  <si>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</si>
  <si>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</si>
  <si>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</si>
  <si>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</si>
  <si>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</si>
  <si>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</si>
  <si>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</si>
  <si>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</si>
  <si>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</si>
  <si>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</si>
  <si>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</si>
  <si>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</si>
  <si>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</si>
  <si>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</si>
  <si>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</si>
  <si>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</si>
  <si>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</si>
  <si>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</si>
  <si>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</si>
  <si>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</si>
  <si>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</si>
  <si>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</si>
  <si>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</si>
  <si>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</si>
  <si>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</si>
  <si>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</si>
  <si>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</si>
  <si>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</si>
  <si>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</si>
  <si>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</si>
  <si>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</si>
  <si>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</si>
  <si>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</si>
  <si>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</si>
  <si>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</si>
  <si>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</si>
  <si>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</si>
  <si>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</si>
  <si>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</si>
  <si>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</si>
  <si>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</si>
  <si>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</si>
  <si>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</si>
  <si>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</si>
  <si>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</si>
  <si>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</si>
  <si>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</si>
  <si>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</si>
  <si>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</si>
  <si>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</si>
  <si>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</si>
  <si>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</si>
  <si>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</si>
  <si>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</si>
  <si>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</si>
  <si>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</si>
  <si>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</si>
  <si>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</si>
  <si>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</si>
  <si>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</si>
  <si>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</si>
  <si>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</si>
  <si>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</si>
  <si>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</si>
  <si>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</si>
  <si>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</si>
  <si>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</si>
  <si>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</si>
  <si>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</si>
  <si>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</si>
  <si>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</si>
  <si>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</si>
  <si>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</si>
  <si>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</si>
  <si>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</si>
  <si>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</si>
  <si>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</si>
  <si>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</si>
  <si>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</si>
  <si>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</si>
  <si>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</si>
  <si>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</si>
  <si>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</si>
  <si>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</si>
  <si>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</si>
  <si>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</si>
  <si>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</si>
  <si>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</si>
  <si>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</si>
  <si>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</si>
  <si>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</si>
  <si>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</si>
  <si>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</si>
  <si>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</si>
  <si>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</si>
  <si>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</si>
  <si>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</si>
  <si>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</si>
  <si>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</si>
  <si>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</si>
  <si>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</si>
  <si>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</si>
  <si>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</si>
  <si>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</si>
  <si>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</si>
  <si>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</si>
  <si>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</si>
  <si>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</si>
  <si>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</si>
  <si>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</si>
  <si>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</si>
  <si>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</si>
  <si>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</si>
  <si>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</si>
  <si>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</si>
  <si>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</si>
  <si>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</si>
  <si>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</si>
  <si>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</si>
  <si>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</si>
  <si>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</si>
  <si>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</si>
  <si>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</si>
  <si>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</si>
  <si>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</si>
  <si>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</si>
  <si>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</si>
  <si>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</si>
  <si>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</si>
  <si>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</si>
  <si>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</si>
  <si>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</si>
  <si>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</si>
  <si>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</si>
  <si>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</si>
  <si>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</si>
  <si>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</si>
  <si>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</si>
  <si>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</si>
  <si>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</si>
  <si>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</si>
  <si>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</si>
  <si>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</si>
  <si>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</si>
  <si>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</si>
  <si>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</si>
  <si>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</si>
  <si>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</si>
  <si>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</si>
  <si>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</si>
  <si>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</si>
  <si>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</si>
  <si>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</si>
  <si>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</si>
  <si>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</si>
  <si>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</si>
  <si>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</si>
  <si>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</si>
  <si>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</si>
  <si>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</si>
  <si>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</si>
  <si>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</si>
  <si>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</si>
  <si>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</si>
  <si>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</si>
  <si>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</si>
  <si>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</si>
  <si>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</si>
  <si>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</si>
  <si>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</si>
  <si>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</si>
  <si>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</si>
  <si>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</si>
  <si>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</si>
  <si>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</si>
  <si>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</si>
  <si>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</si>
  <si>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</si>
  <si>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</si>
  <si>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</si>
  <si>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</si>
  <si>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</si>
  <si>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</si>
  <si>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</si>
  <si>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</si>
  <si>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</si>
  <si>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</si>
  <si>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</si>
  <si>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</si>
  <si>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</si>
  <si>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</si>
  <si>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</si>
  <si>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</si>
  <si>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</si>
  <si>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</si>
  <si>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</si>
  <si>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</si>
  <si>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</si>
  <si>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</si>
  <si>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</si>
  <si>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</si>
  <si>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</si>
  <si>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</si>
  <si>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</si>
  <si>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</si>
  <si>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</si>
  <si>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</si>
  <si>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</si>
  <si>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</si>
  <si>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</si>
  <si>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</si>
  <si>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</si>
  <si>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</si>
  <si>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</si>
  <si>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</si>
  <si>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</si>
  <si>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</si>
  <si>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</si>
  <si>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</si>
  <si>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</si>
  <si>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</si>
  <si>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</si>
  <si>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</si>
  <si>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</si>
  <si>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</si>
  <si>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</si>
  <si>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</si>
  <si>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</si>
  <si>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</si>
  <si>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</si>
  <si>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</si>
  <si>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</si>
  <si>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</si>
  <si>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</si>
  <si>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</si>
  <si>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</si>
  <si>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</si>
  <si>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</si>
  <si>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</si>
  <si>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</si>
  <si>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</si>
  <si>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</si>
  <si>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</si>
  <si>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</si>
  <si>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</si>
  <si>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</si>
  <si>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</si>
  <si>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</si>
  <si>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</si>
  <si>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</si>
  <si>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</si>
  <si>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</si>
  <si>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</si>
  <si>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</si>
  <si>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</si>
  <si>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</si>
  <si>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</si>
  <si>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</si>
  <si>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</si>
  <si>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</si>
  <si>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</si>
  <si>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</si>
  <si>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</si>
  <si>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</si>
  <si>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</si>
  <si>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</si>
  <si>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</si>
  <si>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</si>
  <si>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</si>
  <si>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</si>
  <si>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</si>
  <si>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</si>
  <si>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</si>
  <si>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</si>
  <si>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</si>
  <si>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</si>
  <si>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</si>
  <si>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</si>
  <si>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</si>
  <si>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</si>
  <si>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</si>
  <si>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</si>
  <si>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</si>
  <si>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</si>
  <si>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</si>
  <si>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</si>
  <si>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</si>
  <si>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</si>
  <si>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</si>
  <si>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</si>
  <si>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</si>
  <si>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</si>
  <si>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</si>
  <si>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</si>
  <si>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</si>
  <si>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</si>
  <si>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</si>
  <si>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</si>
  <si>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</si>
  <si>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</si>
  <si>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</si>
  <si>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</si>
  <si>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</si>
  <si>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</si>
  <si>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</si>
  <si>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</si>
  <si>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</si>
  <si>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</si>
  <si>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</si>
  <si>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</si>
  <si>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</si>
  <si>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</si>
  <si>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</si>
  <si>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</si>
  <si>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</si>
  <si>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</si>
  <si>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</si>
  <si>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</si>
  <si>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</si>
  <si>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</si>
  <si>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</si>
  <si>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</si>
  <si>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</si>
  <si>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</si>
  <si>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</si>
  <si>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</si>
  <si>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</si>
  <si>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</si>
  <si>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</si>
  <si>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</si>
  <si>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</si>
  <si>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</si>
  <si>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</si>
  <si>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</si>
  <si>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</si>
  <si>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</si>
  <si>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</si>
  <si>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</si>
  <si>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</si>
  <si>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</si>
  <si>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</si>
  <si>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</si>
  <si>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</si>
  <si>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</si>
  <si>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</si>
  <si>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</si>
  <si>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</si>
  <si>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</si>
  <si>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</si>
  <si>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</si>
  <si>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</si>
  <si>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</si>
  <si>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</si>
  <si>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</si>
  <si>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</si>
  <si>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</si>
  <si>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</si>
  <si>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</si>
  <si>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</si>
  <si>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</si>
  <si>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</si>
  <si>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</si>
  <si>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</si>
  <si>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</si>
  <si>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</si>
  <si>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</si>
  <si>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</si>
  <si>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</si>
  <si>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</si>
  <si>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</si>
  <si>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</si>
  <si>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</si>
  <si>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</si>
  <si>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</si>
  <si>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</si>
  <si>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</si>
  <si>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</si>
  <si>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</si>
  <si>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</si>
  <si>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</si>
  <si>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</si>
  <si>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</si>
  <si>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</si>
  <si>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</si>
  <si>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</si>
  <si>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</si>
  <si>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</si>
  <si>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</si>
  <si>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</si>
  <si>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</si>
  <si>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</si>
  <si>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</si>
  <si>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</si>
  <si>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</si>
  <si>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</si>
  <si>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</si>
  <si>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</si>
  <si>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</si>
  <si>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</si>
  <si>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</si>
  <si>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</si>
  <si>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</si>
  <si>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</si>
  <si>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</si>
  <si>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</si>
  <si>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</si>
  <si>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</si>
  <si>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</si>
  <si>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</si>
  <si>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</si>
  <si>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</si>
  <si>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</si>
  <si>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</si>
  <si>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</si>
  <si>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</si>
  <si>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</si>
  <si>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</si>
  <si>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</si>
  <si>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</si>
  <si>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</si>
  <si>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</si>
  <si>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</si>
  <si>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</si>
  <si>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</si>
  <si>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</si>
  <si>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</si>
  <si>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</si>
  <si>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</si>
  <si>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</si>
  <si>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</si>
  <si>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</si>
  <si>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</si>
  <si>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</si>
  <si>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</si>
  <si>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</si>
  <si>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</si>
  <si>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</si>
  <si>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</si>
  <si>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</si>
  <si>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</si>
  <si>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</si>
  <si>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</si>
  <si>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</si>
  <si>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</si>
  <si>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</si>
  <si>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</si>
  <si>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</si>
  <si>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</si>
  <si>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</si>
  <si>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</si>
  <si>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</si>
  <si>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</si>
  <si>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</si>
  <si>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</si>
  <si>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</si>
  <si>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</si>
  <si>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</si>
  <si>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</si>
  <si>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</si>
  <si>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</si>
  <si>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</si>
  <si>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</si>
  <si>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</si>
  <si>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</si>
  <si>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</si>
  <si>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</si>
  <si>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</si>
  <si>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</si>
  <si>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</si>
  <si>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</si>
  <si>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</si>
  <si>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</si>
  <si>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</si>
  <si>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</si>
  <si>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</si>
  <si>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</si>
  <si>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</si>
  <si>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</si>
  <si>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</si>
  <si>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</si>
  <si>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</si>
  <si>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</si>
  <si>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</si>
  <si>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</si>
  <si>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</si>
  <si>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</si>
  <si>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</si>
  <si>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</si>
  <si>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</si>
  <si>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</si>
  <si>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</si>
  <si>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</si>
  <si>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</si>
  <si>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</si>
  <si>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</si>
  <si>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</si>
  <si>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</si>
  <si>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</si>
  <si>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</si>
  <si>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</si>
  <si>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</si>
  <si>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</si>
  <si>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</si>
  <si>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</si>
  <si>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</si>
  <si>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</si>
  <si>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</si>
  <si>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</si>
  <si>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</si>
  <si>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</si>
  <si>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</si>
  <si>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</si>
  <si>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</si>
  <si>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</si>
  <si>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</si>
  <si>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</si>
  <si>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</si>
  <si>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</si>
  <si>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</si>
  <si>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</si>
  <si>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</si>
  <si>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</si>
  <si>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</si>
  <si>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</si>
  <si>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</si>
  <si>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</si>
  <si>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</si>
  <si>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</si>
  <si>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</si>
  <si>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</si>
  <si>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</si>
  <si>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</si>
  <si>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</si>
  <si>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</si>
  <si>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</si>
  <si>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</si>
  <si>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</si>
  <si>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</si>
  <si>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</si>
  <si>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</si>
  <si>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</si>
  <si>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</si>
  <si>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</si>
  <si>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</si>
  <si>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</si>
  <si>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</si>
  <si>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</si>
  <si>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</si>
  <si>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</si>
  <si>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</si>
  <si>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</si>
  <si>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</si>
  <si>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</si>
  <si>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</si>
  <si>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</si>
  <si>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</si>
  <si>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</si>
  <si>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</si>
  <si>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</si>
  <si>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</si>
  <si>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</si>
  <si>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</si>
  <si>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</si>
  <si>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</si>
  <si>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</si>
  <si>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</si>
  <si>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</si>
  <si>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</si>
  <si>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</si>
  <si>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</si>
  <si>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</si>
  <si>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</si>
  <si>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</si>
  <si>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</si>
  <si>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</si>
  <si>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</si>
  <si>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</si>
  <si>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</si>
  <si>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</si>
  <si>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</si>
  <si>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</si>
  <si>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</si>
  <si>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</si>
  <si>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</si>
  <si>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</si>
  <si>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</si>
  <si>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</si>
  <si>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</si>
  <si>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</si>
  <si>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</si>
  <si>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</si>
  <si>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</si>
  <si>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</si>
  <si>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</si>
  <si>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</si>
  <si>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</si>
  <si>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</si>
  <si>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</si>
  <si>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</si>
  <si>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</si>
  <si>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</si>
  <si>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</si>
  <si>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</si>
  <si>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</si>
  <si>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</si>
  <si>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</si>
  <si>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</si>
  <si>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</si>
  <si>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</si>
  <si>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</si>
  <si>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</si>
  <si>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</si>
  <si>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</si>
  <si>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</si>
  <si>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</si>
  <si>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</si>
  <si>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</si>
  <si>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</si>
  <si>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</si>
  <si>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</si>
  <si>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</si>
  <si>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</si>
  <si>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</si>
  <si>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</si>
  <si>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</si>
  <si>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</si>
  <si>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</si>
  <si>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</si>
  <si>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</si>
  <si>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</si>
  <si>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</si>
  <si>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</si>
  <si>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</si>
  <si>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</si>
  <si>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</si>
  <si>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</si>
  <si>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</si>
  <si>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</si>
  <si>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</si>
  <si>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</si>
  <si>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</si>
  <si>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</si>
  <si>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</si>
  <si>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</si>
  <si>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</si>
  <si>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</si>
  <si>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</si>
  <si>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</si>
  <si>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</si>
  <si>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</si>
  <si>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</si>
  <si>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</si>
  <si>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</si>
  <si>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</si>
  <si>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</si>
  <si>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</si>
  <si>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</si>
  <si>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</si>
  <si>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</si>
  <si>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</si>
  <si>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</si>
  <si>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</si>
  <si>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</si>
  <si>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</si>
  <si>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</si>
  <si>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</si>
  <si>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</si>
  <si>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</si>
  <si>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</si>
  <si>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</si>
  <si>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</si>
  <si>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</si>
  <si>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</si>
  <si>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</si>
  <si>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</si>
  <si>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</si>
  <si>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</si>
  <si>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</si>
  <si>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</si>
  <si>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</si>
  <si>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</si>
  <si>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</si>
  <si>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</si>
  <si>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</si>
  <si>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</si>
  <si>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</si>
  <si>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</si>
  <si>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</si>
  <si>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</si>
  <si>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</si>
  <si>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</si>
  <si>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</si>
  <si>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</si>
  <si>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</si>
  <si>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</si>
  <si>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</si>
  <si>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</si>
  <si>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</si>
  <si>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</si>
  <si>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</si>
  <si>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</si>
  <si>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</si>
  <si>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</si>
  <si>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</si>
  <si>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</si>
  <si>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</si>
  <si>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</si>
  <si>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</si>
  <si>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</si>
  <si>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</si>
  <si>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</si>
  <si>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</si>
  <si>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</si>
  <si>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</si>
  <si>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</si>
  <si>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</si>
  <si>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</si>
  <si>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</si>
  <si>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</si>
  <si>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</si>
  <si>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</si>
  <si>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</si>
  <si>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</si>
  <si>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</si>
  <si>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</si>
  <si>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</si>
  <si>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</si>
  <si>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</si>
  <si>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</si>
  <si>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</si>
  <si>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</si>
  <si>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</si>
  <si>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</si>
  <si>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</si>
  <si>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</si>
  <si>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</si>
  <si>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</si>
  <si>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</si>
  <si>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</si>
  <si>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</si>
  <si>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</si>
  <si>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</si>
  <si>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</si>
  <si>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</si>
  <si>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</si>
  <si>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</si>
  <si>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</si>
  <si>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</si>
  <si>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</si>
  <si>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</si>
  <si>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</si>
  <si>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</si>
  <si>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</si>
  <si>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</si>
  <si>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</si>
  <si>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</si>
  <si>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</si>
  <si>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</si>
  <si>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</si>
  <si>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</si>
  <si>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</si>
  <si>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</si>
  <si>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</si>
  <si>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</si>
  <si>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</si>
  <si>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</si>
  <si>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</si>
  <si>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</si>
  <si>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</si>
  <si>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</si>
  <si>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</si>
  <si>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</si>
  <si>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</si>
  <si>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</si>
  <si>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</si>
  <si>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</si>
  <si>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</si>
  <si>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</si>
  <si>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</si>
  <si>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</si>
  <si>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</si>
  <si>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</si>
  <si>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</si>
  <si>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</si>
  <si>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</si>
  <si>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</si>
  <si>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</si>
  <si>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</si>
  <si>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</si>
  <si>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</si>
  <si>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</si>
  <si>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</si>
  <si>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</si>
  <si>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</si>
  <si>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</si>
  <si>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</si>
  <si>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</si>
  <si>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</si>
  <si>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</si>
  <si>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</si>
  <si>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</si>
  <si>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</si>
  <si>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</si>
  <si>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</si>
  <si>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</si>
  <si>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</si>
  <si>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</si>
  <si>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</si>
  <si>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</si>
  <si>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</si>
  <si>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</si>
  <si>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</si>
  <si>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</si>
  <si>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</si>
  <si>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</si>
  <si>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</si>
  <si>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</si>
  <si>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</si>
  <si>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</si>
  <si>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</si>
  <si>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</si>
  <si>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</si>
  <si>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</si>
  <si>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</si>
  <si>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</si>
  <si>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</si>
  <si>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</si>
  <si>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</si>
  <si>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</si>
  <si>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</si>
  <si>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</si>
  <si>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</si>
  <si>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</si>
  <si>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</si>
  <si>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</si>
  <si>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</si>
  <si>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</si>
  <si>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</si>
  <si>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</si>
  <si>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</si>
  <si>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</si>
  <si>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</si>
  <si>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</si>
  <si>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</si>
  <si>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</si>
  <si>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</si>
  <si>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</si>
  <si>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</si>
  <si>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</si>
  <si>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</si>
  <si>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</si>
  <si>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</si>
  <si>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</si>
  <si>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</si>
  <si>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</si>
  <si>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</si>
  <si>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</si>
  <si>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</si>
  <si>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</si>
  <si>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</si>
  <si>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</si>
  <si>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</si>
  <si>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</si>
  <si>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</si>
  <si>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</si>
  <si>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</si>
  <si>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</si>
  <si>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</si>
  <si>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</si>
  <si>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</si>
  <si>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</si>
  <si>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</si>
  <si>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</si>
  <si>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</si>
  <si>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</si>
  <si>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</si>
  <si>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</si>
  <si>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</si>
  <si>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</si>
  <si>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</si>
  <si>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</si>
  <si>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</si>
  <si>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</si>
  <si>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</si>
  <si>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</si>
  <si>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</si>
  <si>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</si>
  <si>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</si>
  <si>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</si>
  <si>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</si>
  <si>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</si>
  <si>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</si>
  <si>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</si>
  <si>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</si>
  <si>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</si>
  <si>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</si>
  <si>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</si>
  <si>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</si>
  <si>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</si>
  <si>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</si>
  <si>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</si>
  <si>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</si>
  <si>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</si>
  <si>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</si>
  <si>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</si>
  <si>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</si>
  <si>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</si>
  <si>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</si>
  <si>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</si>
  <si>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</si>
  <si>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</si>
  <si>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</si>
  <si>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</si>
  <si>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</si>
  <si>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</si>
  <si>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</si>
  <si>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</si>
  <si>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</si>
  <si>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</si>
  <si>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</si>
  <si>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</si>
  <si>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</si>
  <si>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</si>
  <si>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</si>
  <si>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</si>
  <si>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</si>
  <si>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</si>
  <si>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</si>
  <si>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</si>
  <si>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</si>
  <si>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</si>
  <si>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</si>
  <si>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</si>
  <si>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</si>
  <si>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</si>
  <si>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</si>
  <si>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</si>
  <si>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</si>
  <si>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</si>
  <si>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</si>
  <si>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</si>
  <si>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</si>
  <si>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</si>
  <si>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</si>
  <si>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</si>
  <si>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</si>
  <si>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</si>
  <si>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</si>
  <si>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</si>
  <si>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</si>
  <si>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</si>
  <si>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</si>
  <si>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</si>
  <si>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</si>
  <si>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</si>
  <si>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</si>
  <si>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</si>
  <si>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</si>
  <si>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</si>
  <si>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</si>
  <si>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</si>
  <si>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</si>
  <si>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</si>
  <si>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</si>
  <si>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</si>
  <si>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</si>
  <si>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</si>
  <si>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</si>
  <si>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</si>
  <si>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</si>
  <si>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</si>
  <si>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</si>
  <si>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</si>
  <si>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</si>
  <si>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</si>
  <si>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</si>
  <si>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</si>
  <si>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</si>
  <si>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</si>
  <si>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</si>
  <si>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</si>
  <si>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</si>
  <si>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</si>
  <si>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</si>
  <si>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</si>
  <si>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</si>
  <si>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</si>
  <si>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</si>
  <si>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</si>
  <si>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</si>
  <si>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</si>
  <si>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</si>
  <si>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</si>
  <si>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</si>
  <si>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</si>
  <si>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</si>
  <si>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</si>
  <si>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</si>
  <si>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</si>
  <si>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</si>
  <si>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</si>
  <si>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</si>
  <si>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</si>
  <si>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</si>
  <si>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</si>
  <si>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</si>
  <si>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</si>
  <si>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</si>
  <si>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</si>
  <si>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</si>
  <si>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</si>
  <si>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</si>
  <si>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</si>
  <si>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</si>
  <si>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</si>
  <si>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</si>
  <si>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</si>
  <si>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</si>
  <si>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</si>
  <si>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</si>
  <si>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</si>
  <si>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</si>
  <si>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</si>
  <si>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</si>
  <si>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</si>
  <si>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</si>
  <si>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</si>
  <si>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</si>
  <si>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</si>
  <si>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</si>
  <si>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</si>
  <si>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</si>
  <si>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</si>
  <si>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</si>
  <si>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</si>
  <si>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</si>
  <si>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</si>
  <si>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</si>
  <si>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</si>
  <si>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</si>
  <si>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</si>
  <si>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</si>
  <si>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</si>
  <si>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</si>
  <si>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</si>
  <si>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</si>
  <si>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</si>
  <si>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</si>
  <si>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</si>
  <si>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</si>
  <si>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</si>
  <si>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</si>
  <si>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</si>
  <si>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</si>
  <si>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</si>
  <si>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</si>
  <si>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</si>
  <si>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</si>
  <si>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</si>
  <si>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</si>
  <si>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</si>
  <si>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</si>
  <si>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</si>
  <si>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</si>
  <si>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</si>
  <si>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</si>
  <si>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</si>
  <si>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</si>
  <si>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</si>
  <si>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</si>
  <si>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</si>
  <si>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</si>
  <si>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</si>
  <si>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</si>
  <si>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</si>
  <si>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</si>
  <si>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</si>
  <si>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</si>
  <si>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</si>
  <si>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</si>
  <si>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</si>
  <si>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</si>
  <si>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</si>
  <si>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</si>
  <si>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</si>
  <si>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</si>
  <si>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</si>
  <si>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</si>
  <si>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</si>
  <si>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</si>
  <si>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</si>
  <si>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</si>
  <si>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</si>
  <si>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</si>
  <si>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</si>
  <si>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</si>
  <si>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</si>
  <si>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</si>
  <si>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</si>
  <si>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</si>
  <si>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</si>
  <si>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</si>
  <si>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</si>
  <si>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</si>
  <si>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</si>
  <si>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</si>
  <si>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</si>
  <si>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</si>
  <si>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</si>
  <si>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</si>
  <si>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</si>
  <si>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</si>
  <si>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</si>
  <si>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</si>
  <si>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</si>
  <si>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</si>
  <si>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</si>
  <si>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</si>
  <si>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</si>
  <si>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</si>
  <si>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</si>
  <si>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</si>
  <si>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</si>
  <si>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</si>
  <si>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</si>
  <si>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</si>
  <si>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</si>
  <si>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</si>
  <si>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</si>
  <si>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</si>
  <si>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</si>
  <si>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</si>
  <si>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</si>
  <si>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</si>
  <si>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</si>
  <si>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</si>
  <si>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</si>
  <si>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</si>
  <si>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</si>
  <si>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</si>
  <si>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</si>
  <si>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</si>
  <si>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</si>
  <si>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</si>
  <si>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</si>
  <si>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</si>
  <si>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</si>
  <si>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</si>
  <si>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</si>
  <si>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</si>
  <si>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</si>
  <si>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</si>
  <si>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</si>
  <si>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</si>
  <si>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</si>
  <si>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</si>
  <si>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</si>
  <si>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</si>
  <si>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</si>
  <si>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</si>
  <si>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</si>
  <si>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</si>
  <si>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</si>
  <si>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</si>
  <si>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</si>
  <si>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</si>
  <si>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</si>
  <si>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</si>
  <si>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</si>
  <si>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</si>
  <si>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</si>
  <si>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</si>
  <si>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</si>
  <si>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</si>
  <si>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</si>
  <si>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</si>
  <si>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</si>
  <si>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</si>
  <si>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</si>
  <si>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</si>
  <si>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</si>
  <si>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</si>
  <si>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</si>
  <si>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</si>
  <si>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</si>
  <si>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</si>
  <si>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</si>
  <si>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</si>
  <si>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</si>
  <si>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</si>
  <si>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</si>
  <si>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</si>
  <si>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</si>
  <si>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</si>
  <si>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</si>
  <si>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</si>
  <si>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</si>
  <si>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</si>
  <si>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</si>
  <si>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</si>
  <si>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</si>
  <si>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</si>
  <si>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</si>
  <si>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</si>
  <si>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</si>
  <si>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</si>
  <si>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</si>
  <si>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</si>
  <si>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</si>
  <si>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</si>
  <si>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</si>
  <si>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</si>
  <si>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</si>
  <si>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</si>
  <si>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</si>
  <si>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</si>
  <si>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</si>
  <si>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</si>
  <si>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</si>
  <si>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</si>
  <si>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</si>
  <si>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</si>
  <si>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</si>
  <si>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</si>
  <si>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</si>
  <si>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</si>
  <si>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</si>
  <si>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</si>
  <si>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</si>
  <si>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</si>
  <si>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</si>
  <si>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</si>
  <si>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</si>
  <si>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</si>
  <si>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</si>
  <si>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</si>
  <si>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</si>
  <si>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</si>
  <si>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</si>
  <si>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</si>
  <si>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</si>
  <si>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</si>
  <si>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</si>
  <si>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</si>
  <si>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</si>
  <si>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</si>
  <si>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</si>
  <si>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</si>
  <si>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</si>
  <si>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</si>
  <si>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</si>
  <si>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</si>
  <si>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</si>
  <si>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</si>
  <si>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</si>
  <si>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</si>
  <si>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</si>
  <si>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</si>
  <si>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</si>
  <si>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</si>
  <si>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</si>
  <si>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</si>
  <si>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</si>
  <si>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</si>
  <si>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</si>
  <si>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</si>
  <si>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</si>
  <si>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</si>
  <si>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</si>
  <si>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</si>
  <si>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</si>
  <si>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</si>
  <si>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</si>
  <si>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</si>
  <si>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</si>
  <si>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</si>
  <si>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</si>
  <si>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</si>
  <si>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</si>
  <si>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</si>
  <si>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</si>
  <si>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</si>
  <si>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</si>
  <si>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</si>
  <si>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</si>
  <si>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</si>
  <si>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</si>
  <si>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</si>
  <si>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</si>
  <si>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</si>
  <si>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</si>
  <si>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</si>
  <si>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</si>
  <si>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</si>
  <si>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</si>
  <si>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</si>
  <si>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</si>
  <si>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</si>
  <si>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</si>
  <si>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</si>
  <si>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</si>
  <si>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</si>
  <si>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</si>
  <si>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</si>
  <si>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</si>
  <si>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</si>
  <si>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</si>
  <si>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</si>
  <si>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</si>
  <si>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</si>
  <si>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</si>
  <si>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</si>
  <si>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</si>
  <si>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</si>
  <si>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</si>
  <si>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</si>
  <si>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</si>
  <si>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</si>
  <si>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</si>
  <si>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</si>
  <si>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</si>
  <si>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</si>
  <si>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</si>
  <si>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</si>
  <si>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</si>
  <si>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</si>
  <si>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</si>
  <si>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</si>
  <si>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</si>
  <si>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</si>
  <si>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</si>
  <si>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</si>
  <si>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</si>
  <si>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</si>
  <si>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</si>
  <si>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</si>
  <si>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</si>
  <si>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</si>
  <si>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</si>
  <si>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</si>
  <si>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</si>
  <si>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</si>
  <si>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</si>
  <si>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</si>
  <si>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</si>
  <si>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</si>
  <si>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</si>
  <si>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</si>
  <si>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</si>
  <si>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</si>
  <si>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</si>
  <si>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</si>
  <si>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</si>
  <si>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</si>
  <si>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</si>
  <si>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</si>
  <si>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</si>
  <si>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</si>
  <si>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</si>
  <si>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</si>
  <si>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</si>
  <si>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</si>
  <si>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</si>
  <si>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</si>
  <si>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</si>
  <si>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</si>
  <si>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</si>
  <si>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</si>
  <si>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</si>
  <si>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</si>
  <si>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</si>
  <si>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</si>
  <si>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</si>
  <si>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</si>
  <si>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</si>
  <si>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</si>
  <si>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</si>
  <si>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</si>
  <si>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</si>
  <si>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</si>
  <si>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</si>
  <si>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</si>
  <si>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</si>
  <si>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</si>
  <si>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</si>
  <si>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</si>
  <si>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</si>
  <si>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</si>
  <si>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</si>
  <si>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</si>
  <si>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</si>
  <si>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</si>
  <si>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</si>
  <si>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</si>
  <si>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</si>
  <si>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</si>
  <si>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</si>
  <si>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</si>
  <si>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</si>
  <si>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</si>
  <si>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</si>
  <si>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</si>
  <si>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</si>
  <si>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</si>
  <si>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</si>
  <si>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</si>
  <si>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</si>
  <si>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</si>
  <si>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</si>
  <si>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</si>
  <si>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</si>
  <si>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</si>
  <si>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</si>
  <si>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</si>
  <si>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</si>
  <si>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</si>
  <si>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</si>
  <si>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</si>
  <si>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</si>
  <si>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</si>
  <si>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</si>
  <si>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</si>
  <si>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</si>
  <si>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</si>
  <si>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</si>
  <si>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</si>
  <si>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</si>
  <si>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</si>
  <si>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</si>
  <si>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</si>
  <si>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</si>
  <si>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</si>
  <si>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</si>
  <si>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</si>
  <si>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</si>
  <si>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</si>
  <si>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</si>
  <si>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</si>
  <si>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</si>
  <si>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</si>
  <si>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</si>
  <si>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</si>
  <si>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</si>
  <si>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</si>
  <si>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</si>
  <si>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</si>
  <si>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</si>
  <si>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</si>
  <si>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</si>
  <si>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</si>
  <si>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</si>
  <si>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</si>
  <si>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</si>
  <si>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</si>
  <si>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</si>
  <si>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</si>
  <si>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</si>
  <si>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</si>
  <si>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</si>
  <si>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</si>
  <si>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</si>
  <si>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</si>
  <si>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</si>
  <si>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</si>
  <si>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</si>
  <si>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</si>
  <si>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</si>
  <si>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</si>
  <si>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</si>
  <si>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</si>
  <si>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</si>
  <si>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</si>
  <si>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</si>
  <si>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</si>
  <si>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</si>
  <si>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</si>
  <si>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</si>
  <si>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</si>
  <si>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</si>
  <si>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</si>
  <si>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</si>
  <si>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</si>
  <si>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</si>
  <si>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</si>
  <si>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</si>
  <si>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</si>
  <si>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</si>
  <si>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</si>
  <si>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</si>
  <si>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</si>
  <si>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</si>
  <si>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</si>
  <si>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</si>
  <si>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</si>
  <si>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</si>
  <si>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</si>
  <si>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</si>
  <si>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</si>
  <si>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</si>
  <si>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</si>
  <si>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</si>
  <si>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</si>
  <si>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</si>
  <si>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</si>
  <si>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</si>
  <si>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</si>
  <si>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</si>
  <si>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</si>
  <si>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</si>
  <si>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</si>
  <si>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</si>
  <si>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</si>
  <si>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</si>
  <si>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</si>
  <si>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</si>
  <si>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</si>
  <si>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</si>
  <si>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</si>
  <si>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</si>
  <si>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</si>
  <si>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</si>
  <si>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</si>
  <si>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</si>
  <si>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</si>
  <si>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</si>
  <si>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</si>
  <si>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</si>
  <si>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</si>
  <si>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</si>
  <si>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</si>
  <si>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</si>
  <si>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</si>
  <si>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</si>
  <si>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</si>
  <si>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</si>
  <si>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</si>
  <si>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</si>
  <si>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</si>
  <si>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</si>
  <si>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</si>
  <si>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</si>
  <si>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</si>
  <si>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</si>
  <si>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</si>
  <si>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</si>
  <si>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</si>
  <si>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</si>
  <si>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</si>
  <si>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</si>
  <si>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</si>
  <si>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</si>
  <si>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</si>
  <si>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</si>
  <si>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</si>
  <si>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</si>
  <si>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</si>
  <si>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</si>
  <si>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</si>
  <si>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</si>
  <si>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</si>
  <si>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</si>
  <si>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</si>
  <si>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</si>
  <si>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</si>
  <si>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</si>
  <si>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</si>
  <si>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</si>
  <si>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</si>
  <si>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</si>
  <si>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</si>
  <si>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</si>
  <si>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</si>
  <si>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</si>
  <si>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</si>
  <si>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</si>
  <si>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</si>
  <si>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</si>
  <si>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</si>
  <si>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</si>
  <si>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</si>
  <si>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</si>
  <si>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</si>
  <si>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</si>
  <si>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</si>
  <si>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</si>
  <si>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</si>
  <si>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</si>
  <si>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</si>
  <si>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</si>
  <si>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</si>
  <si>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</si>
  <si>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</si>
  <si>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</si>
  <si>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</si>
  <si>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</si>
  <si>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</si>
  <si>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</si>
  <si>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</si>
  <si>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</si>
  <si>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</si>
  <si>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</si>
  <si>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</si>
  <si>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</si>
  <si>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</si>
  <si>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</si>
  <si>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</si>
  <si>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</si>
  <si>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</si>
  <si>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</si>
  <si>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</si>
  <si>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</si>
  <si>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</si>
  <si>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</si>
  <si>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</si>
  <si>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</si>
  <si>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</si>
  <si>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</si>
  <si>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</si>
  <si>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</si>
  <si>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</si>
  <si>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</si>
  <si>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</si>
  <si>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</si>
  <si>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</si>
  <si>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</si>
  <si>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</si>
  <si>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</si>
  <si>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</si>
  <si>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</si>
  <si>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</si>
  <si>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</si>
  <si>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</si>
  <si>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</si>
  <si>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</si>
  <si>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</si>
  <si>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</si>
  <si>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</si>
  <si>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</si>
  <si>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</si>
  <si>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</si>
  <si>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</si>
  <si>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</si>
  <si>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</si>
  <si>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</si>
  <si>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</si>
  <si>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</si>
  <si>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</si>
  <si>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</si>
  <si>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</si>
  <si>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</si>
  <si>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</si>
  <si>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</si>
  <si>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</si>
  <si>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</si>
  <si>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</si>
  <si>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</si>
  <si>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</si>
  <si>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</si>
  <si>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</si>
  <si>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</si>
  <si>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</si>
  <si>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</si>
  <si>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</si>
  <si>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</si>
  <si>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</si>
  <si>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</si>
  <si>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</si>
  <si>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</si>
  <si>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</si>
  <si>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</si>
  <si>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</si>
  <si>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</si>
  <si>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</si>
  <si>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</si>
  <si>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</si>
  <si>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</si>
  <si>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</si>
  <si>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</si>
  <si>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</si>
  <si>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</si>
  <si>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</si>
  <si>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</si>
  <si>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</si>
  <si>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</si>
  <si>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</si>
  <si>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</si>
  <si>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</si>
  <si>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</si>
  <si>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</si>
  <si>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</si>
  <si>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</si>
  <si>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</si>
  <si>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</si>
  <si>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</si>
  <si>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</si>
  <si>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</si>
  <si>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</si>
  <si>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</si>
  <si>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</si>
  <si>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</si>
  <si>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</si>
  <si>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</si>
  <si>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</si>
  <si>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</si>
  <si>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</si>
  <si>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</si>
  <si>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</si>
  <si>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</si>
  <si>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</si>
  <si>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</si>
  <si>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</si>
  <si>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</si>
  <si>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</si>
  <si>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</si>
  <si>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</si>
  <si>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</si>
  <si>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</si>
  <si>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</si>
  <si>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</si>
  <si>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</si>
  <si>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</si>
  <si>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</si>
  <si>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</si>
  <si>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</si>
  <si>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</si>
  <si>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</si>
  <si>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</si>
  <si>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</si>
  <si>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</si>
  <si>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</si>
  <si>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</si>
  <si>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</si>
  <si>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</si>
  <si>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</si>
  <si>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</si>
  <si>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</si>
  <si>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</si>
  <si>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</si>
  <si>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</si>
  <si>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</si>
  <si>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</si>
  <si>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</si>
  <si>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</si>
  <si>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</si>
  <si>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</si>
  <si>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</si>
  <si>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</si>
  <si>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</si>
  <si>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</si>
  <si>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</si>
  <si>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</si>
  <si>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</si>
  <si>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</si>
  <si>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</si>
  <si>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</si>
  <si>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</si>
  <si>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</si>
  <si>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</si>
  <si>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</si>
  <si>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</si>
  <si>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</si>
  <si>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</si>
  <si>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</si>
  <si>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</si>
  <si>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</si>
  <si>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</si>
  <si>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</si>
  <si>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</si>
  <si>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</si>
  <si>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</si>
  <si>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</si>
  <si>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</si>
  <si>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</si>
  <si>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</si>
  <si>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</si>
  <si>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</si>
  <si>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</si>
  <si>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</si>
  <si>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</si>
  <si>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</si>
  <si>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</si>
  <si>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</si>
  <si>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</si>
  <si>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</si>
  <si>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</si>
  <si>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</si>
  <si>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</si>
  <si>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</si>
  <si>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</si>
  <si>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</si>
  <si>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</si>
  <si>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</si>
  <si>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</si>
  <si>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</si>
  <si>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</si>
  <si>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</si>
  <si>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</si>
  <si>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</si>
  <si>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</si>
  <si>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</si>
  <si>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</si>
  <si>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</si>
  <si>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</si>
  <si>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</si>
  <si>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</si>
  <si>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</si>
  <si>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</si>
  <si>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</si>
  <si>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</si>
  <si>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</si>
  <si>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</si>
  <si>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</si>
  <si>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</si>
  <si>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</si>
  <si>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</si>
  <si>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</si>
  <si>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</si>
  <si>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</si>
  <si>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</si>
  <si>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</si>
  <si>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</si>
  <si>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</si>
  <si>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</si>
  <si>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</si>
  <si>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</si>
  <si>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</si>
  <si>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</si>
  <si>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</si>
  <si>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</si>
  <si>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</si>
  <si>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</si>
  <si>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</si>
  <si>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</si>
  <si>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</si>
  <si>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</si>
  <si>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</si>
  <si>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</si>
  <si>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</si>
  <si>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</si>
  <si>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</si>
  <si>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</si>
  <si>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</si>
  <si>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</si>
  <si>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</si>
  <si>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</si>
  <si>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</si>
  <si>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</si>
  <si>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</si>
  <si>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</si>
  <si>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</si>
  <si>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</si>
  <si>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</si>
  <si>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</si>
  <si>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</si>
  <si>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</si>
  <si>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</si>
  <si>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</si>
  <si>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</si>
  <si>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</si>
  <si>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</si>
  <si>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</si>
  <si>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</si>
  <si>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</si>
  <si>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</si>
  <si>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</si>
  <si>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</si>
  <si>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</si>
  <si>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</si>
  <si>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</si>
  <si>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</si>
  <si>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</si>
  <si>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</si>
  <si>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</si>
  <si>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</si>
  <si>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</si>
  <si>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</si>
  <si>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</si>
  <si>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</si>
  <si>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</si>
  <si>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</si>
  <si>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</si>
  <si>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</si>
  <si>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</si>
  <si>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</si>
  <si>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</si>
  <si>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</si>
  <si>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</si>
  <si>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</si>
  <si>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</si>
  <si>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</si>
  <si>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</si>
  <si>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</si>
  <si>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</si>
  <si>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</si>
  <si>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</si>
  <si>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</si>
  <si>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</si>
  <si>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</si>
  <si>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</si>
  <si>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</si>
  <si>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</si>
  <si>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</si>
  <si>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</si>
  <si>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</si>
  <si>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</si>
  <si>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</si>
  <si>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</si>
  <si>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</si>
  <si>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</si>
  <si>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</si>
  <si>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</si>
  <si>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</si>
  <si>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</si>
  <si>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</si>
  <si>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</si>
  <si>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</si>
  <si>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</si>
  <si>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</si>
  <si>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</si>
  <si>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</si>
  <si>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</si>
  <si>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</si>
  <si>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</si>
  <si>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</si>
  <si>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</si>
  <si>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</si>
  <si>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</si>
  <si>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</si>
  <si>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</si>
  <si>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</si>
  <si>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</si>
  <si>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</si>
  <si>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</si>
  <si>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</si>
  <si>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</si>
  <si>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</si>
  <si>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</si>
  <si>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</si>
  <si>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</si>
  <si>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</si>
  <si>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</si>
  <si>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</si>
  <si>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</si>
  <si>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</si>
  <si>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</si>
  <si>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</si>
  <si>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</si>
  <si>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</si>
  <si>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</si>
  <si>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</si>
  <si>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</si>
  <si>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</si>
  <si>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</si>
  <si>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</si>
  <si>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</si>
  <si>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</si>
  <si>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</si>
  <si>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</si>
  <si>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</si>
  <si>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</si>
  <si>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</si>
  <si>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</si>
  <si>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</si>
  <si>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</si>
  <si>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</si>
  <si>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</si>
  <si>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</si>
  <si>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</si>
  <si>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</si>
  <si>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</si>
  <si>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</si>
  <si>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</si>
  <si>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</si>
  <si>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</si>
  <si>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</si>
  <si>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</si>
  <si>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</si>
  <si>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</si>
  <si>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</si>
  <si>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</si>
  <si>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</si>
  <si>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</si>
  <si>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</si>
  <si>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</si>
  <si>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</si>
  <si>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</si>
  <si>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</si>
  <si>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</si>
  <si>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</si>
  <si>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</si>
  <si>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</si>
  <si>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</si>
  <si>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</si>
  <si>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</si>
  <si>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</si>
  <si>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</si>
  <si>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</si>
  <si>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</si>
  <si>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</si>
  <si>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</si>
  <si>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</si>
  <si>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</si>
  <si>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</si>
  <si>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</si>
  <si>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</si>
  <si>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</si>
  <si>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</si>
  <si>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</si>
  <si>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</si>
  <si>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</si>
  <si>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</si>
  <si>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</si>
  <si>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</si>
  <si>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</si>
  <si>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</si>
  <si>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</si>
  <si>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</si>
  <si>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</si>
  <si>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</si>
  <si>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</si>
  <si>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</si>
  <si>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</si>
  <si>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</si>
  <si>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</si>
  <si>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</si>
  <si>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</si>
  <si>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</si>
  <si>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</si>
  <si>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</si>
  <si>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</si>
  <si>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</si>
  <si>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</si>
  <si>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</si>
  <si>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</si>
  <si>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</si>
  <si>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</si>
  <si>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</si>
  <si>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</si>
  <si>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</si>
  <si>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</si>
  <si>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</si>
  <si>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</si>
  <si>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</si>
  <si>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</si>
  <si>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</si>
  <si>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</si>
  <si>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</si>
  <si>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</si>
  <si>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</si>
  <si>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</si>
  <si>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</si>
  <si>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</si>
  <si>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</si>
  <si>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</si>
  <si>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</si>
  <si>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</si>
  <si>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</si>
  <si>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</si>
  <si>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</si>
  <si>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</si>
  <si>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</si>
  <si>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</si>
  <si>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</si>
  <si>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</si>
  <si>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</si>
  <si>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</si>
  <si>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</si>
  <si>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</si>
  <si>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</si>
  <si>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</si>
  <si>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</si>
  <si>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</si>
  <si>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</si>
  <si>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</si>
  <si>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</si>
  <si>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</si>
  <si>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</si>
  <si>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</si>
  <si>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</si>
  <si>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</si>
  <si>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</si>
  <si>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</si>
  <si>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</si>
  <si>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</si>
  <si>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</si>
  <si>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</si>
  <si>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</si>
  <si>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</si>
  <si>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</si>
  <si>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</si>
  <si>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</si>
  <si>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</si>
  <si>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</si>
  <si>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</si>
  <si>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</si>
  <si>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</si>
  <si>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</si>
  <si>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</si>
  <si>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</si>
  <si>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</si>
  <si>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</si>
  <si>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</si>
  <si>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</si>
  <si>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</si>
  <si>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</si>
  <si>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</si>
  <si>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</si>
  <si>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</si>
  <si>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</si>
  <si>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</si>
  <si>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</si>
  <si>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</si>
  <si>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</si>
  <si>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</si>
  <si>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</si>
  <si>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</si>
  <si>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</si>
  <si>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</si>
  <si>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</si>
  <si>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</si>
  <si>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</si>
  <si>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</si>
  <si>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</si>
  <si>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</si>
  <si>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</si>
  <si>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</si>
  <si>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</si>
  <si>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</si>
  <si>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</si>
  <si>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</si>
  <si>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</si>
  <si>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</si>
  <si>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</si>
  <si>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</si>
  <si>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</si>
  <si>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</si>
  <si>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</si>
  <si>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</si>
  <si>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</si>
  <si>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</si>
  <si>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</si>
  <si>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</si>
  <si>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</si>
  <si>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</si>
  <si>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</si>
  <si>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</si>
  <si>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</si>
  <si>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</si>
  <si>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</si>
  <si>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</si>
  <si>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</si>
  <si>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</si>
  <si>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</si>
  <si>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</si>
  <si>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</si>
  <si>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</si>
  <si>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</si>
  <si>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</si>
  <si>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</si>
  <si>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</si>
  <si>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</si>
  <si>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</si>
  <si>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</si>
  <si>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</si>
  <si>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</si>
  <si>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</si>
  <si>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</si>
  <si>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</si>
  <si>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</si>
  <si>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</si>
  <si>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</si>
  <si>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</si>
  <si>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</si>
  <si>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</si>
  <si>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</si>
  <si>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</si>
  <si>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</si>
  <si>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</si>
  <si>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</si>
  <si>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</si>
  <si>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</si>
  <si>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</si>
  <si>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</si>
  <si>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</si>
  <si>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</si>
  <si>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</si>
  <si>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</si>
  <si>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</si>
  <si>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</si>
  <si>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</si>
  <si>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</si>
  <si>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</si>
  <si>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</si>
  <si>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</si>
  <si>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</si>
  <si>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</si>
  <si>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</si>
  <si>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</si>
  <si>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</si>
  <si>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</si>
  <si>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</si>
  <si>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</si>
  <si>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</si>
  <si>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</si>
  <si>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</si>
  <si>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</si>
  <si>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</si>
  <si>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</si>
  <si>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</si>
  <si>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</si>
  <si>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</si>
  <si>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</si>
  <si>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</si>
  <si>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</si>
  <si>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</si>
  <si>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</si>
  <si>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</si>
  <si>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</si>
  <si>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</si>
  <si>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</si>
  <si>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</si>
  <si>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</si>
  <si>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</si>
  <si>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</si>
  <si>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</si>
  <si>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</si>
  <si>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</si>
  <si>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</si>
  <si>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</si>
  <si>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</si>
  <si>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</si>
  <si>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</si>
  <si>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</si>
  <si>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</si>
  <si>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</si>
  <si>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</si>
  <si>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</si>
  <si>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</si>
  <si>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</si>
  <si>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</si>
  <si>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</si>
  <si>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</si>
  <si>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</si>
  <si>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</si>
  <si>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</si>
  <si>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</si>
  <si>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</si>
  <si>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</si>
  <si>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</si>
  <si>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</si>
  <si>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</si>
  <si>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</si>
  <si>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</si>
  <si>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</si>
  <si>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</si>
  <si>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</si>
  <si>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</si>
  <si>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</si>
  <si>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</si>
  <si>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</si>
  <si>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</si>
  <si>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</si>
  <si>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</si>
  <si>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</si>
  <si>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</si>
  <si>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</si>
  <si>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</si>
  <si>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</si>
  <si>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</si>
  <si>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</si>
  <si>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</si>
  <si>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</si>
  <si>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</si>
  <si>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</si>
  <si>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</si>
  <si>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</si>
  <si>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</si>
  <si>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</si>
  <si>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</si>
  <si>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</si>
  <si>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</si>
  <si>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</si>
  <si>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</si>
  <si>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</si>
  <si>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</si>
  <si>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</si>
  <si>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</si>
  <si>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</si>
  <si>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</si>
  <si>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</si>
  <si>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</si>
  <si>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</si>
  <si>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</si>
  <si>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</si>
  <si>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</si>
  <si>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</si>
  <si>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</si>
  <si>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</si>
  <si>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</si>
  <si>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</si>
  <si>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</si>
  <si>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</si>
  <si>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</si>
  <si>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</si>
  <si>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</si>
  <si>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</si>
  <si>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</si>
  <si>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</si>
  <si>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</si>
  <si>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</si>
  <si>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</si>
  <si>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</si>
  <si>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</si>
  <si>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</si>
  <si>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</si>
  <si>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</si>
  <si>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</si>
  <si>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</si>
  <si>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</si>
  <si>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</si>
  <si>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</si>
  <si>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</si>
  <si>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</si>
  <si>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</si>
  <si>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</si>
  <si>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</si>
  <si>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</si>
  <si>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</si>
  <si>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</si>
  <si>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</si>
  <si>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</si>
  <si>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</si>
  <si>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</si>
  <si>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</si>
  <si>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</si>
  <si>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</si>
  <si>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</si>
  <si>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</si>
  <si>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</si>
  <si>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</si>
  <si>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</si>
  <si>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</si>
  <si>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</si>
  <si>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</si>
  <si>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</si>
  <si>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</si>
  <si>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</si>
  <si>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</si>
  <si>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</si>
  <si>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</si>
  <si>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</si>
  <si>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</si>
  <si>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</si>
  <si>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</si>
  <si>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</si>
  <si>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</si>
  <si>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</si>
  <si>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</si>
  <si>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</si>
  <si>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</si>
  <si>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</si>
  <si>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</si>
  <si>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</si>
  <si>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</si>
  <si>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</si>
  <si>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</si>
  <si>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</si>
  <si>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</si>
  <si>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</si>
  <si>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</si>
  <si>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</si>
  <si>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</si>
  <si>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</si>
  <si>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</si>
  <si>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</si>
  <si>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</si>
  <si>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</si>
  <si>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</si>
  <si>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</si>
  <si>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</si>
  <si>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</si>
  <si>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</si>
  <si>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</si>
  <si>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</si>
  <si>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</si>
  <si>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</si>
  <si>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</si>
  <si>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</si>
  <si>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</si>
  <si>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</si>
  <si>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</si>
  <si>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</si>
  <si>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</si>
  <si>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</si>
  <si>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</si>
  <si>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</si>
  <si>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</si>
  <si>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</si>
  <si>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</si>
  <si>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</si>
  <si>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</si>
  <si>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</si>
  <si>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</si>
  <si>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</si>
  <si>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</si>
  <si>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</si>
  <si>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</si>
  <si>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</si>
  <si>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</si>
  <si>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</si>
  <si>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</si>
  <si>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</si>
  <si>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</si>
  <si>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</si>
  <si>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</si>
  <si>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</si>
  <si>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</si>
  <si>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</si>
  <si>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</si>
  <si>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</si>
  <si>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</si>
  <si>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</si>
  <si>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</si>
  <si>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</si>
  <si>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</si>
  <si>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</si>
  <si>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</si>
  <si>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</si>
  <si>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</si>
  <si>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</si>
  <si>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</si>
  <si>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</si>
  <si>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</si>
  <si>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</si>
  <si>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</si>
  <si>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</si>
  <si>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</si>
  <si>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</si>
  <si>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</si>
  <si>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</si>
  <si>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</si>
  <si>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</si>
  <si>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</si>
  <si>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</si>
  <si>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</si>
  <si>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</si>
  <si>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</si>
  <si>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</si>
  <si>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</si>
  <si>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</si>
  <si>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</si>
  <si>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</si>
  <si>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</si>
  <si>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</si>
  <si>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</si>
  <si>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</si>
  <si>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</si>
  <si>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</si>
  <si>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</si>
  <si>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</si>
  <si>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</si>
  <si>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</si>
  <si>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</si>
  <si>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</si>
  <si>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</si>
  <si>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</si>
  <si>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</si>
  <si>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</si>
  <si>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</si>
  <si>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</si>
  <si>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</si>
  <si>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</si>
  <si>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</si>
  <si>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</si>
  <si>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</si>
  <si>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</si>
  <si>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</si>
  <si>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</si>
  <si>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</si>
  <si>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</si>
  <si>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</si>
  <si>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</si>
  <si>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</si>
  <si>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</si>
  <si>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</si>
  <si>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</si>
  <si>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</si>
  <si>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</si>
  <si>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</si>
  <si>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</si>
  <si>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</si>
  <si>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</si>
  <si>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</si>
  <si>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</si>
  <si>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</si>
  <si>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</si>
  <si>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</si>
  <si>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</si>
  <si>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</si>
  <si>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</si>
  <si>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</si>
  <si>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</si>
  <si>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</si>
  <si>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</si>
  <si>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</si>
  <si>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</si>
  <si>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</si>
  <si>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</si>
  <si>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</si>
  <si>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</si>
  <si>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</si>
  <si>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</si>
  <si>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</si>
  <si>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</si>
  <si>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</si>
  <si>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</si>
  <si>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</si>
  <si>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</si>
  <si>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</si>
  <si>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</si>
  <si>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</si>
  <si>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</si>
  <si>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</si>
  <si>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</si>
  <si>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</si>
  <si>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</si>
  <si>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</si>
  <si>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</si>
  <si>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</si>
  <si>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</si>
  <si>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</si>
  <si>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</si>
  <si>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</si>
  <si>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</si>
  <si>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</si>
  <si>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</si>
  <si>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</si>
  <si>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</si>
  <si>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</si>
  <si>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</si>
  <si>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</si>
  <si>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</si>
  <si>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</si>
  <si>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</si>
  <si>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</si>
  <si>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</si>
  <si>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</si>
  <si>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</si>
  <si>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</si>
  <si>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</si>
  <si>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</si>
  <si>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</si>
  <si>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</si>
  <si>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</si>
  <si>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</si>
  <si>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</si>
  <si>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</si>
  <si>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</si>
  <si>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</si>
  <si>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</si>
  <si>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</si>
  <si>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</si>
  <si>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</si>
  <si>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</si>
  <si>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</si>
  <si>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</si>
  <si>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</si>
  <si>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</si>
  <si>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</si>
  <si>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</si>
  <si>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</si>
  <si>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</si>
  <si>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</si>
  <si>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</si>
  <si>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</si>
  <si>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</si>
  <si>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</si>
  <si>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</si>
  <si>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</si>
  <si>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</si>
  <si>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</si>
  <si>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</si>
  <si>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</si>
  <si>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</si>
  <si>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</si>
  <si>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</si>
  <si>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</si>
  <si>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</si>
  <si>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</si>
  <si>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</si>
  <si>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</si>
  <si>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</si>
  <si>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</si>
  <si>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</si>
  <si>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</si>
  <si>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</si>
  <si>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</si>
  <si>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</si>
  <si>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</si>
  <si>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</si>
  <si>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</si>
  <si>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</si>
  <si>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</si>
  <si>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</si>
  <si>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</si>
  <si>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</si>
  <si>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</si>
  <si>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</si>
  <si>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</si>
  <si>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</si>
  <si>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</si>
  <si>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</si>
  <si>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</si>
  <si>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</si>
  <si>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</si>
  <si>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</si>
  <si>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</si>
  <si>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</si>
  <si>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</si>
  <si>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</si>
  <si>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</si>
  <si>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</si>
  <si>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</si>
  <si>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</si>
  <si>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</si>
  <si>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</si>
  <si>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</si>
  <si>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</si>
  <si>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</si>
  <si>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</si>
  <si>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</si>
  <si>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</si>
  <si>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</si>
  <si>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</si>
  <si>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</si>
  <si>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</si>
  <si>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</si>
  <si>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</si>
  <si>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</si>
  <si>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</si>
  <si>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</si>
  <si>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</si>
  <si>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</si>
  <si>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</si>
  <si>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</si>
  <si>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</si>
  <si>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</si>
  <si>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</si>
  <si>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</si>
  <si>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</si>
  <si>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</si>
  <si>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</si>
  <si>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</si>
  <si>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</si>
  <si>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</si>
  <si>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</si>
  <si>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</si>
  <si>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</si>
  <si>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</si>
  <si>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</si>
  <si>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</si>
  <si>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</si>
  <si>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</si>
  <si>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</si>
  <si>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</si>
  <si>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</si>
  <si>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</si>
  <si>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</si>
  <si>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</si>
  <si>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</si>
  <si>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</si>
  <si>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</si>
  <si>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</si>
  <si>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</si>
  <si>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</si>
  <si>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</si>
  <si>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</si>
  <si>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</si>
  <si>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</si>
  <si>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</si>
  <si>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</si>
  <si>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</si>
  <si>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</si>
  <si>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</si>
  <si>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</si>
  <si>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</si>
  <si>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</si>
  <si>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</si>
  <si>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</si>
  <si>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</si>
  <si>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</si>
  <si>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</si>
  <si>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</si>
  <si>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</si>
  <si>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</si>
  <si>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</si>
  <si>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</si>
  <si>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</si>
  <si>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</si>
  <si>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</si>
  <si>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</si>
  <si>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</si>
  <si>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</si>
  <si>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</si>
  <si>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</si>
  <si>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</si>
  <si>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</si>
  <si>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</si>
  <si>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</si>
  <si>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</si>
  <si>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</si>
  <si>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</si>
  <si>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</si>
  <si>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</si>
  <si>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</si>
  <si>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</si>
  <si>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</si>
  <si>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</si>
  <si>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</si>
  <si>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</si>
  <si>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</si>
  <si>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</si>
  <si>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</si>
  <si>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</si>
  <si>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</si>
  <si>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</si>
  <si>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</si>
  <si>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</si>
  <si>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</si>
  <si>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</si>
  <si>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</si>
  <si>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</si>
  <si>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</si>
  <si>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</si>
  <si>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</si>
  <si>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</si>
  <si>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</si>
  <si>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</si>
  <si>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</si>
  <si>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</si>
  <si>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</si>
  <si>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</si>
  <si>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</si>
  <si>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</si>
  <si>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</si>
  <si>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</si>
  <si>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</si>
  <si>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</si>
  <si>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</si>
  <si>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</si>
  <si>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</si>
  <si>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</si>
  <si>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</si>
  <si>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</si>
  <si>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</si>
  <si>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</si>
  <si>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</si>
  <si>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</si>
  <si>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</si>
  <si>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</si>
  <si>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</si>
  <si>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</si>
  <si>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</si>
  <si>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</si>
  <si>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</si>
  <si>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</si>
  <si>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</si>
  <si>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</si>
  <si>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</si>
  <si>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</si>
  <si>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</si>
  <si>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</si>
  <si>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</si>
  <si>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</si>
  <si>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</si>
  <si>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</si>
  <si>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</si>
  <si>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</si>
  <si>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</si>
  <si>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</si>
  <si>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</si>
  <si>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</si>
  <si>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</si>
  <si>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</si>
  <si>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</si>
  <si>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</si>
  <si>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</si>
  <si>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</si>
  <si>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</si>
  <si>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</si>
  <si>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</si>
  <si>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</si>
  <si>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</si>
  <si>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</si>
  <si>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</si>
  <si>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</si>
  <si>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</si>
  <si>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</si>
  <si>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</si>
  <si>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</si>
  <si>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</si>
  <si>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</si>
  <si>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</si>
  <si>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</si>
  <si>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</si>
  <si>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</si>
  <si>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</si>
  <si>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</si>
  <si>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</si>
  <si>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</si>
  <si>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</si>
  <si>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</si>
  <si>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</si>
  <si>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</si>
  <si>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</si>
  <si>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</si>
  <si>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</si>
  <si>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</si>
  <si>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</si>
  <si>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</si>
  <si>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</si>
  <si>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</si>
  <si>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</si>
  <si>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</si>
  <si>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</si>
  <si>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</si>
  <si>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</si>
  <si>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</si>
  <si>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</si>
  <si>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</si>
  <si>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</si>
  <si>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</si>
  <si>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</si>
  <si>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</si>
  <si>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</si>
  <si>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</si>
  <si>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</si>
  <si>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</si>
  <si>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</si>
  <si>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</si>
  <si>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</si>
  <si>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</si>
  <si>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</si>
  <si>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</si>
  <si>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</si>
  <si>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</si>
  <si>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</si>
  <si>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</si>
  <si>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</si>
  <si>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</si>
  <si>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</si>
  <si>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</si>
  <si>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</si>
  <si>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</si>
  <si>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</si>
  <si>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</si>
  <si>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</si>
  <si>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</si>
  <si>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</si>
  <si>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</si>
  <si>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</si>
  <si>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</si>
  <si>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</si>
  <si>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</si>
  <si>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</si>
  <si>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</si>
  <si>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</si>
  <si>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</si>
  <si>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</si>
  <si>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</si>
  <si>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</si>
  <si>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</si>
  <si>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</si>
  <si>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</si>
  <si>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</si>
  <si>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</si>
  <si>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</si>
  <si>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</si>
  <si>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</si>
  <si>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</si>
  <si>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</si>
  <si>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</si>
  <si>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</si>
  <si>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</si>
  <si>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</si>
  <si>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</si>
  <si>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</si>
  <si>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</si>
  <si>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</si>
  <si>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</si>
  <si>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</si>
  <si>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</si>
  <si>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</si>
  <si>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</si>
  <si>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</si>
  <si>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</si>
  <si>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</si>
  <si>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</si>
  <si>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</si>
  <si>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</si>
  <si>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</si>
  <si>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</si>
  <si>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</si>
  <si>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</si>
  <si>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</si>
  <si>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</si>
  <si>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</si>
  <si>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</si>
  <si>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</si>
  <si>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</si>
  <si>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</si>
  <si>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</si>
  <si>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</si>
  <si>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</si>
  <si>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</si>
  <si>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</si>
  <si>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</si>
  <si>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</si>
  <si>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</si>
  <si>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</si>
  <si>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</si>
  <si>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</si>
  <si>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</si>
  <si>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</si>
  <si>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</si>
  <si>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</si>
  <si>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</si>
  <si>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</si>
  <si>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</si>
  <si>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</si>
  <si>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</si>
  <si>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</si>
  <si>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</si>
  <si>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</si>
  <si>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</si>
  <si>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</si>
  <si>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</si>
  <si>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</si>
  <si>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</si>
  <si>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</si>
  <si>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</si>
  <si>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</si>
  <si>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</si>
  <si>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</si>
  <si>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</si>
  <si>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</si>
  <si>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</si>
  <si>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</si>
  <si>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</si>
  <si>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</si>
  <si>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</si>
  <si>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</si>
  <si>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</si>
  <si>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</si>
  <si>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</si>
  <si>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</si>
  <si>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</si>
  <si>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</si>
  <si>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</si>
  <si>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</si>
  <si>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</si>
  <si>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</si>
  <si>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</si>
  <si>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</si>
  <si>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</si>
  <si>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</si>
  <si>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</si>
  <si>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</si>
  <si>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</si>
  <si>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</si>
  <si>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</si>
  <si>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</si>
  <si>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</si>
  <si>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</si>
  <si>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</si>
  <si>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</si>
  <si>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</si>
  <si>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</si>
  <si>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</si>
  <si>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</si>
  <si>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</si>
  <si>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</si>
  <si>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</si>
  <si>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</si>
  <si>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</si>
  <si>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</si>
  <si>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</si>
  <si>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</si>
  <si>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</si>
  <si>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</si>
  <si>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</si>
  <si>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</si>
  <si>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</si>
  <si>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</si>
  <si>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</si>
  <si>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</si>
  <si>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</si>
  <si>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</si>
  <si>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</si>
  <si>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</si>
  <si>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</si>
  <si>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</si>
  <si>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</si>
  <si>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</si>
  <si>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</si>
  <si>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</si>
  <si>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</si>
  <si>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</si>
  <si>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</si>
  <si>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</si>
  <si>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</si>
  <si>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</si>
  <si>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</si>
  <si>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</si>
  <si>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</si>
  <si>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</si>
  <si>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</si>
  <si>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</si>
  <si>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</si>
  <si>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</si>
  <si>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</si>
  <si>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</si>
  <si>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</si>
  <si>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</si>
  <si>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</si>
  <si>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</si>
  <si>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</si>
  <si>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</si>
  <si>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</si>
  <si>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</si>
  <si>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</si>
  <si>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</si>
  <si>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</si>
  <si>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</si>
  <si>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</si>
  <si>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</si>
  <si>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</si>
  <si>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</si>
  <si>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</si>
  <si>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</si>
  <si>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</si>
  <si>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</si>
  <si>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</si>
  <si>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</si>
  <si>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</si>
  <si>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</si>
  <si>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</si>
  <si>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</si>
  <si>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</si>
  <si>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</si>
  <si>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</si>
  <si>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</si>
  <si>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</si>
  <si>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</si>
  <si>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</si>
  <si>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</si>
  <si>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</si>
  <si>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</si>
  <si>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</si>
  <si>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</si>
  <si>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</si>
  <si>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</si>
  <si>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</si>
  <si>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</si>
  <si>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</si>
  <si>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</si>
  <si>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</si>
  <si>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</si>
  <si>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</si>
  <si>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</si>
  <si>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</si>
  <si>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</si>
  <si>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</si>
  <si>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</si>
  <si>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</si>
  <si>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</si>
  <si>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</si>
  <si>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</si>
  <si>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</si>
  <si>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</si>
  <si>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</si>
  <si>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</si>
  <si>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</si>
  <si>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</si>
  <si>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</si>
  <si>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</si>
  <si>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</si>
  <si>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</si>
  <si>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</si>
  <si>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</si>
  <si>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</si>
  <si>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</si>
  <si>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</si>
  <si>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</si>
  <si>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</si>
  <si>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</si>
  <si>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</si>
  <si>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</si>
  <si>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</si>
  <si>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</si>
  <si>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</si>
  <si>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</si>
  <si>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</si>
  <si>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</si>
  <si>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</si>
  <si>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</si>
  <si>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</si>
  <si>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</si>
  <si>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</si>
  <si>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</si>
  <si>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</si>
  <si>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</si>
  <si>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</si>
  <si>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</si>
  <si>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</si>
  <si>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</si>
  <si>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</si>
  <si>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</si>
  <si>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</si>
  <si>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</si>
  <si>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</si>
  <si>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</si>
  <si>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</si>
  <si>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</si>
  <si>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</si>
  <si>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</si>
  <si>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</si>
  <si>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</si>
  <si>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</si>
  <si>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</si>
  <si>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</si>
  <si>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</si>
  <si>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</si>
  <si>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</si>
  <si>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</si>
  <si>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</si>
  <si>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</si>
  <si>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</si>
  <si>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</si>
  <si>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</si>
  <si>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</si>
  <si>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</si>
  <si>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</si>
  <si>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</si>
  <si>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</si>
  <si>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</si>
  <si>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</si>
  <si>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</si>
  <si>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</si>
  <si>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</si>
  <si>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</si>
  <si>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</si>
  <si>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</si>
  <si>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</si>
  <si>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</si>
  <si>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</si>
  <si>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</si>
  <si>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</si>
  <si>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</si>
  <si>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</si>
  <si>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</si>
  <si>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</si>
  <si>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</si>
  <si>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</si>
  <si>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</si>
  <si>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</si>
  <si>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</si>
  <si>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</si>
  <si>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</si>
  <si>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</si>
  <si>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</si>
  <si>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</si>
  <si>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</si>
  <si>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</si>
  <si>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</si>
  <si>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</si>
  <si>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</si>
  <si>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</si>
  <si>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</si>
  <si>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</si>
  <si>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</si>
  <si>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</si>
  <si>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</si>
  <si>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</si>
  <si>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</si>
  <si>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</si>
  <si>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</si>
  <si>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</si>
  <si>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</si>
  <si>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</si>
  <si>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</si>
  <si>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</si>
  <si>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</si>
  <si>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</si>
  <si>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</si>
  <si>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</si>
  <si>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</si>
  <si>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</si>
  <si>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</si>
  <si>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</si>
  <si>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</si>
  <si>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</si>
  <si>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</si>
  <si>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</si>
  <si>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</si>
  <si>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</si>
  <si>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</si>
  <si>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</si>
  <si>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</si>
  <si>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</si>
  <si>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</si>
  <si>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</si>
  <si>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</si>
  <si>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</si>
  <si>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</si>
  <si>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</si>
  <si>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</si>
  <si>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</si>
  <si>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</si>
  <si>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</si>
  <si>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</si>
  <si>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</si>
  <si>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</si>
  <si>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</si>
  <si>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</si>
  <si>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</si>
  <si>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</si>
  <si>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</si>
  <si>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</si>
  <si>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</si>
  <si>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</si>
  <si>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</si>
  <si>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</si>
  <si>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</si>
  <si>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</si>
  <si>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</si>
  <si>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</si>
  <si>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</si>
  <si>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</si>
  <si>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</si>
  <si>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</si>
  <si>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</si>
  <si>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</si>
  <si>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</si>
  <si>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</si>
  <si>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</si>
  <si>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</si>
  <si>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</si>
  <si>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</si>
  <si>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</si>
  <si>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</si>
  <si>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</si>
  <si>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</si>
  <si>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</si>
  <si>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</si>
  <si>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</si>
  <si>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</si>
  <si>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</si>
  <si>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</si>
  <si>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</si>
  <si>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</si>
  <si>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</si>
  <si>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</si>
  <si>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</si>
  <si>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</si>
  <si>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</si>
  <si>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</si>
  <si>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</si>
  <si>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</si>
  <si>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</si>
  <si>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</si>
  <si>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</si>
  <si>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</si>
  <si>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</si>
  <si>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</si>
  <si>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</si>
  <si>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</si>
  <si>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</si>
  <si>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</si>
  <si>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</si>
  <si>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</si>
  <si>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</si>
  <si>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</si>
  <si>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</si>
  <si>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</si>
  <si>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</si>
  <si>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</si>
  <si>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</si>
  <si>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</si>
  <si>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</si>
  <si>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</si>
  <si>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</si>
  <si>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</si>
  <si>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</si>
  <si>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</si>
  <si>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</si>
  <si>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</si>
  <si>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</si>
  <si>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</si>
  <si>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</si>
  <si>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</si>
  <si>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</si>
  <si>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</si>
  <si>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</si>
  <si>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</si>
  <si>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</si>
  <si>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</si>
  <si>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</si>
  <si>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</si>
  <si>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</si>
  <si>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</si>
  <si>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</si>
  <si>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</si>
  <si>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</si>
  <si>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</si>
  <si>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</si>
  <si>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</si>
  <si>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</si>
  <si>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</si>
  <si>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</si>
  <si>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</si>
  <si>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</si>
  <si>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</si>
  <si>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</si>
  <si>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</si>
  <si>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</si>
  <si>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</si>
  <si>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</si>
  <si>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</si>
  <si>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</si>
  <si>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</si>
  <si>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</si>
  <si>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</si>
  <si>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</si>
  <si>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</si>
  <si>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</si>
  <si>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</si>
  <si>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</si>
  <si>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</si>
  <si>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</si>
  <si>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</si>
  <si>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</si>
  <si>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</si>
  <si>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</si>
  <si>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</si>
  <si>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</si>
  <si>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</si>
  <si>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</si>
  <si>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</si>
  <si>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</si>
  <si>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</si>
  <si>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</si>
  <si>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</si>
  <si>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</si>
  <si>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</si>
  <si>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</si>
  <si>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</si>
  <si>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</si>
  <si>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</si>
  <si>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</si>
  <si>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</si>
  <si>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</si>
  <si>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</si>
  <si>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</si>
  <si>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</si>
  <si>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</si>
  <si>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</si>
  <si>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</si>
  <si>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</si>
  <si>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</si>
  <si>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</si>
  <si>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</si>
  <si>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</si>
  <si>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</si>
  <si>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</si>
  <si>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</si>
  <si>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</si>
  <si>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</si>
  <si>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</si>
  <si>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</si>
  <si>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</si>
  <si>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</si>
  <si>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</si>
  <si>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</si>
  <si>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</si>
  <si>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</si>
  <si>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</si>
  <si>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</si>
  <si>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</si>
  <si>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</si>
  <si>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</si>
  <si>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</si>
  <si>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</si>
  <si>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</si>
  <si>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</si>
  <si>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</si>
  <si>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</si>
  <si>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</si>
  <si>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</si>
  <si>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</si>
  <si>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</si>
  <si>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</si>
  <si>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</si>
  <si>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</si>
  <si>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</si>
  <si>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</si>
  <si>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</si>
  <si>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</si>
  <si>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</si>
  <si>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</si>
  <si>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</si>
  <si>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</si>
  <si>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</si>
  <si>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</si>
  <si>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</si>
  <si>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</si>
  <si>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</si>
  <si>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</si>
  <si>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</si>
  <si>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</si>
  <si>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</si>
  <si>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</si>
  <si>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</si>
  <si>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</si>
  <si>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</si>
  <si>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</si>
  <si>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</si>
  <si>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</si>
  <si>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</si>
  <si>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</si>
  <si>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</si>
  <si>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</si>
  <si>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</si>
  <si>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</si>
  <si>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</si>
  <si>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</si>
  <si>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</si>
  <si>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</si>
  <si>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</si>
  <si>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</si>
  <si>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</si>
  <si>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</si>
  <si>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</si>
  <si>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</si>
  <si>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</si>
  <si>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</si>
  <si>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</si>
  <si>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</si>
  <si>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</si>
  <si>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</si>
  <si>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</si>
  <si>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</si>
  <si>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</si>
  <si>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</si>
  <si>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</si>
  <si>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</si>
  <si>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</si>
  <si>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</si>
  <si>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</si>
  <si>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</si>
  <si>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</si>
  <si>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</si>
  <si>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</si>
  <si>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</si>
  <si>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</si>
  <si>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</si>
  <si>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</si>
  <si>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</si>
  <si>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</si>
  <si>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</si>
  <si>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</si>
  <si>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</si>
  <si>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</si>
  <si>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</si>
  <si>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</si>
  <si>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</si>
  <si>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</si>
  <si>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</si>
  <si>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</si>
  <si>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</si>
  <si>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</si>
  <si>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</si>
  <si>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</si>
  <si>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</si>
  <si>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</si>
  <si>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</si>
  <si>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</si>
  <si>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</si>
  <si>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</si>
  <si>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</si>
  <si>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</si>
  <si>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</si>
  <si>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</si>
  <si>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</si>
  <si>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</si>
  <si>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</si>
  <si>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</si>
  <si>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</si>
  <si>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</si>
  <si>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</si>
  <si>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</si>
  <si>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</si>
  <si>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</si>
  <si>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</si>
  <si>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</si>
  <si>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</si>
  <si>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</si>
  <si>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</si>
  <si>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</si>
  <si>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</si>
  <si>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</si>
  <si>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</si>
  <si>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</si>
  <si>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</si>
  <si>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</si>
  <si>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</si>
  <si>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</si>
  <si>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</si>
  <si>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</si>
  <si>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</si>
  <si>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</si>
  <si>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</si>
  <si>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</si>
  <si>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</si>
  <si>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</si>
  <si>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</si>
  <si>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</si>
  <si>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</si>
  <si>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</si>
  <si>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</si>
  <si>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</si>
  <si>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</si>
  <si>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</si>
  <si>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</si>
  <si>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</si>
  <si>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</si>
  <si>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</si>
  <si>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</si>
  <si>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</si>
  <si>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</si>
  <si>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</si>
  <si>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</si>
  <si>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</si>
  <si>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</si>
  <si>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</si>
  <si>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</si>
  <si>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</si>
  <si>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</si>
  <si>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</si>
  <si>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</si>
  <si>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</si>
  <si>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</si>
  <si>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</si>
  <si>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</si>
  <si>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</si>
  <si>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</si>
  <si>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</si>
  <si>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</si>
  <si>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</si>
  <si>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</si>
  <si>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</si>
  <si>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</si>
  <si>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</si>
  <si>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</si>
  <si>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</si>
  <si>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</si>
  <si>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</si>
  <si>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</si>
  <si>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</si>
  <si>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</si>
  <si>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</si>
  <si>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</si>
  <si>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</si>
  <si>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</si>
  <si>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</si>
  <si>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</si>
  <si>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</si>
  <si>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</si>
  <si>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</si>
  <si>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</si>
  <si>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</si>
  <si>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</si>
  <si>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</si>
  <si>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</si>
  <si>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</si>
  <si>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</si>
  <si>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</si>
  <si>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</si>
  <si>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</si>
  <si>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</si>
  <si>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</si>
  <si>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</si>
  <si>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</si>
  <si>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</si>
  <si>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</si>
  <si>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</si>
  <si>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</si>
  <si>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</si>
  <si>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</si>
  <si>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</si>
  <si>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</si>
  <si>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</si>
  <si>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</si>
  <si>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</si>
  <si>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</si>
  <si>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</si>
  <si>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</si>
  <si>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</si>
  <si>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</si>
  <si>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</si>
  <si>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</si>
  <si>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</si>
  <si>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</si>
  <si>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</si>
  <si>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</si>
  <si>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</si>
  <si>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</si>
  <si>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</si>
  <si>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</si>
  <si>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</si>
  <si>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</si>
  <si>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</si>
  <si>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</si>
  <si>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</si>
  <si>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</si>
  <si>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</si>
  <si>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</si>
  <si>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</si>
  <si>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</si>
  <si>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</si>
  <si>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</si>
  <si>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</si>
  <si>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</si>
  <si>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</si>
  <si>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</si>
  <si>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</si>
  <si>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</si>
  <si>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</si>
  <si>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</si>
  <si>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</si>
  <si>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</si>
  <si>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</si>
  <si>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</si>
  <si>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</si>
  <si>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</si>
  <si>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</si>
  <si>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</si>
  <si>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</si>
  <si>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</si>
  <si>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</si>
  <si>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</si>
  <si>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</si>
  <si>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</si>
  <si>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</si>
  <si>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</si>
  <si>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</si>
  <si>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</si>
  <si>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</si>
  <si>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</si>
  <si>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</si>
  <si>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</si>
  <si>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</si>
  <si>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</si>
  <si>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</si>
  <si>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</si>
  <si>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</si>
  <si>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</si>
  <si>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</si>
  <si>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</si>
  <si>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</si>
  <si>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</si>
  <si>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</si>
  <si>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</si>
  <si>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</si>
  <si>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</si>
  <si>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</si>
  <si>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</si>
  <si>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</si>
  <si>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</si>
  <si>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</si>
  <si>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</si>
  <si>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</si>
  <si>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</si>
  <si>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</si>
  <si>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</si>
  <si>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</si>
  <si>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</si>
  <si>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</si>
  <si>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</si>
  <si>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</si>
  <si>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</si>
  <si>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</si>
  <si>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</si>
  <si>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</si>
  <si>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</si>
  <si>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</si>
  <si>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</si>
  <si>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</si>
  <si>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</si>
  <si>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</si>
  <si>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</si>
  <si>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</si>
  <si>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</si>
  <si>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</si>
  <si>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</si>
  <si>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</si>
  <si>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</si>
  <si>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</si>
  <si>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</si>
  <si>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</si>
  <si>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</si>
  <si>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</si>
  <si>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</si>
  <si>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</si>
  <si>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</si>
  <si>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</si>
  <si>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</si>
  <si>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</si>
  <si>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</si>
  <si>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</si>
  <si>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</si>
  <si>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</si>
  <si>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</si>
  <si>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</si>
  <si>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</si>
  <si>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</si>
  <si>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</si>
  <si>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</si>
  <si>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</si>
  <si>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</si>
  <si>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</si>
  <si>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</si>
  <si>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</si>
  <si>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</si>
  <si>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</si>
  <si>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</si>
  <si>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</si>
  <si>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</si>
  <si>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</si>
  <si>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</si>
  <si>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</si>
  <si>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</si>
  <si>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</si>
  <si>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</si>
  <si>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</si>
  <si>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</si>
  <si>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</si>
  <si>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</si>
  <si>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</si>
  <si>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</si>
  <si>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</si>
  <si>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</si>
  <si>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</si>
  <si>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</si>
  <si>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</si>
  <si>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</si>
  <si>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</si>
  <si>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</si>
  <si>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</si>
  <si>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</si>
  <si>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</si>
  <si>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</si>
  <si>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</si>
  <si>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</si>
  <si>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</si>
  <si>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</si>
  <si>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</si>
  <si>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</si>
  <si>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</si>
  <si>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</si>
  <si>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</si>
  <si>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</si>
  <si>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</si>
  <si>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</si>
  <si>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</si>
  <si>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</si>
  <si>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</si>
  <si>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</si>
  <si>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</si>
  <si>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</si>
  <si>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</si>
  <si>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</si>
  <si>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</si>
  <si>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</si>
  <si>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</si>
  <si>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</si>
  <si>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</si>
  <si>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</si>
  <si>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</si>
  <si>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</si>
  <si>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</si>
  <si>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</si>
  <si>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</si>
  <si>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</si>
  <si>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</si>
  <si>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</si>
  <si>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</si>
  <si>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</si>
  <si>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</si>
  <si>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</si>
  <si>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</si>
  <si>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</si>
  <si>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</si>
  <si>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</si>
  <si>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</si>
  <si>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</si>
  <si>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</si>
  <si>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</si>
  <si>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</si>
  <si>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</si>
  <si>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</si>
  <si>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</si>
  <si>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</si>
  <si>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</si>
  <si>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</si>
  <si>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</si>
  <si>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</si>
  <si>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</si>
  <si>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</si>
  <si>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</si>
  <si>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</si>
  <si>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</si>
  <si>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</si>
  <si>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</si>
  <si>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</si>
  <si>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</si>
  <si>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</si>
  <si>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</si>
  <si>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</si>
  <si>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</si>
  <si>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</si>
  <si>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</si>
  <si>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</si>
  <si>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</si>
  <si>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</si>
  <si>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</si>
  <si>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</si>
  <si>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</si>
  <si>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</si>
  <si>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</si>
  <si>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</si>
  <si>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</si>
  <si>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</si>
  <si>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</si>
  <si>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</si>
  <si>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</si>
  <si>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</si>
  <si>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</si>
  <si>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</si>
  <si>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</si>
  <si>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</si>
  <si>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</si>
  <si>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</si>
  <si>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</si>
  <si>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</si>
  <si>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</si>
  <si>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</si>
  <si>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</si>
  <si>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</si>
  <si>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</si>
  <si>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</si>
  <si>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</si>
  <si>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</si>
  <si>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</si>
  <si>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</si>
  <si>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</si>
  <si>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</si>
  <si>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</si>
  <si>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</si>
  <si>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</si>
  <si>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</si>
  <si>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</si>
  <si>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</si>
  <si>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</si>
  <si>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</si>
  <si>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</si>
  <si>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</si>
  <si>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</si>
  <si>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</si>
  <si>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</si>
  <si>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</si>
  <si>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</si>
  <si>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</si>
  <si>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</si>
  <si>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</si>
  <si>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</si>
  <si>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</si>
  <si>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</si>
  <si>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</si>
  <si>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</si>
  <si>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</si>
  <si>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</si>
  <si>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</si>
  <si>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</si>
  <si>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</si>
  <si>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</si>
  <si>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</si>
  <si>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</si>
  <si>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</si>
  <si>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</si>
  <si>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</si>
  <si>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</si>
  <si>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</si>
  <si>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</si>
  <si>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</si>
  <si>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</si>
  <si>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</si>
  <si>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</si>
  <si>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</si>
  <si>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</si>
  <si>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</si>
  <si>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</si>
  <si>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</si>
  <si>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</si>
  <si>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</si>
  <si>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</si>
  <si>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</si>
  <si>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</si>
  <si>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</si>
  <si>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</si>
  <si>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</si>
  <si>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</si>
  <si>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</si>
  <si>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</si>
  <si>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</si>
  <si>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</si>
  <si>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</si>
  <si>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</si>
  <si>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</si>
  <si>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</si>
  <si>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</si>
  <si>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</si>
  <si>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</si>
  <si>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</si>
  <si>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</si>
  <si>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</si>
  <si>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</si>
  <si>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</si>
  <si>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</si>
  <si>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</si>
  <si>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</si>
  <si>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</si>
  <si>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</si>
  <si>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</si>
  <si>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</si>
  <si>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</si>
  <si>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</si>
  <si>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</si>
  <si>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</si>
  <si>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</si>
  <si>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</si>
  <si>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</si>
  <si>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</si>
  <si>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</si>
  <si>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</si>
  <si>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</si>
  <si>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</si>
  <si>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</si>
  <si>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</si>
  <si>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</si>
  <si>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</si>
  <si>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</si>
  <si>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</si>
  <si>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</si>
  <si>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</si>
  <si>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</si>
  <si>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</si>
  <si>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</si>
  <si>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</si>
  <si>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</si>
  <si>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</si>
  <si>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</si>
  <si>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</si>
  <si>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</si>
  <si>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</si>
  <si>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</si>
  <si>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</si>
  <si>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</si>
  <si>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</si>
  <si>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</si>
  <si>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</si>
  <si>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</si>
  <si>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</si>
  <si>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</si>
  <si>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</si>
  <si>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</si>
  <si>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</si>
  <si>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</si>
  <si>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</si>
  <si>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</si>
  <si>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</si>
  <si>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</si>
  <si>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</si>
  <si>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</si>
  <si>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</si>
  <si>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</si>
  <si>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</si>
  <si>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</si>
  <si>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</si>
  <si>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</si>
  <si>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</si>
  <si>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</si>
  <si>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</si>
  <si>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</si>
  <si>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</si>
  <si>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</si>
  <si>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</si>
  <si>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</si>
  <si>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</si>
  <si>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</si>
  <si>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</si>
  <si>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</si>
  <si>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</si>
  <si>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</si>
  <si>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</si>
  <si>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</si>
  <si>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</si>
  <si>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</si>
  <si>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</si>
  <si>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</si>
  <si>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</si>
  <si>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</si>
  <si>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</si>
  <si>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</si>
  <si>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</si>
  <si>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</si>
  <si>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</si>
  <si>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</si>
  <si>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</si>
  <si>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</si>
  <si>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</si>
  <si>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</si>
  <si>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</si>
  <si>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</si>
  <si>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</si>
  <si>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</si>
  <si>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</si>
  <si>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</si>
  <si>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</si>
  <si>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</si>
  <si>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</si>
  <si>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</si>
  <si>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</si>
  <si>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</si>
  <si>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</si>
  <si>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</si>
  <si>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</si>
  <si>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</si>
  <si>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</si>
  <si>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</si>
  <si>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</si>
  <si>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</si>
  <si>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</si>
  <si>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</si>
  <si>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</si>
  <si>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</si>
  <si>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</si>
  <si>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</si>
  <si>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</si>
  <si>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</si>
  <si>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</si>
  <si>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</si>
  <si>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</si>
  <si>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</si>
  <si>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</si>
  <si>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</si>
  <si>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</si>
  <si>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</si>
  <si>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</si>
  <si>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</si>
  <si>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</si>
  <si>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</si>
  <si>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</si>
  <si>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</si>
  <si>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</si>
  <si>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</si>
  <si>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</si>
  <si>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</si>
  <si>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</si>
  <si>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</si>
  <si>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</si>
  <si>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</si>
  <si>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</si>
  <si>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</si>
  <si>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</si>
  <si>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</si>
  <si>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</si>
  <si>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</si>
  <si>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</si>
  <si>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</si>
  <si>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</si>
  <si>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</si>
  <si>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</si>
  <si>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</si>
  <si>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</si>
  <si>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</si>
  <si>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</si>
  <si>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</si>
  <si>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</si>
  <si>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</si>
  <si>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</si>
  <si>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</si>
  <si>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</si>
  <si>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</si>
  <si>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</si>
  <si>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</si>
  <si>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</si>
  <si>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</si>
  <si>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</si>
  <si>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</si>
  <si>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</si>
  <si>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</si>
  <si>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</si>
  <si>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</si>
  <si>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</si>
  <si>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</si>
  <si>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</si>
  <si>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</si>
  <si>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</si>
  <si>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</si>
  <si>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</si>
  <si>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</si>
  <si>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</si>
  <si>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</si>
  <si>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</si>
  <si>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</si>
  <si>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</si>
  <si>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</si>
  <si>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</si>
  <si>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</si>
  <si>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</si>
  <si>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</si>
  <si>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</si>
  <si>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</si>
  <si>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</si>
  <si>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</si>
  <si>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</si>
  <si>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</si>
  <si>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</si>
  <si>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</si>
  <si>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</si>
  <si>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</si>
  <si>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</si>
  <si>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</si>
  <si>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</si>
  <si>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</si>
  <si>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</si>
  <si>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</si>
  <si>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</si>
  <si>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</si>
  <si>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</si>
  <si>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</si>
  <si>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</si>
  <si>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</si>
  <si>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</si>
  <si>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</si>
  <si>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</si>
  <si>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</si>
  <si>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</si>
  <si>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</si>
  <si>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</si>
  <si>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</si>
  <si>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</si>
  <si>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</si>
  <si>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</si>
  <si>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</si>
  <si>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</si>
  <si>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</si>
  <si>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</si>
  <si>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</si>
  <si>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</si>
  <si>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</si>
  <si>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</si>
  <si>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</si>
  <si>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</si>
  <si>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</si>
  <si>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</si>
  <si>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</si>
  <si>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</si>
  <si>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</si>
  <si>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</si>
  <si>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</si>
  <si>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</si>
  <si>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</si>
  <si>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</si>
  <si>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</si>
  <si>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</si>
  <si>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</si>
  <si>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</si>
  <si>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</si>
  <si>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</si>
  <si>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</si>
  <si>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</si>
  <si>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</si>
  <si>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</si>
  <si>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</si>
  <si>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</si>
  <si>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</si>
  <si>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</si>
  <si>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</si>
  <si>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</si>
  <si>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</si>
  <si>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</si>
  <si>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</si>
  <si>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</si>
  <si>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</si>
  <si>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</si>
  <si>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</si>
  <si>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</si>
  <si>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</si>
  <si>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</si>
  <si>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</si>
  <si>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</si>
  <si>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</si>
  <si>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</si>
  <si>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</si>
  <si>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</si>
  <si>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</si>
  <si>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</si>
  <si>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</si>
  <si>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</si>
  <si>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</si>
  <si>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</si>
  <si>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</si>
  <si>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</si>
  <si>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</si>
  <si>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</si>
  <si>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</si>
  <si>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</si>
  <si>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</si>
  <si>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</si>
  <si>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</si>
  <si>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</si>
  <si>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</si>
  <si>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</si>
  <si>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</si>
  <si>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</si>
  <si>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</si>
  <si>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</si>
  <si>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</si>
  <si>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</si>
  <si>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</si>
  <si>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</si>
  <si>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</si>
  <si>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</si>
  <si>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</si>
  <si>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</si>
  <si>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</si>
  <si>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</si>
  <si>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</si>
  <si>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</si>
  <si>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</si>
  <si>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</si>
  <si>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</si>
  <si>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</si>
  <si>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</si>
  <si>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</si>
  <si>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</si>
  <si>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</si>
  <si>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</si>
  <si>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</si>
  <si>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</si>
  <si>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</si>
  <si>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</si>
  <si>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</si>
  <si>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</si>
  <si>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</si>
  <si>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</si>
  <si>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</si>
  <si>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</si>
  <si>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</si>
  <si>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</si>
  <si>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</si>
  <si>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</si>
  <si>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</si>
  <si>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</si>
  <si>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</si>
  <si>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</si>
  <si>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</si>
  <si>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</si>
  <si>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</si>
  <si>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</si>
  <si>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</si>
  <si>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</si>
  <si>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</si>
  <si>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</si>
  <si>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</si>
  <si>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</si>
  <si>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</si>
  <si>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</si>
  <si>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</si>
  <si>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</si>
  <si>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</si>
  <si>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</si>
  <si>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</si>
  <si>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</si>
  <si>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</si>
  <si>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</si>
  <si>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</si>
  <si>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</si>
  <si>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</si>
  <si>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</si>
  <si>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</si>
  <si>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</si>
  <si>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</si>
  <si>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</si>
  <si>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</si>
  <si>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</si>
  <si>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</si>
  <si>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</si>
  <si>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</si>
  <si>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</si>
  <si>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</si>
  <si>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</si>
  <si>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</si>
  <si>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</si>
  <si>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</si>
  <si>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</si>
  <si>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</si>
  <si>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</si>
  <si>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</si>
  <si>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</si>
  <si>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</si>
  <si>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</si>
  <si>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</si>
  <si>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</si>
  <si>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</si>
  <si>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</si>
  <si>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</si>
  <si>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</si>
  <si>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</si>
  <si>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</si>
  <si>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</si>
  <si>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</si>
  <si>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</si>
  <si>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</si>
  <si>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</si>
  <si>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</si>
  <si>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</si>
  <si>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</si>
  <si>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</si>
  <si>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</si>
  <si>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</si>
  <si>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</si>
  <si>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</si>
  <si>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</si>
  <si>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</si>
  <si>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</si>
  <si>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</si>
  <si>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</si>
  <si>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</si>
  <si>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</si>
  <si>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</si>
  <si>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</si>
  <si>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</si>
  <si>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</si>
  <si>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</si>
  <si>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</si>
  <si>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</si>
  <si>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</si>
  <si>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</si>
  <si>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</si>
  <si>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</si>
  <si>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</si>
  <si>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</si>
  <si>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</si>
  <si>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</si>
  <si>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</si>
  <si>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</si>
  <si>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</si>
  <si>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</si>
  <si>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</si>
  <si>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</si>
  <si>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</si>
  <si>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</si>
  <si>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</si>
  <si>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</si>
  <si>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</si>
  <si>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</si>
  <si>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</si>
  <si>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</si>
  <si>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</si>
  <si>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</si>
  <si>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</si>
  <si>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</si>
  <si>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</si>
  <si>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</si>
  <si>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</si>
  <si>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</si>
  <si>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</si>
  <si>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</si>
  <si>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</si>
  <si>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</si>
  <si>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</si>
  <si>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</si>
  <si>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</si>
  <si>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</si>
  <si>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</si>
  <si>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</si>
  <si>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</si>
  <si>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</si>
  <si>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</si>
  <si>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</si>
  <si>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</si>
  <si>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</si>
  <si>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</si>
  <si>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</si>
  <si>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</si>
  <si>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</si>
  <si>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</si>
  <si>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</si>
  <si>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</si>
  <si>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</si>
  <si>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</si>
  <si>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</si>
  <si>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</si>
  <si>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</si>
  <si>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</si>
  <si>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</si>
  <si>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</si>
  <si>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</si>
  <si>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</si>
  <si>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</si>
  <si>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</si>
  <si>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</si>
  <si>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</si>
  <si>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</si>
  <si>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</si>
  <si>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</si>
  <si>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</si>
  <si>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</si>
  <si>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</si>
  <si>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</si>
  <si>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</si>
  <si>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</si>
  <si>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</si>
  <si>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</si>
  <si>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</si>
  <si>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</si>
  <si>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</si>
  <si>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</si>
  <si>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</si>
  <si>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</si>
  <si>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</si>
  <si>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</si>
  <si>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</si>
  <si>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</si>
  <si>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</si>
  <si>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</si>
  <si>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</si>
  <si>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</si>
  <si>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</si>
  <si>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</si>
  <si>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</si>
  <si>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</si>
  <si>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</si>
  <si>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</si>
  <si>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</si>
  <si>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</si>
  <si>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</si>
  <si>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</si>
  <si>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</si>
  <si>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</si>
  <si>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</si>
  <si>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</si>
  <si>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</si>
  <si>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</si>
  <si>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</si>
  <si>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</si>
  <si>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</si>
  <si>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</si>
  <si>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</si>
  <si>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</si>
  <si>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</si>
  <si>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</si>
  <si>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</si>
  <si>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</si>
  <si>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</si>
  <si>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</si>
  <si>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</si>
  <si>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</si>
  <si>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</si>
  <si>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</si>
  <si>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</si>
  <si>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</si>
  <si>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</si>
  <si>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</si>
  <si>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</si>
  <si>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</si>
  <si>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</si>
  <si>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</si>
  <si>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</si>
  <si>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</si>
  <si>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</si>
  <si>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</si>
  <si>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</si>
  <si>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</si>
  <si>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</si>
  <si>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</si>
  <si>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</si>
  <si>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</si>
  <si>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</si>
  <si>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</si>
  <si>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</si>
  <si>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</si>
  <si>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</si>
  <si>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</si>
  <si>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</si>
  <si>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</si>
  <si>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</si>
  <si>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</si>
  <si>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</si>
  <si>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</si>
  <si>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</si>
  <si>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</si>
  <si>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</si>
  <si>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</si>
  <si>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</si>
  <si>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</si>
  <si>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</si>
  <si>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</si>
  <si>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</si>
  <si>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</si>
  <si>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</si>
  <si>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</si>
  <si>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</si>
  <si>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</si>
  <si>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</si>
  <si>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</si>
  <si>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</si>
  <si>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</si>
  <si>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</si>
  <si>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</si>
  <si>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</si>
  <si>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</si>
  <si>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</si>
  <si>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</si>
  <si>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</si>
  <si>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</si>
  <si>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</si>
  <si>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</si>
  <si>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</si>
  <si>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</si>
  <si>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</si>
  <si>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</si>
  <si>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</si>
  <si>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</si>
  <si>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</si>
  <si>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</si>
  <si>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</si>
  <si>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</si>
  <si>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</si>
  <si>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</si>
  <si>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</si>
  <si>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</si>
  <si>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</si>
  <si>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</si>
  <si>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</si>
  <si>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</si>
  <si>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</si>
  <si>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</si>
  <si>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</si>
  <si>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</si>
  <si>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</si>
  <si>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</si>
  <si>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</si>
  <si>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</si>
  <si>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</si>
  <si>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</si>
  <si>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</si>
  <si>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</si>
  <si>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</si>
  <si>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</si>
  <si>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</si>
  <si>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</si>
  <si>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</si>
  <si>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</si>
  <si>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</si>
  <si>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</si>
  <si>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</si>
  <si>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</si>
  <si>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</si>
  <si>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</si>
  <si>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</si>
  <si>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</si>
  <si>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</si>
  <si>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</si>
  <si>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</si>
  <si>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</si>
  <si>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</si>
  <si>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</si>
  <si>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</si>
  <si>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</si>
  <si>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</si>
  <si>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</si>
  <si>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</si>
  <si>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</si>
  <si>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</si>
  <si>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</si>
  <si>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</si>
  <si>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</si>
  <si>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</si>
  <si>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</si>
  <si>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</si>
  <si>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</si>
  <si>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</si>
  <si>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</si>
  <si>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</si>
  <si>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</si>
  <si>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</si>
  <si>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</si>
  <si>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</si>
  <si>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</si>
  <si>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</si>
  <si>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</si>
  <si>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</si>
  <si>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</si>
  <si>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</si>
  <si>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</si>
  <si>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</si>
  <si>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</si>
  <si>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</si>
  <si>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</si>
  <si>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</si>
  <si>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</si>
  <si>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</si>
  <si>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</si>
  <si>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</si>
  <si>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</si>
  <si>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</si>
  <si>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</si>
  <si>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</si>
  <si>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</si>
  <si>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</si>
  <si>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</si>
  <si>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</si>
  <si>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</si>
  <si>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</si>
  <si>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</si>
  <si>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</si>
  <si>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</si>
  <si>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</si>
  <si>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</si>
  <si>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</si>
  <si>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</si>
  <si>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</si>
  <si>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</si>
  <si>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</si>
  <si>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</si>
  <si>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</si>
  <si>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</si>
  <si>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</si>
  <si>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</si>
  <si>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</si>
  <si>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</si>
  <si>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</si>
  <si>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</si>
  <si>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</si>
  <si>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</si>
  <si>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</si>
  <si>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</si>
  <si>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</si>
  <si>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</si>
  <si>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</si>
  <si>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</si>
  <si>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</si>
  <si>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</si>
  <si>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</si>
  <si>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</si>
  <si>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</si>
  <si>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</si>
  <si>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</si>
  <si>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</si>
  <si>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</si>
  <si>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</si>
  <si>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</si>
  <si>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</si>
  <si>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</si>
  <si>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</si>
  <si>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</si>
  <si>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</si>
  <si>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</si>
  <si>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</si>
  <si>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</si>
  <si>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</si>
  <si>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</si>
  <si>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</si>
  <si>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</si>
  <si>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</si>
  <si>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</si>
  <si>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</si>
  <si>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</si>
  <si>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</si>
  <si>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</si>
  <si>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</si>
  <si>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</si>
  <si>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</si>
  <si>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</si>
  <si>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</si>
  <si>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</si>
  <si>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</si>
  <si>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</si>
  <si>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</si>
  <si>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</si>
  <si>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</si>
  <si>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</si>
  <si>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</si>
  <si>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</si>
  <si>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</si>
  <si>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</si>
  <si>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</si>
  <si>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</si>
  <si>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</si>
  <si>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</si>
  <si>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</si>
  <si>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</si>
  <si>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</si>
  <si>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</si>
  <si>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</si>
  <si>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</si>
  <si>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</si>
  <si>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</si>
  <si>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</si>
  <si>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</si>
  <si>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</si>
  <si>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</si>
  <si>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</si>
  <si>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</si>
  <si>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</si>
  <si>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</si>
  <si>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</si>
  <si>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</si>
  <si>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</si>
  <si>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</si>
  <si>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</si>
  <si>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</si>
  <si>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</si>
  <si>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</si>
  <si>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</si>
  <si>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</si>
  <si>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</si>
  <si>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</si>
  <si>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</si>
  <si>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</si>
  <si>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</si>
  <si>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</si>
  <si>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</si>
  <si>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</si>
  <si>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</si>
  <si>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</si>
  <si>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</si>
  <si>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</si>
  <si>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</si>
  <si>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</si>
  <si>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</si>
  <si>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</si>
  <si>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</si>
  <si>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</si>
  <si>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</si>
  <si>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</si>
  <si>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</si>
  <si>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</si>
  <si>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</si>
  <si>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</si>
  <si>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</si>
  <si>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</si>
  <si>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</si>
  <si>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</si>
  <si>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</si>
  <si>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</si>
  <si>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</si>
  <si>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</si>
  <si>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</si>
  <si>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</si>
  <si>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</si>
  <si>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</si>
  <si>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</si>
  <si>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</si>
  <si>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</si>
  <si>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</si>
  <si>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</si>
  <si>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</si>
  <si>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</si>
  <si>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</si>
  <si>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</si>
  <si>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</si>
  <si>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</si>
  <si>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</si>
  <si>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</si>
  <si>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</si>
  <si>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</si>
  <si>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</si>
  <si>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</si>
  <si>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</si>
  <si>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</si>
  <si>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</si>
  <si>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</si>
  <si>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</si>
  <si>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</si>
  <si>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</si>
  <si>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</si>
  <si>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</si>
  <si>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</si>
  <si>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</si>
  <si>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</si>
  <si>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</si>
  <si>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</si>
  <si>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</si>
  <si>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</si>
  <si>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</si>
  <si>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</si>
  <si>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</si>
  <si>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</si>
  <si>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</si>
  <si>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</si>
  <si>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</si>
  <si>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</si>
  <si>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</si>
  <si>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</si>
  <si>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</si>
  <si>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</si>
  <si>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</si>
  <si>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</si>
  <si>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</si>
  <si>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</si>
  <si>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</si>
  <si>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</si>
  <si>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</si>
  <si>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</si>
  <si>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</si>
  <si>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</si>
  <si>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</si>
  <si>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</si>
  <si>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</si>
  <si>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</si>
  <si>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</si>
  <si>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</si>
  <si>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</si>
  <si>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</si>
  <si>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</si>
  <si>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</si>
  <si>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</si>
  <si>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</si>
  <si>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</si>
  <si>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</si>
  <si>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</si>
  <si>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</si>
  <si>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</si>
  <si>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</si>
  <si>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</si>
  <si>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</si>
  <si>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</si>
  <si>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</si>
  <si>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</si>
  <si>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</si>
  <si>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</si>
  <si>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</si>
  <si>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</si>
  <si>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</si>
  <si>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</si>
  <si>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</si>
  <si>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</si>
  <si>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</si>
  <si>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</si>
  <si>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</si>
  <si>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</si>
  <si>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</si>
  <si>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</si>
  <si>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</si>
  <si>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</si>
  <si>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</si>
  <si>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</si>
  <si>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</si>
  <si>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</si>
  <si>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</si>
  <si>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</si>
  <si>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</si>
  <si>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</si>
  <si>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</si>
  <si>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</si>
  <si>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</si>
  <si>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</si>
  <si>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</si>
  <si>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</si>
  <si>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</si>
  <si>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</si>
  <si>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</si>
  <si>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</si>
  <si>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</si>
  <si>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</si>
  <si>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</si>
  <si>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</si>
  <si>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</si>
  <si>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</si>
  <si>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</si>
  <si>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</si>
  <si>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</si>
  <si>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</si>
  <si>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</si>
  <si>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</si>
  <si>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</si>
  <si>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</si>
  <si>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</si>
  <si>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</si>
  <si>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</si>
  <si>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</si>
  <si>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</si>
  <si>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</si>
  <si>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</si>
  <si>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</si>
  <si>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</si>
  <si>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</si>
  <si>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</si>
  <si>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</si>
  <si>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</si>
  <si>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</si>
  <si>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</si>
  <si>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</si>
  <si>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</si>
  <si>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</si>
  <si>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</si>
  <si>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</si>
  <si>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</si>
  <si>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</si>
  <si>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</si>
  <si>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</si>
  <si>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</si>
  <si>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</si>
  <si>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</si>
  <si>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</si>
  <si>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</si>
  <si>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</si>
  <si>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</si>
  <si>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</si>
  <si>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</si>
  <si>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</si>
  <si>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</si>
  <si>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</si>
  <si>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</si>
  <si>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</si>
  <si>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</si>
  <si>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</si>
  <si>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</si>
  <si>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</si>
  <si>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</si>
  <si>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</si>
  <si>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</si>
  <si>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</si>
  <si>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</si>
  <si>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</si>
  <si>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</si>
  <si>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</si>
  <si>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</si>
  <si>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</si>
  <si>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</si>
  <si>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</si>
  <si>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</si>
  <si>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</si>
  <si>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</si>
  <si>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</si>
  <si>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</si>
  <si>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</si>
  <si>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</si>
  <si>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</si>
  <si>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</si>
  <si>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</si>
  <si>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</si>
  <si>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</si>
  <si>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</si>
  <si>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</si>
  <si>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</si>
  <si>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</si>
  <si>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</si>
  <si>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</si>
  <si>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</si>
  <si>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</si>
  <si>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</si>
  <si>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</si>
  <si>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</si>
  <si>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</si>
  <si>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</si>
  <si>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</si>
  <si>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</si>
  <si>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</si>
  <si>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</si>
  <si>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</si>
  <si>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</si>
  <si>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</si>
  <si>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</si>
  <si>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</si>
  <si>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</si>
  <si>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</si>
  <si>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</si>
  <si>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</si>
  <si>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</si>
  <si>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</si>
  <si>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</si>
  <si>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</si>
  <si>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</si>
  <si>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</si>
  <si>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</si>
  <si>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</si>
  <si>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</si>
  <si>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</si>
  <si>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</si>
  <si>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</si>
  <si>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</si>
  <si>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</si>
  <si>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</si>
  <si>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</si>
  <si>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</si>
  <si>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</si>
  <si>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</si>
  <si>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</si>
  <si>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</si>
  <si>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</si>
  <si>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</si>
  <si>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</si>
  <si>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</si>
  <si>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</si>
  <si>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</si>
  <si>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</si>
  <si>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</si>
  <si>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</si>
  <si>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</si>
  <si>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</si>
  <si>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</si>
  <si>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</si>
  <si>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</si>
  <si>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</si>
  <si>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</si>
  <si>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</si>
  <si>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</si>
  <si>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</si>
  <si>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</si>
  <si>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</si>
  <si>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</si>
  <si>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</si>
  <si>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</si>
  <si>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</si>
  <si>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</si>
  <si>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</si>
  <si>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</si>
  <si>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</si>
  <si>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</si>
  <si>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</si>
  <si>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</si>
  <si>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</si>
  <si>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</si>
  <si>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</si>
  <si>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</si>
  <si>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</si>
  <si>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</si>
  <si>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</si>
  <si>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</si>
  <si>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</si>
  <si>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</si>
  <si>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</si>
  <si>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</si>
  <si>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</si>
  <si>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</si>
  <si>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</si>
  <si>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</si>
  <si>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</si>
  <si>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</si>
  <si>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</si>
  <si>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</si>
  <si>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</si>
  <si>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</si>
  <si>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</si>
  <si>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</si>
  <si>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</si>
  <si>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</si>
  <si>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</si>
  <si>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</si>
  <si>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</si>
  <si>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</si>
  <si>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</si>
  <si>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</si>
  <si>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</si>
  <si>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</si>
  <si>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</si>
  <si>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</si>
  <si>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</si>
  <si>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</si>
  <si>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</si>
  <si>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</si>
  <si>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</si>
  <si>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</si>
  <si>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</si>
  <si>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</si>
  <si>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</si>
  <si>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</si>
  <si>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</si>
  <si>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</si>
  <si>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</si>
  <si>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</si>
  <si>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</si>
  <si>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</si>
  <si>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</si>
  <si>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</si>
  <si>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</si>
  <si>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</si>
  <si>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</si>
  <si>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</si>
  <si>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</si>
  <si>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</si>
  <si>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</si>
  <si>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</si>
  <si>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</si>
  <si>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</si>
  <si>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</si>
  <si>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</si>
  <si>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</si>
  <si>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</si>
  <si>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</si>
  <si>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</si>
  <si>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</si>
  <si>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</si>
  <si>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</si>
  <si>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</si>
  <si>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</si>
  <si>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</si>
  <si>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</si>
  <si>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</si>
  <si>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</si>
  <si>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</si>
  <si>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</si>
  <si>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</si>
  <si>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</si>
  <si>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</si>
  <si>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</si>
  <si>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</si>
  <si>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</si>
  <si>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</si>
  <si>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</si>
  <si>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</si>
  <si>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</si>
  <si>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</si>
  <si>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</si>
  <si>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</si>
  <si>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</si>
  <si>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</si>
  <si>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</si>
  <si>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</si>
  <si>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</si>
  <si>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</si>
  <si>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</si>
  <si>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</si>
  <si>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</si>
  <si>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</si>
  <si>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</si>
  <si>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</si>
  <si>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</si>
  <si>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</si>
  <si>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</si>
  <si>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</si>
  <si>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</si>
  <si>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</si>
  <si>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</si>
  <si>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</si>
  <si>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</si>
  <si>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</si>
  <si>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</si>
  <si>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</si>
  <si>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</si>
  <si>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</si>
  <si>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</si>
  <si>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</si>
  <si>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</si>
  <si>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</si>
  <si>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</si>
  <si>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</si>
  <si>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</si>
  <si>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</si>
  <si>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</si>
  <si>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</si>
  <si>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</si>
  <si>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</si>
  <si>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</si>
  <si>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</si>
  <si>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</si>
  <si>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</si>
  <si>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</si>
  <si>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</si>
  <si>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</si>
  <si>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</si>
  <si>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</si>
  <si>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</si>
  <si>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</si>
  <si>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</si>
  <si>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</si>
  <si>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</si>
  <si>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</si>
  <si>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</si>
  <si>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</si>
  <si>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</si>
  <si>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</si>
  <si>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</si>
  <si>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</si>
  <si>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</si>
  <si>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</si>
  <si>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</si>
  <si>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</si>
  <si>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</si>
  <si>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</si>
  <si>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</si>
  <si>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</si>
  <si>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</si>
  <si>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</si>
  <si>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</si>
  <si>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</si>
  <si>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</si>
  <si>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</si>
  <si>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</si>
  <si>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</si>
  <si>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</si>
  <si>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</si>
  <si>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</si>
  <si>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</si>
  <si>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</si>
  <si>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</si>
  <si>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</si>
  <si>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</si>
  <si>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</si>
  <si>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</si>
  <si>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</si>
  <si>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</si>
  <si>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</si>
  <si>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</si>
  <si>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</si>
  <si>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</si>
  <si>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</si>
  <si>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</si>
  <si>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</si>
  <si>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</si>
  <si>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</si>
  <si>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</si>
  <si>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</si>
  <si>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</si>
  <si>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</si>
  <si>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</si>
  <si>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</si>
  <si>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</si>
  <si>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</si>
  <si>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</si>
  <si>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</si>
  <si>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</si>
  <si>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</si>
  <si>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</si>
  <si>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</si>
  <si>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</si>
  <si>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</si>
  <si>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</si>
  <si>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</si>
  <si>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</si>
  <si>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</si>
  <si>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</si>
  <si>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</si>
  <si>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</si>
  <si>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</si>
  <si>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</si>
  <si>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</si>
  <si>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</si>
  <si>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</si>
  <si>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</si>
  <si>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</si>
  <si>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</si>
  <si>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</si>
  <si>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</si>
  <si>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</si>
  <si>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</si>
  <si>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</si>
  <si>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</si>
  <si>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</si>
  <si>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</si>
  <si>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</si>
  <si>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</si>
  <si>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</si>
  <si>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</si>
  <si>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</si>
  <si>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</si>
  <si>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</si>
  <si>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</si>
  <si>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</si>
  <si>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</si>
  <si>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</si>
  <si>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</si>
  <si>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</si>
  <si>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</si>
  <si>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</si>
  <si>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</si>
  <si>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</si>
  <si>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</si>
  <si>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</si>
  <si>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</si>
  <si>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</si>
  <si>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</si>
  <si>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</si>
  <si>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</si>
  <si>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</si>
  <si>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</si>
  <si>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</si>
  <si>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</si>
  <si>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</si>
  <si>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</si>
  <si>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</si>
  <si>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</si>
  <si>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</si>
  <si>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</si>
  <si>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</si>
  <si>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</si>
  <si>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</si>
  <si>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</si>
  <si>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</si>
  <si>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</si>
  <si>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</si>
  <si>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</si>
  <si>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</si>
  <si>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</si>
  <si>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</si>
  <si>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</si>
  <si>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</si>
  <si>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</si>
  <si>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</si>
  <si>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</si>
  <si>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</si>
  <si>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</si>
  <si>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</si>
  <si>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</si>
  <si>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</si>
  <si>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</si>
  <si>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</si>
  <si>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</si>
  <si>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</si>
  <si>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</si>
  <si>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</si>
  <si>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</si>
  <si>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</si>
  <si>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</si>
  <si>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</si>
  <si>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</si>
  <si>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</si>
  <si>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</si>
  <si>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</si>
  <si>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</si>
  <si>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</si>
  <si>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</si>
  <si>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</si>
  <si>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</si>
  <si>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</si>
  <si>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</si>
  <si>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</si>
  <si>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</si>
  <si>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</si>
  <si>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</si>
  <si>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</si>
  <si>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</si>
  <si>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</si>
  <si>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</si>
  <si>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</si>
  <si>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</si>
  <si>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</si>
  <si>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</si>
  <si>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</si>
  <si>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</si>
  <si>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</si>
  <si>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</si>
  <si>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</si>
  <si>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</si>
  <si>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</si>
  <si>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</si>
  <si>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</si>
  <si>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</si>
  <si>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</si>
  <si>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</si>
  <si>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</si>
  <si>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</si>
  <si>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</si>
  <si>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</si>
  <si>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</si>
  <si>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</si>
  <si>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</si>
  <si>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</si>
  <si>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</si>
  <si>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</si>
  <si>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</si>
  <si>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</si>
  <si>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</si>
  <si>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</si>
  <si>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</si>
  <si>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</si>
  <si>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</si>
  <si>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</si>
  <si>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</si>
  <si>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</si>
  <si>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</si>
  <si>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</si>
  <si>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</si>
  <si>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</si>
  <si>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</si>
  <si>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</si>
  <si>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</si>
  <si>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</si>
  <si>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</si>
  <si>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</si>
  <si>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</si>
  <si>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</si>
  <si>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</si>
  <si>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</si>
  <si>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</si>
  <si>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</si>
  <si>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</si>
  <si>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</si>
  <si>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</si>
  <si>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</si>
  <si>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</si>
  <si>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</si>
  <si>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</si>
  <si>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</si>
  <si>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</si>
  <si>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</si>
  <si>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</si>
  <si>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</si>
  <si>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</si>
  <si>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</si>
  <si>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</si>
  <si>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</si>
  <si>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</si>
  <si>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</si>
  <si>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</si>
  <si>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</si>
  <si>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</si>
  <si>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</si>
  <si>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</si>
  <si>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</si>
  <si>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</si>
  <si>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</si>
  <si>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</si>
  <si>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</si>
  <si>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</si>
  <si>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</si>
  <si>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</si>
  <si>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</si>
  <si>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</si>
  <si>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</si>
  <si>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</si>
  <si>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</si>
  <si>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</si>
  <si>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</si>
  <si>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</si>
  <si>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</si>
  <si>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</si>
  <si>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</si>
  <si>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</si>
  <si>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</si>
  <si>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</si>
  <si>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</si>
  <si>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</si>
  <si>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</si>
  <si>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</si>
  <si>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</si>
  <si>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</si>
  <si>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</si>
  <si>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</si>
  <si>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</si>
  <si>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</si>
  <si>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</si>
  <si>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</si>
  <si>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</si>
  <si>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</si>
  <si>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</si>
  <si>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</si>
  <si>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</si>
  <si>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</si>
  <si>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</si>
  <si>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</si>
  <si>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</si>
  <si>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</si>
  <si>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</si>
  <si>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</si>
  <si>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</si>
  <si>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</si>
  <si>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</si>
  <si>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</si>
  <si>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</si>
  <si>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</si>
  <si>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</si>
  <si>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</si>
  <si>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</si>
  <si>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</si>
  <si>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</si>
  <si>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</si>
  <si>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</si>
  <si>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</si>
  <si>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</si>
  <si>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</si>
  <si>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</si>
  <si>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</si>
  <si>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</si>
  <si>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</si>
  <si>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</si>
  <si>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</si>
  <si>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</si>
  <si>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</si>
  <si>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</si>
  <si>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</si>
  <si>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</si>
  <si>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</si>
  <si>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</si>
  <si>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</si>
  <si>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</si>
  <si>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</si>
  <si>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</si>
  <si>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</si>
  <si>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</si>
  <si>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</si>
  <si>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</si>
  <si>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</si>
  <si>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</si>
  <si>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</si>
  <si>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</si>
  <si>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</si>
  <si>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</si>
  <si>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</si>
  <si>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</si>
  <si>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</si>
  <si>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</si>
  <si>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</si>
  <si>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</si>
  <si>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</si>
  <si>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</si>
  <si>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</si>
  <si>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</si>
  <si>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</si>
  <si>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</si>
  <si>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</si>
  <si>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</si>
  <si>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</si>
  <si>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</si>
  <si>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</si>
  <si>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</si>
  <si>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</si>
  <si>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</si>
  <si>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</si>
  <si>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</si>
  <si>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</si>
  <si>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</si>
  <si>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</si>
  <si>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</si>
  <si>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</si>
  <si>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</si>
  <si>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</si>
  <si>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</si>
  <si>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</si>
  <si>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</si>
  <si>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</si>
  <si>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</si>
  <si>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</si>
  <si>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</si>
  <si>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</si>
  <si>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</si>
  <si>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</si>
  <si>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</si>
  <si>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</si>
  <si>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</si>
  <si>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</si>
  <si>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</si>
  <si>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</si>
  <si>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</si>
  <si>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</si>
  <si>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</si>
  <si>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</si>
  <si>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</si>
  <si>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</si>
  <si>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</si>
  <si>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</si>
  <si>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</si>
  <si>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</si>
  <si>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</si>
  <si>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</si>
  <si>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</si>
  <si>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</si>
  <si>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</si>
  <si>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</si>
  <si>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</si>
  <si>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</si>
  <si>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</si>
  <si>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</si>
  <si>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</si>
  <si>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</si>
  <si>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</si>
  <si>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</si>
  <si>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</si>
  <si>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</si>
  <si>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</si>
  <si>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</si>
  <si>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</si>
  <si>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</si>
  <si>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</si>
  <si>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</si>
  <si>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</si>
  <si>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</si>
  <si>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</si>
  <si>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</si>
  <si>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</si>
  <si>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</si>
  <si>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</si>
  <si>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</si>
  <si>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</si>
  <si>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</si>
  <si>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</si>
  <si>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</si>
  <si>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</si>
  <si>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</si>
  <si>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</si>
  <si>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</si>
  <si>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</si>
  <si>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</si>
  <si>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</si>
  <si>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</si>
  <si>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</si>
  <si>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</si>
  <si>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</si>
  <si>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</si>
  <si>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</si>
  <si>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</si>
  <si>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</si>
  <si>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</si>
  <si>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</si>
  <si>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</si>
  <si>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</si>
  <si>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</si>
  <si>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</si>
  <si>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</si>
  <si>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</si>
  <si>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</si>
  <si>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</si>
  <si>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</si>
  <si>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</si>
  <si>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</si>
  <si>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</si>
  <si>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</si>
  <si>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</si>
  <si>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</si>
  <si>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</si>
  <si>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</si>
  <si>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</si>
  <si>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</si>
  <si>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</si>
  <si>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</si>
  <si>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</si>
  <si>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</si>
  <si>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</si>
  <si>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</si>
  <si>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</si>
  <si>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</si>
  <si>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</si>
  <si>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</si>
  <si>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</si>
  <si>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</si>
  <si>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</si>
  <si>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</si>
  <si>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</si>
  <si>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</si>
  <si>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</si>
  <si>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</si>
  <si>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</si>
  <si>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</si>
  <si>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</si>
  <si>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</si>
  <si>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</si>
  <si>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</si>
  <si>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</si>
  <si>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</si>
  <si>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</si>
  <si>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</si>
  <si>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</si>
  <si>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</si>
  <si>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</si>
  <si>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</si>
  <si>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</si>
  <si>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</si>
  <si>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</si>
  <si>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</si>
  <si>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</si>
  <si>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</si>
  <si>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</si>
  <si>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</si>
  <si>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</si>
  <si>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</si>
  <si>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</si>
  <si>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</si>
  <si>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</si>
  <si>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</si>
  <si>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</si>
  <si>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</si>
  <si>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</si>
  <si>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</si>
  <si>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</si>
  <si>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</si>
  <si>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</si>
  <si>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</si>
  <si>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</si>
  <si>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</si>
  <si>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</si>
  <si>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</si>
  <si>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</si>
  <si>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</si>
  <si>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</si>
  <si>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</si>
  <si>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</si>
  <si>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</si>
  <si>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</si>
  <si>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</si>
  <si>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</si>
  <si>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</si>
  <si>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</si>
  <si>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</si>
  <si>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</si>
  <si>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</si>
  <si>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</si>
  <si>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</si>
  <si>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</si>
  <si>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</si>
  <si>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</si>
  <si>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</si>
  <si>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</si>
  <si>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</si>
  <si>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</si>
  <si>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</si>
  <si>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</si>
  <si>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</si>
  <si>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</si>
  <si>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</si>
  <si>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</si>
  <si>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</si>
  <si>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</si>
  <si>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</si>
  <si>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</si>
  <si>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</si>
  <si>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</si>
  <si>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</si>
  <si>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</si>
  <si>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</si>
  <si>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</si>
  <si>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</si>
  <si>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</si>
  <si>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</si>
  <si>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</si>
  <si>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</si>
  <si>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</si>
  <si>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</si>
  <si>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</si>
  <si>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</si>
  <si>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</si>
  <si>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</si>
  <si>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</si>
  <si>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</si>
  <si>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</si>
  <si>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</si>
  <si>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</si>
  <si>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</si>
  <si>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</si>
  <si>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</si>
  <si>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</si>
  <si>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</si>
  <si>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</si>
  <si>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</si>
  <si>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</si>
  <si>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</si>
  <si>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</si>
  <si>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</si>
  <si>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</si>
  <si>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</si>
  <si>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</si>
  <si>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</si>
  <si>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</si>
  <si>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</si>
  <si>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</si>
  <si>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</si>
  <si>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</si>
  <si>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</si>
  <si>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</si>
  <si>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</si>
  <si>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</si>
  <si>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</si>
  <si>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</si>
  <si>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</si>
  <si>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</si>
  <si>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</si>
  <si>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</si>
  <si>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</si>
  <si>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</si>
  <si>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</si>
  <si>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</si>
  <si>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</si>
  <si>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</si>
  <si>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</si>
  <si>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</si>
  <si>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</si>
  <si>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</si>
  <si>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</si>
  <si>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</si>
  <si>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</si>
  <si>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</si>
  <si>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</si>
  <si>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</si>
  <si>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</si>
  <si>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</si>
  <si>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</si>
  <si>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</si>
  <si>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</si>
  <si>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</si>
  <si>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</si>
  <si>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</si>
  <si>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</si>
  <si>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</si>
  <si>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</si>
  <si>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</si>
  <si>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</si>
  <si>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</si>
  <si>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</si>
  <si>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</si>
  <si>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</si>
  <si>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</si>
  <si>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</si>
  <si>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</si>
  <si>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</si>
  <si>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</si>
  <si>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</si>
  <si>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</si>
  <si>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</si>
  <si>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</si>
  <si>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</si>
  <si>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</si>
  <si>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</si>
  <si>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</si>
  <si>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</si>
  <si>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</si>
  <si>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</si>
  <si>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</si>
  <si>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</si>
  <si>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</si>
  <si>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</si>
  <si>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</si>
  <si>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</si>
  <si>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</si>
  <si>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</si>
  <si>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</si>
  <si>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</si>
  <si>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</si>
  <si>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</si>
  <si>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</si>
  <si>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</si>
  <si>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</si>
  <si>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</si>
  <si>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</si>
  <si>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</si>
  <si>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</si>
  <si>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</si>
  <si>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</si>
  <si>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</si>
  <si>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</si>
  <si>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</si>
  <si>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</si>
  <si>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</si>
  <si>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</si>
  <si>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</si>
  <si>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</si>
  <si>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</si>
  <si>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</si>
  <si>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</si>
  <si>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</si>
  <si>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</si>
  <si>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</si>
  <si>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</si>
  <si>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</si>
  <si>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</si>
  <si>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</si>
  <si>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</si>
  <si>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</si>
  <si>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</si>
  <si>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</si>
  <si>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</si>
  <si>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</si>
  <si>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</si>
  <si>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</si>
  <si>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</si>
  <si>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</si>
  <si>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</si>
  <si>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</si>
  <si>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</si>
  <si>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</si>
  <si>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</si>
  <si>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</si>
  <si>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</si>
  <si>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</si>
  <si>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</si>
  <si>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</si>
  <si>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</si>
  <si>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</si>
  <si>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</si>
  <si>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</si>
  <si>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</si>
  <si>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</si>
  <si>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</si>
  <si>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</si>
  <si>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</si>
  <si>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</si>
  <si>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</si>
  <si>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</si>
  <si>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</si>
  <si>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</si>
  <si>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</si>
  <si>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</si>
  <si>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</si>
  <si>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</si>
  <si>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</si>
  <si>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</si>
  <si>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</si>
  <si>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</si>
  <si>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</si>
  <si>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</si>
  <si>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</si>
  <si>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</si>
  <si>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</si>
  <si>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</si>
  <si>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</si>
  <si>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</si>
  <si>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</si>
  <si>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</si>
  <si>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</si>
  <si>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</si>
  <si>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</si>
  <si>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</si>
  <si>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</si>
  <si>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</si>
  <si>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</si>
  <si>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</si>
  <si>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</si>
  <si>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</si>
  <si>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</si>
  <si>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</si>
  <si>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</si>
  <si>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</si>
  <si>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</si>
  <si>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</si>
  <si>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</si>
  <si>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</si>
  <si>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</si>
  <si>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</si>
  <si>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</si>
  <si>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</si>
  <si>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</si>
  <si>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</si>
  <si>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</si>
  <si>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</si>
  <si>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</si>
  <si>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</si>
  <si>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</si>
  <si>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</si>
  <si>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</si>
  <si>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</si>
  <si>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</si>
  <si>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</si>
  <si>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</si>
  <si>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</si>
  <si>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</si>
  <si>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</si>
  <si>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</si>
  <si>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</si>
  <si>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</si>
  <si>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</si>
  <si>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</si>
  <si>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</si>
  <si>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</si>
  <si>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</si>
  <si>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</si>
  <si>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</si>
  <si>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</si>
  <si>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</si>
  <si>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</si>
  <si>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</si>
  <si>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</si>
  <si>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</si>
  <si>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</si>
  <si>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</si>
  <si>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</si>
  <si>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</si>
  <si>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</si>
  <si>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</si>
  <si>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</si>
  <si>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</si>
  <si>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</si>
  <si>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</si>
  <si>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</si>
  <si>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</si>
  <si>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</si>
  <si>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</si>
  <si>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</si>
  <si>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</si>
  <si>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</si>
  <si>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</si>
  <si>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</si>
  <si>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</si>
  <si>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</si>
  <si>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</si>
  <si>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</si>
  <si>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</si>
  <si>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</si>
  <si>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</si>
  <si>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</si>
  <si>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</si>
  <si>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</si>
  <si>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</si>
  <si>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</si>
  <si>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</si>
  <si>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</si>
  <si>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</si>
  <si>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</si>
  <si>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</si>
  <si>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</si>
  <si>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</si>
  <si>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</si>
  <si>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</si>
  <si>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</si>
  <si>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</si>
  <si>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</si>
  <si>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</si>
  <si>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</si>
  <si>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</si>
  <si>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</si>
  <si>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</si>
  <si>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</si>
  <si>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</si>
  <si>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</si>
  <si>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</si>
  <si>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</si>
  <si>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</si>
  <si>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</si>
  <si>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</si>
  <si>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</si>
  <si>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</si>
  <si>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</si>
  <si>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</si>
  <si>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</si>
  <si>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</si>
  <si>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</si>
  <si>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</si>
  <si>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</si>
  <si>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</si>
  <si>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</si>
  <si>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</si>
  <si>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</si>
  <si>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</si>
  <si>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</si>
  <si>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</si>
  <si>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</si>
  <si>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</si>
  <si>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</si>
  <si>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</si>
  <si>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</si>
  <si>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</si>
  <si>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</si>
  <si>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</si>
  <si>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</si>
  <si>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</si>
  <si>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</si>
  <si>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</si>
  <si>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</si>
  <si>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</si>
  <si>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</si>
  <si>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</si>
  <si>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</si>
  <si>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</si>
  <si>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</si>
  <si>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</si>
  <si>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</si>
  <si>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</si>
  <si>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</si>
  <si>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</si>
  <si>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</si>
  <si>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</si>
  <si>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</si>
  <si>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</si>
  <si>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</si>
  <si>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</si>
  <si>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</si>
  <si>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</si>
  <si>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</si>
  <si>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</si>
  <si>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</si>
  <si>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</si>
  <si>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</si>
  <si>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</si>
  <si>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</si>
  <si>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</si>
  <si>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</si>
  <si>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</si>
  <si>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</si>
  <si>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</si>
  <si>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</si>
  <si>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</si>
  <si>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</si>
  <si>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</si>
  <si>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</si>
  <si>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</si>
  <si>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</si>
  <si>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</si>
  <si>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</si>
  <si>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</si>
  <si>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</si>
  <si>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</si>
  <si>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</si>
  <si>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</si>
  <si>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</si>
  <si>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</si>
  <si>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</si>
  <si>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</si>
  <si>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</si>
  <si>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</si>
  <si>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</si>
  <si>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</si>
  <si>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</si>
  <si>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</si>
  <si>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</si>
  <si>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</si>
  <si>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</si>
  <si>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</si>
  <si>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</si>
  <si>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</si>
  <si>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</si>
  <si>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</si>
  <si>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</si>
  <si>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</si>
  <si>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</si>
  <si>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</si>
  <si>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</si>
  <si>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</si>
  <si>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</si>
  <si>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</si>
  <si>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</si>
  <si>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</si>
  <si>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</si>
  <si>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</si>
  <si>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</si>
  <si>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</si>
  <si>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</si>
  <si>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</si>
  <si>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</si>
  <si>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</si>
  <si>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</si>
  <si>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</si>
  <si>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</si>
  <si>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</si>
  <si>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</si>
  <si>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</si>
  <si>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</si>
  <si>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</si>
  <si>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</si>
  <si>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</si>
  <si>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</si>
  <si>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</si>
  <si>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</si>
  <si>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</si>
  <si>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</si>
  <si>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</si>
  <si>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</si>
  <si>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</si>
  <si>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</si>
  <si>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</si>
  <si>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</si>
  <si>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</si>
  <si>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</si>
  <si>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</si>
  <si>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</si>
  <si>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</si>
  <si>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</si>
  <si>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</si>
  <si>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</si>
  <si>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</si>
  <si>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</si>
  <si>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</si>
  <si>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</si>
  <si>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</si>
  <si>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</si>
  <si>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</si>
  <si>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</si>
  <si>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</si>
  <si>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</si>
  <si>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</si>
  <si>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</si>
  <si>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</si>
  <si>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</si>
  <si>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</si>
  <si>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</si>
  <si>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</si>
  <si>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</si>
  <si>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</si>
  <si>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</si>
  <si>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</si>
  <si>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</si>
  <si>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</si>
  <si>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</si>
  <si>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</si>
  <si>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</si>
  <si>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</si>
  <si>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</si>
  <si>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</si>
  <si>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</si>
  <si>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</si>
  <si>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</si>
  <si>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</si>
  <si>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</si>
  <si>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</si>
  <si>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</si>
  <si>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</si>
  <si>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</si>
  <si>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</si>
  <si>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</si>
  <si>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</si>
  <si>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</si>
  <si>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</si>
  <si>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</si>
  <si>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</si>
  <si>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</si>
  <si>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</si>
  <si>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</si>
  <si>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</si>
  <si>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</si>
  <si>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</si>
  <si>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</si>
  <si>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</si>
  <si>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</si>
  <si>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</si>
  <si>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</si>
  <si>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</si>
  <si>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</si>
  <si>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</si>
  <si>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</si>
  <si>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</si>
  <si>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</si>
  <si>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</si>
  <si>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</si>
  <si>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</si>
  <si>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</si>
  <si>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</si>
  <si>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</si>
  <si>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</si>
  <si>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</si>
  <si>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</si>
  <si>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</si>
  <si>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</si>
  <si>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</si>
  <si>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</si>
  <si>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</si>
  <si>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</si>
  <si>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</si>
  <si>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</si>
  <si>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</si>
  <si>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</si>
  <si>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</si>
  <si>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</si>
  <si>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</si>
  <si>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</si>
  <si>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</si>
  <si>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</si>
  <si>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</si>
  <si>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</si>
  <si>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</si>
  <si>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</si>
  <si>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</si>
  <si>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</si>
  <si>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</si>
  <si>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</si>
  <si>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</si>
  <si>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</si>
  <si>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</si>
  <si>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</si>
  <si>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</si>
  <si>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</si>
  <si>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</si>
  <si>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</si>
  <si>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</si>
  <si>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</si>
  <si>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</si>
  <si>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</si>
  <si>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</si>
  <si>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</si>
  <si>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</si>
  <si>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</si>
  <si>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</si>
  <si>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</si>
  <si>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</si>
  <si>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</si>
  <si>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</si>
  <si>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</si>
  <si>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</si>
  <si>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</si>
  <si>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</si>
  <si>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</si>
  <si>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</si>
  <si>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</si>
  <si>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</si>
  <si>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</si>
  <si>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</si>
  <si>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</si>
  <si>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</si>
  <si>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</si>
  <si>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</si>
  <si>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</si>
  <si>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</si>
  <si>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</si>
  <si>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</si>
  <si>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</si>
  <si>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</si>
  <si>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</si>
  <si>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</si>
  <si>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</si>
  <si>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</si>
  <si>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</si>
  <si>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</si>
  <si>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</si>
  <si>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</si>
  <si>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</si>
  <si>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</si>
  <si>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</si>
  <si>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</si>
  <si>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</si>
  <si>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</si>
  <si>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</si>
  <si>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</si>
  <si>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</si>
  <si>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</si>
  <si>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</si>
  <si>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</si>
  <si>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</si>
  <si>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</si>
  <si>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</si>
  <si>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</si>
  <si>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</si>
  <si>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</si>
  <si>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</si>
  <si>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</si>
  <si>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</si>
  <si>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</si>
  <si>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</si>
  <si>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</si>
  <si>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</si>
  <si>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</si>
  <si>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</si>
  <si>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</si>
  <si>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</si>
  <si>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</si>
  <si>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</si>
  <si>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</si>
  <si>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</si>
  <si>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</si>
  <si>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</si>
  <si>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</si>
  <si>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</si>
  <si>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</si>
  <si>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</si>
  <si>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</si>
  <si>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</si>
  <si>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</si>
  <si>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</si>
  <si>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</si>
  <si>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</si>
  <si>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</si>
  <si>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</si>
  <si>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</si>
  <si>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</si>
  <si>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</si>
  <si>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</si>
  <si>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</si>
  <si>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</si>
  <si>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</si>
  <si>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</si>
  <si>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</si>
  <si>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</si>
  <si>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</si>
  <si>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</si>
  <si>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</si>
  <si>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</si>
  <si>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</si>
  <si>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</si>
  <si>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</si>
  <si>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</si>
  <si>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</si>
  <si>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</si>
  <si>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</si>
  <si>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</si>
  <si>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</si>
  <si>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</si>
  <si>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</si>
  <si>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</si>
  <si>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</si>
  <si>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</si>
  <si>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</si>
  <si>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</si>
  <si>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</si>
  <si>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</si>
  <si>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</si>
  <si>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</si>
  <si>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</si>
  <si>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</si>
  <si>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</si>
  <si>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</si>
  <si>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</si>
  <si>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</si>
  <si>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</si>
  <si>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</si>
  <si>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</si>
  <si>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</si>
  <si>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</si>
  <si>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</si>
  <si>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</si>
  <si>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</si>
  <si>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</si>
  <si>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</si>
  <si>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</si>
  <si>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</si>
  <si>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</si>
  <si>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</si>
  <si>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</si>
  <si>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</si>
  <si>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</si>
  <si>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</si>
  <si>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</si>
  <si>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</si>
  <si>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</si>
  <si>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</si>
  <si>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</si>
  <si>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</si>
  <si>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</si>
  <si>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</si>
  <si>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</si>
  <si>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</si>
  <si>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</si>
  <si>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</si>
  <si>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</si>
  <si>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</si>
  <si>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</si>
  <si>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</si>
  <si>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</si>
  <si>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</si>
  <si>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</si>
  <si>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</si>
  <si>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</si>
  <si>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</si>
  <si>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</si>
  <si>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</si>
  <si>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</si>
  <si>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</si>
  <si>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</si>
  <si>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</si>
  <si>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</si>
  <si>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</si>
  <si>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</si>
  <si>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</si>
  <si>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</si>
  <si>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</si>
  <si>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</si>
  <si>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</si>
  <si>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</si>
  <si>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</si>
  <si>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</si>
  <si>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</si>
  <si>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</si>
  <si>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</si>
  <si>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</si>
  <si>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</si>
  <si>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</si>
  <si>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</si>
  <si>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</si>
  <si>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</si>
  <si>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</si>
  <si>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</si>
  <si>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</si>
  <si>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</si>
  <si>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</si>
  <si>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</si>
  <si>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</si>
  <si>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</si>
  <si>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</si>
  <si>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</si>
  <si>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</si>
  <si>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</si>
  <si>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</si>
  <si>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</si>
  <si>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</si>
  <si>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</si>
  <si>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</si>
  <si>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</si>
  <si>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</si>
  <si>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</si>
  <si>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</si>
  <si>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</si>
  <si>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</si>
  <si>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</si>
  <si>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</si>
  <si>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</si>
  <si>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</si>
  <si>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</si>
  <si>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</si>
  <si>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</si>
  <si>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</si>
  <si>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</si>
  <si>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</si>
  <si>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</si>
  <si>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</si>
  <si>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</si>
  <si>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</si>
  <si>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</si>
  <si>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</si>
  <si>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</si>
  <si>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</si>
  <si>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</si>
  <si>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</si>
  <si>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</si>
  <si>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</si>
  <si>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</si>
  <si>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</si>
  <si>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</si>
  <si>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</si>
  <si>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</si>
  <si>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</si>
  <si>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</si>
  <si>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</si>
  <si>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</si>
  <si>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</si>
  <si>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</si>
  <si>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</si>
  <si>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</si>
  <si>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</si>
  <si>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</si>
  <si>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</si>
  <si>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</si>
  <si>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</si>
  <si>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</si>
  <si>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</si>
  <si>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</si>
  <si>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</si>
  <si>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</si>
  <si>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</si>
  <si>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</si>
  <si>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</si>
  <si>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</si>
  <si>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</si>
  <si>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</si>
  <si>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</si>
  <si>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</si>
  <si>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</si>
  <si>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</si>
  <si>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</si>
  <si>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</si>
  <si>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</si>
  <si>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</si>
  <si>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</si>
  <si>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</si>
  <si>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</si>
  <si>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</si>
  <si>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</si>
  <si>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</si>
  <si>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</si>
  <si>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</si>
  <si>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</si>
  <si>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</si>
  <si>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</si>
  <si>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</si>
  <si>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</si>
  <si>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</si>
  <si>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</si>
  <si>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</si>
  <si>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</si>
  <si>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</si>
  <si>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</si>
  <si>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</si>
  <si>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</si>
  <si>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</si>
  <si>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</si>
  <si>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</si>
  <si>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</si>
  <si>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</si>
  <si>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</si>
  <si>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</si>
  <si>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</si>
  <si>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</si>
  <si>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</si>
  <si>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</si>
  <si>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</si>
  <si>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</si>
  <si>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</si>
  <si>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</si>
  <si>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</si>
  <si>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</si>
  <si>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</si>
  <si>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</si>
  <si>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</si>
  <si>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</si>
  <si>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</si>
  <si>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</si>
  <si>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</si>
  <si>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</si>
  <si>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</si>
  <si>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</si>
  <si>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</si>
  <si>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</si>
  <si>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</si>
  <si>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</si>
  <si>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</si>
  <si>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</si>
  <si>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</si>
  <si>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</si>
  <si>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</si>
  <si>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</si>
  <si>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</si>
  <si>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</si>
  <si>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</si>
  <si>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</si>
  <si>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</si>
  <si>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</si>
  <si>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</si>
  <si>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</si>
  <si>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</si>
  <si>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</si>
  <si>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</si>
  <si>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</si>
  <si>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</si>
  <si>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</si>
  <si>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</si>
  <si>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</si>
  <si>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</si>
  <si>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</si>
  <si>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</si>
  <si>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</si>
  <si>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</si>
  <si>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</si>
  <si>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</si>
  <si>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</si>
  <si>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</si>
  <si>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</si>
  <si>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</si>
  <si>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</si>
  <si>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</si>
  <si>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</si>
  <si>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</si>
  <si>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</si>
  <si>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</si>
  <si>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</si>
  <si>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</si>
  <si>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</si>
  <si>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</si>
  <si>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</si>
  <si>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</si>
  <si>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</si>
  <si>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</si>
  <si>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</si>
  <si>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</si>
  <si>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</si>
  <si>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</si>
  <si>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</si>
  <si>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</si>
  <si>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</si>
  <si>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</si>
  <si>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</si>
  <si>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</si>
  <si>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</si>
  <si>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</si>
  <si>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</si>
  <si>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</si>
  <si>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</si>
  <si>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</si>
  <si>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</si>
  <si>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</si>
  <si>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</si>
  <si>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</si>
  <si>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</si>
  <si>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</si>
  <si>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</si>
  <si>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</si>
  <si>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</si>
  <si>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</si>
  <si>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</si>
  <si>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</si>
  <si>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</si>
  <si>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</si>
  <si>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</si>
  <si>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</si>
  <si>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</si>
  <si>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</si>
  <si>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</si>
  <si>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</si>
  <si>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</si>
  <si>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</si>
  <si>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</si>
  <si>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</si>
  <si>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</si>
  <si>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</si>
  <si>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</si>
  <si>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</si>
  <si>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</si>
  <si>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</si>
  <si>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</si>
  <si>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</si>
  <si>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</si>
  <si>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</si>
  <si>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</si>
  <si>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</si>
  <si>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</si>
  <si>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</si>
  <si>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</si>
  <si>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</si>
  <si>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</si>
  <si>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</si>
  <si>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</si>
  <si>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</si>
  <si>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</si>
  <si>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</si>
  <si>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</si>
  <si>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</si>
  <si>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</si>
  <si>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</si>
  <si>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</si>
  <si>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</si>
  <si>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</si>
  <si>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</si>
  <si>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</si>
  <si>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</si>
  <si>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</si>
  <si>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</si>
  <si>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</si>
  <si>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</si>
  <si>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</si>
  <si>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</si>
  <si>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</si>
  <si>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</si>
  <si>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</si>
  <si>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</si>
  <si>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</si>
  <si>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</si>
  <si>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</si>
  <si>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</si>
  <si>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</si>
  <si>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</si>
  <si>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</si>
  <si>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</si>
  <si>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</si>
  <si>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</si>
  <si>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</si>
  <si>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</si>
  <si>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</si>
  <si>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</si>
  <si>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</si>
  <si>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</si>
  <si>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</si>
  <si>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</si>
  <si>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</si>
  <si>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</si>
  <si>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</si>
  <si>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</si>
  <si>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</si>
  <si>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</si>
  <si>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</si>
  <si>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</si>
  <si>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</si>
  <si>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</si>
  <si>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</si>
  <si>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</si>
  <si>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</si>
  <si>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</si>
  <si>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</si>
  <si>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</si>
  <si>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</si>
  <si>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</si>
  <si>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</si>
  <si>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</si>
  <si>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</si>
  <si>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</si>
  <si>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</si>
  <si>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</si>
  <si>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</si>
  <si>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</si>
  <si>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</si>
  <si>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</si>
  <si>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</si>
  <si>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</si>
  <si>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</si>
  <si>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</si>
  <si>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</si>
  <si>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</si>
  <si>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</si>
  <si>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</si>
  <si>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</si>
  <si>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</si>
  <si>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</si>
  <si>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</si>
  <si>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</si>
  <si>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</si>
  <si>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</si>
  <si>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</si>
  <si>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</si>
  <si>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</si>
  <si>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</si>
  <si>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</si>
  <si>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</si>
  <si>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</si>
  <si>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</si>
  <si>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</si>
  <si>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</si>
  <si>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</si>
  <si>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</si>
  <si>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</si>
  <si>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</si>
  <si>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</si>
  <si>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</si>
  <si>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</si>
  <si>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</si>
  <si>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</si>
  <si>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</si>
  <si>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</si>
  <si>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</si>
  <si>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</si>
  <si>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</si>
  <si>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</si>
  <si>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</si>
  <si>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</si>
  <si>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</si>
  <si>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</si>
  <si>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</si>
  <si>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</si>
  <si>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</si>
  <si>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</si>
  <si>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</si>
  <si>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</si>
  <si>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</si>
  <si>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</si>
  <si>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</si>
  <si>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</si>
  <si>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</si>
  <si>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</si>
  <si>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</si>
  <si>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</si>
  <si>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</si>
  <si>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</si>
  <si>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</si>
  <si>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</si>
  <si>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</si>
  <si>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</si>
  <si>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</si>
  <si>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</si>
  <si>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</si>
  <si>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</si>
  <si>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</si>
  <si>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</si>
  <si>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</si>
  <si>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</si>
  <si>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</si>
  <si>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</si>
  <si>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</si>
  <si>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</si>
  <si>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</si>
  <si>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</si>
  <si>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</si>
  <si>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</si>
  <si>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</si>
  <si>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</si>
  <si>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</si>
  <si>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</si>
  <si>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</si>
  <si>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</si>
  <si>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</si>
  <si>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</si>
  <si>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</si>
  <si>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</si>
  <si>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</si>
  <si>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</si>
  <si>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</si>
  <si>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</si>
  <si>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</si>
  <si>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</si>
  <si>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</si>
  <si>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</si>
  <si>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</si>
  <si>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</si>
  <si>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</si>
  <si>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</si>
  <si>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</si>
  <si>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</si>
  <si>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</si>
  <si>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</si>
  <si>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</si>
  <si>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</si>
  <si>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</si>
  <si>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</si>
  <si>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</si>
  <si>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</si>
  <si>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</si>
  <si>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</si>
  <si>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</si>
  <si>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</si>
  <si>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</si>
  <si>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</si>
  <si>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</si>
  <si>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</si>
  <si>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</si>
  <si>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</si>
  <si>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</si>
  <si>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</si>
  <si>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</si>
  <si>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</si>
  <si>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</si>
  <si>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</si>
  <si>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</si>
  <si>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</si>
  <si>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</si>
  <si>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</si>
  <si>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</si>
  <si>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</si>
  <si>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</si>
  <si>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</si>
  <si>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</si>
  <si>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</si>
  <si>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</si>
  <si>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</si>
  <si>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</si>
  <si>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</si>
  <si>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</si>
  <si>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</si>
  <si>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</si>
  <si>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</si>
  <si>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</si>
  <si>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</si>
  <si>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</si>
  <si>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</si>
  <si>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</si>
  <si>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</si>
  <si>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</si>
  <si>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</si>
  <si>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</si>
  <si>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</si>
  <si>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</si>
  <si>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</si>
  <si>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</si>
  <si>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</si>
  <si>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</si>
  <si>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</si>
  <si>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</si>
  <si>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</si>
  <si>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</si>
  <si>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</si>
  <si>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</si>
  <si>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</si>
  <si>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</si>
  <si>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</si>
  <si>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</si>
  <si>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</si>
  <si>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</si>
  <si>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</si>
  <si>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</si>
  <si>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</si>
  <si>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</si>
  <si>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</si>
  <si>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</si>
  <si>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</si>
  <si>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</si>
  <si>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</si>
  <si>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</si>
  <si>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</si>
  <si>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</si>
  <si>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</si>
  <si>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</si>
  <si>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</si>
  <si>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</si>
  <si>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</si>
  <si>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</si>
  <si>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</si>
  <si>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</si>
  <si>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</si>
  <si>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</si>
  <si>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</si>
  <si>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</si>
  <si>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</si>
  <si>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</si>
  <si>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</si>
  <si>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</si>
  <si>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</si>
  <si>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</si>
  <si>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</si>
  <si>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</si>
  <si>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</si>
  <si>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</si>
  <si>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</si>
  <si>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</si>
  <si>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</si>
  <si>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</si>
  <si>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</si>
  <si>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</si>
  <si>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</si>
  <si>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</si>
  <si>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</si>
  <si>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</si>
  <si>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</si>
  <si>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</si>
  <si>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</si>
  <si>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</si>
  <si>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</si>
  <si>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</si>
  <si>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</si>
  <si>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</si>
  <si>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</si>
  <si>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</si>
  <si>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</si>
  <si>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</si>
  <si>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</si>
  <si>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</si>
  <si>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</si>
  <si>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</si>
  <si>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</si>
  <si>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</si>
  <si>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</si>
  <si>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</si>
  <si>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</si>
  <si>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</si>
  <si>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</si>
  <si>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</si>
  <si>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</si>
  <si>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</si>
  <si>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</si>
  <si>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</si>
  <si>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</si>
  <si>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</si>
  <si>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</si>
  <si>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</si>
  <si>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</si>
  <si>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</si>
  <si>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</si>
  <si>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</si>
  <si>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</si>
  <si>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</si>
  <si>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</si>
  <si>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</si>
  <si>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</si>
  <si>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</si>
  <si>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</si>
  <si>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</si>
  <si>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</si>
  <si>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</si>
  <si>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</si>
  <si>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</si>
  <si>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</si>
  <si>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</si>
  <si>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</si>
  <si>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</si>
  <si>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</si>
  <si>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</si>
  <si>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</si>
  <si>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</si>
  <si>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</si>
  <si>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</si>
  <si>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</si>
  <si>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</si>
  <si>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</si>
  <si>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</si>
  <si>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</si>
  <si>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</si>
  <si>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</si>
  <si>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</si>
  <si>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</si>
  <si>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</si>
  <si>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</si>
  <si>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</si>
  <si>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</si>
  <si>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</si>
  <si>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</si>
  <si>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</si>
  <si>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</si>
  <si>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</si>
  <si>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</si>
  <si>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</si>
  <si>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</si>
  <si>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</si>
  <si>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</si>
  <si>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</si>
  <si>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</si>
  <si>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</si>
  <si>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</si>
  <si>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</si>
  <si>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</si>
  <si>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</si>
  <si>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</si>
  <si>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</si>
  <si>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</si>
  <si>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</si>
  <si>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</si>
  <si>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</si>
  <si>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</si>
  <si>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</si>
  <si>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</si>
  <si>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</si>
  <si>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</si>
  <si>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</si>
  <si>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</si>
  <si>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</si>
  <si>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</si>
  <si>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</si>
  <si>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</si>
  <si>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</si>
  <si>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</si>
  <si>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</si>
  <si>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</si>
  <si>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</si>
  <si>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</si>
  <si>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</si>
  <si>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</si>
  <si>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</si>
  <si>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</si>
  <si>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</si>
  <si>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</si>
  <si>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</si>
  <si>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</si>
  <si>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</si>
  <si>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</si>
  <si>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</si>
  <si>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</si>
  <si>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</si>
  <si>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</si>
  <si>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</si>
  <si>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</si>
  <si>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</si>
  <si>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</si>
  <si>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</si>
  <si>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</si>
  <si>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</si>
  <si>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</si>
  <si>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</si>
  <si>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</si>
  <si>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</si>
  <si>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</si>
  <si>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</si>
  <si>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</si>
  <si>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</si>
  <si>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</si>
  <si>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</si>
  <si>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</si>
  <si>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</si>
  <si>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</si>
  <si>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</si>
  <si>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</si>
  <si>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</si>
  <si>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</si>
  <si>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</si>
  <si>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</si>
  <si>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</si>
  <si>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</si>
  <si>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</si>
  <si>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</si>
  <si>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</si>
  <si>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</si>
  <si>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</si>
  <si>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</si>
  <si>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</si>
  <si>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</si>
  <si>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</si>
  <si>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</si>
  <si>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</si>
  <si>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</si>
  <si>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</si>
  <si>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</si>
  <si>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</si>
  <si>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</si>
  <si>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</si>
  <si>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</si>
  <si>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</si>
  <si>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</si>
  <si>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</si>
  <si>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</si>
  <si>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</si>
  <si>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</si>
  <si>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</si>
  <si>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</si>
  <si>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</si>
  <si>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</si>
  <si>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</si>
  <si>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</si>
  <si>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</si>
  <si>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</si>
  <si>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</si>
  <si>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</si>
  <si>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</si>
  <si>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</si>
  <si>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</si>
  <si>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</si>
  <si>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</si>
  <si>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</si>
  <si>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</si>
  <si>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</si>
  <si>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</si>
  <si>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</si>
  <si>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</si>
  <si>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</si>
  <si>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</si>
  <si>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</si>
  <si>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</si>
  <si>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</si>
  <si>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</si>
  <si>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</si>
  <si>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</si>
  <si>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</si>
  <si>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</si>
  <si>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</si>
  <si>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</si>
  <si>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</si>
  <si>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</si>
  <si>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</si>
  <si>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</si>
  <si>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</si>
  <si>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</si>
  <si>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</si>
  <si>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</si>
  <si>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</si>
  <si>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</si>
  <si>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</si>
  <si>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</si>
  <si>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</si>
  <si>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</si>
  <si>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</si>
  <si>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</si>
  <si>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</si>
  <si>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</si>
  <si>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</si>
  <si>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</si>
  <si>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</si>
  <si>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</si>
  <si>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</si>
  <si>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</si>
  <si>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</si>
  <si>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</si>
  <si>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</si>
  <si>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</si>
  <si>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</si>
  <si>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</si>
  <si>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</si>
  <si>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</si>
  <si>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</si>
  <si>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</si>
  <si>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</si>
  <si>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</si>
  <si>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</si>
  <si>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</si>
  <si>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</si>
  <si>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</si>
  <si>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</si>
  <si>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</si>
  <si>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</si>
  <si>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</si>
  <si>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</si>
  <si>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</si>
  <si>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</si>
  <si>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</si>
  <si>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</si>
  <si>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</si>
  <si>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</si>
  <si>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</si>
  <si>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</si>
  <si>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</si>
  <si>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</si>
  <si>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</si>
  <si>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</si>
  <si>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</si>
  <si>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</si>
  <si>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</si>
  <si>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</si>
  <si>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</si>
  <si>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</si>
  <si>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</si>
  <si>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</si>
  <si>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</si>
  <si>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</si>
  <si>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</si>
  <si>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</si>
  <si>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</si>
  <si>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</si>
  <si>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</si>
  <si>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</si>
  <si>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</si>
  <si>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</si>
  <si>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</si>
  <si>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</si>
  <si>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</si>
  <si>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</si>
  <si>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</si>
  <si>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</si>
  <si>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</si>
  <si>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</si>
  <si>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</si>
  <si>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</si>
  <si>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</si>
  <si>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</si>
  <si>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</si>
  <si>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</si>
  <si>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</si>
  <si>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</si>
  <si>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</si>
  <si>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</si>
  <si>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</si>
  <si>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</si>
  <si>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</si>
  <si>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</si>
  <si>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</si>
  <si>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</si>
  <si>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</si>
  <si>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</si>
  <si>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</si>
  <si>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</si>
  <si>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</si>
  <si>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</si>
  <si>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</si>
  <si>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</si>
  <si>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</si>
  <si>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</si>
  <si>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</si>
  <si>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</si>
  <si>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</si>
  <si>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</si>
  <si>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</si>
  <si>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</si>
  <si>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</si>
  <si>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</si>
  <si>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</si>
  <si>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</si>
  <si>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</si>
  <si>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</si>
  <si>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</si>
  <si>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</si>
  <si>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</si>
  <si>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</si>
  <si>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</si>
  <si>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</si>
  <si>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</si>
  <si>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</si>
  <si>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</si>
  <si>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</si>
  <si>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</si>
  <si>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</si>
  <si>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</si>
  <si>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</si>
  <si>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</si>
  <si>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</si>
  <si>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</si>
  <si>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</si>
  <si>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</si>
  <si>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</si>
  <si>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</si>
  <si>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</si>
  <si>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</si>
  <si>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</si>
  <si>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</si>
  <si>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</si>
  <si>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</si>
  <si>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</si>
  <si>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</si>
  <si>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</si>
  <si>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</si>
  <si>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</si>
  <si>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</si>
  <si>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</si>
  <si>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</si>
  <si>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</si>
  <si>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</si>
  <si>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</si>
  <si>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</si>
  <si>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</si>
  <si>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</si>
  <si>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</si>
  <si>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</si>
  <si>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</si>
  <si>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</si>
  <si>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</si>
  <si>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</si>
  <si>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</si>
  <si>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</si>
  <si>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</si>
  <si>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</si>
  <si>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</si>
  <si>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</si>
  <si>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</si>
  <si>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</si>
  <si>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</si>
  <si>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</si>
  <si>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</si>
  <si>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</si>
  <si>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</si>
  <si>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</si>
  <si>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</si>
  <si>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</si>
  <si>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</si>
  <si>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</si>
  <si>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</si>
  <si>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</si>
  <si>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</si>
  <si>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</si>
  <si>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</si>
  <si>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</si>
  <si>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</si>
  <si>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</si>
  <si>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</si>
  <si>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</si>
  <si>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</si>
  <si>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</si>
  <si>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</si>
  <si>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</si>
  <si>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</si>
  <si>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</si>
  <si>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</si>
  <si>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</si>
  <si>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</si>
  <si>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</si>
  <si>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</si>
  <si>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</si>
  <si>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</si>
  <si>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</si>
  <si>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</si>
  <si>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</si>
  <si>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</si>
  <si>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</si>
  <si>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</si>
  <si>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</si>
  <si>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</si>
  <si>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</si>
  <si>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</si>
  <si>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</si>
  <si>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</si>
  <si>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</si>
  <si>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</si>
  <si>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</si>
  <si>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</si>
  <si>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</si>
  <si>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</si>
  <si>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</si>
  <si>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</si>
  <si>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</si>
  <si>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</si>
  <si>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</si>
  <si>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</si>
  <si>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</si>
  <si>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</si>
  <si>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</si>
  <si>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</si>
  <si>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</si>
  <si>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</si>
  <si>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</si>
  <si>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</si>
  <si>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</si>
  <si>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</si>
  <si>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</si>
  <si>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</si>
  <si>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</si>
  <si>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</si>
  <si>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</si>
  <si>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</si>
  <si>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</si>
  <si>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</si>
  <si>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</si>
  <si>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</si>
  <si>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</si>
  <si>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</si>
  <si>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</si>
  <si>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</si>
  <si>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</si>
  <si>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</si>
  <si>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</si>
  <si>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</si>
  <si>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</si>
  <si>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</si>
  <si>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</si>
  <si>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</si>
  <si>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</si>
  <si>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</si>
  <si>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</si>
  <si>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</si>
  <si>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</si>
  <si>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</si>
  <si>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</si>
  <si>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</si>
  <si>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</si>
  <si>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</si>
  <si>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</si>
  <si>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</si>
  <si>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</si>
  <si>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</si>
  <si>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</si>
  <si>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</si>
  <si>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</si>
  <si>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</si>
  <si>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</si>
  <si>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</si>
  <si>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</si>
  <si>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</si>
  <si>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</si>
  <si>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</si>
  <si>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</si>
  <si>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</si>
  <si>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</si>
  <si>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</si>
  <si>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</si>
  <si>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</si>
  <si>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</si>
  <si>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</si>
  <si>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</si>
  <si>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</si>
  <si>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</si>
  <si>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</si>
  <si>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</si>
  <si>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</si>
  <si>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</si>
  <si>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</si>
  <si>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</si>
  <si>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</si>
  <si>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</si>
  <si>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</si>
  <si>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</si>
  <si>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</si>
  <si>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</si>
  <si>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</si>
  <si>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</si>
  <si>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</si>
  <si>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</si>
  <si>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</si>
  <si>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</si>
  <si>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</si>
  <si>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</si>
  <si>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</si>
  <si>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</si>
  <si>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</si>
  <si>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</si>
  <si>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</si>
  <si>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</si>
  <si>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</si>
  <si>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</si>
  <si>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</si>
  <si>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</si>
  <si>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</si>
  <si>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</si>
  <si>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</si>
  <si>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</si>
  <si>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</si>
  <si>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</si>
  <si>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</si>
  <si>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</si>
  <si>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</si>
  <si>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</si>
  <si>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</si>
  <si>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</si>
  <si>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</si>
  <si>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</si>
  <si>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</si>
  <si>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</si>
  <si>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</si>
  <si>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</si>
  <si>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</si>
  <si>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</si>
  <si>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</si>
  <si>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</si>
  <si>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</si>
  <si>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</si>
  <si>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</si>
  <si>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</si>
  <si>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</si>
  <si>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</si>
  <si>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</si>
  <si>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</si>
  <si>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</si>
  <si>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</si>
  <si>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</si>
  <si>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</si>
  <si>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</si>
  <si>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</si>
  <si>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</si>
  <si>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</si>
  <si>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</si>
  <si>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</si>
  <si>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</si>
  <si>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</si>
  <si>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</si>
  <si>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</si>
  <si>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</si>
  <si>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</si>
  <si>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</si>
  <si>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</si>
  <si>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</si>
  <si>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</si>
  <si>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</si>
  <si>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</si>
  <si>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</si>
  <si>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</si>
  <si>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</si>
  <si>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</si>
  <si>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</si>
  <si>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</si>
  <si>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</si>
  <si>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</si>
  <si>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</si>
  <si>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</si>
  <si>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</si>
  <si>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</si>
  <si>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</si>
  <si>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</si>
  <si>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</si>
  <si>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</si>
  <si>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</si>
  <si>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</si>
  <si>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</si>
  <si>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</si>
  <si>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</si>
  <si>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</si>
  <si>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</si>
  <si>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</si>
  <si>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</si>
  <si>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</si>
  <si>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</si>
  <si>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</si>
  <si>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</si>
  <si>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</si>
  <si>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</si>
  <si>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</si>
  <si>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</si>
  <si>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</si>
  <si>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</si>
  <si>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</si>
  <si>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</si>
  <si>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</si>
  <si>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</si>
  <si>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</si>
  <si>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</si>
  <si>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</si>
  <si>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</si>
  <si>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</si>
  <si>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</si>
  <si>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</si>
  <si>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</si>
  <si>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</si>
  <si>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</si>
  <si>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</si>
  <si>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</si>
  <si>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</si>
  <si>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</si>
  <si>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</si>
  <si>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</si>
  <si>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</si>
  <si>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</si>
  <si>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</si>
  <si>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</si>
  <si>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</si>
  <si>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</si>
  <si>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</si>
  <si>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</si>
  <si>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</si>
  <si>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</si>
  <si>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</si>
  <si>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</si>
  <si>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</si>
  <si>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</si>
  <si>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</si>
  <si>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</si>
  <si>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</si>
  <si>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</si>
  <si>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</si>
  <si>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</si>
  <si>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</si>
  <si>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</si>
  <si>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</si>
  <si>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</si>
  <si>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</si>
  <si>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</si>
  <si>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</si>
  <si>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</si>
  <si>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</si>
  <si>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</si>
  <si>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</si>
  <si>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</si>
  <si>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</si>
  <si>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</si>
  <si>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</si>
  <si>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</si>
  <si>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</si>
  <si>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</si>
  <si>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</si>
  <si>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</si>
  <si>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</si>
  <si>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</si>
  <si>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</si>
  <si>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</si>
  <si>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</si>
  <si>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</si>
  <si>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</si>
  <si>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</si>
  <si>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</si>
  <si>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</si>
  <si>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</si>
  <si>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</si>
  <si>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</si>
  <si>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</si>
  <si>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</si>
  <si>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</si>
  <si>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</si>
  <si>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</si>
  <si>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</si>
  <si>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</si>
  <si>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</si>
  <si>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</si>
  <si>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</si>
  <si>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</si>
  <si>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</si>
  <si>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</si>
  <si>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</si>
  <si>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</si>
  <si>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</si>
  <si>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</si>
  <si>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</si>
  <si>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</si>
  <si>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</si>
  <si>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</si>
  <si>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</si>
  <si>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</si>
  <si>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</si>
  <si>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</si>
  <si>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</si>
  <si>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</si>
  <si>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</si>
  <si>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</si>
  <si>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</si>
  <si>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</si>
  <si>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</si>
  <si>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</si>
  <si>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</si>
  <si>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</si>
  <si>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</si>
  <si>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</si>
  <si>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</si>
  <si>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</si>
  <si>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</si>
  <si>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</si>
  <si>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</si>
  <si>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</si>
  <si>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</si>
  <si>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</si>
  <si>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</si>
  <si>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</si>
  <si>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</si>
  <si>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</si>
  <si>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</si>
  <si>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</si>
  <si>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</si>
  <si>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</si>
  <si>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</si>
  <si>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</si>
  <si>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</si>
  <si>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</si>
  <si>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</si>
  <si>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</si>
  <si>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</si>
  <si>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</si>
  <si>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</si>
  <si>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</si>
  <si>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</si>
  <si>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</si>
  <si>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</si>
  <si>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</si>
  <si>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</si>
  <si>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</si>
  <si>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</si>
  <si>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</si>
  <si>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</si>
  <si>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</si>
  <si>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</si>
  <si>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</si>
  <si>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</si>
  <si>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</si>
  <si>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</si>
  <si>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</si>
  <si>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</si>
  <si>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</si>
  <si>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</si>
  <si>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</si>
  <si>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</si>
  <si>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</si>
  <si>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</si>
  <si>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</si>
  <si>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</si>
  <si>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</si>
  <si>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</si>
  <si>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</si>
  <si>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</si>
  <si>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</si>
  <si>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</si>
  <si>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</si>
  <si>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</si>
  <si>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</si>
  <si>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</si>
  <si>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</si>
  <si>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</si>
  <si>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</si>
  <si>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</si>
  <si>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</si>
  <si>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</si>
  <si>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</si>
  <si>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</si>
  <si>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</si>
  <si>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</si>
  <si>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</si>
  <si>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</si>
  <si>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</si>
  <si>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</si>
  <si>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</si>
  <si>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</si>
  <si>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</si>
  <si>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</si>
  <si>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</si>
  <si>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</si>
  <si>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</si>
  <si>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</si>
  <si>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</si>
  <si>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</si>
  <si>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</si>
  <si>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</si>
  <si>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</si>
  <si>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</si>
  <si>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</si>
  <si>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</si>
  <si>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</si>
  <si>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</si>
  <si>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</si>
  <si>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</si>
  <si>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</si>
  <si>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</si>
  <si>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</si>
  <si>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</si>
  <si>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</si>
  <si>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</si>
  <si>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</si>
  <si>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</si>
  <si>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</si>
  <si>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</si>
  <si>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</si>
  <si>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</si>
  <si>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</si>
  <si>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</si>
  <si>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</si>
  <si>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</si>
  <si>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</si>
  <si>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</si>
  <si>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</si>
  <si>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</si>
  <si>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</si>
  <si>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</si>
  <si>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</si>
  <si>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</si>
  <si>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</si>
  <si>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</si>
  <si>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</si>
  <si>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</si>
  <si>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</si>
  <si>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</si>
  <si>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</si>
  <si>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</si>
  <si>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</si>
  <si>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</si>
  <si>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</si>
  <si>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</si>
  <si>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</si>
  <si>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</si>
  <si>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</si>
  <si>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</si>
  <si>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</si>
  <si>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</si>
  <si>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</si>
  <si>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</si>
  <si>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</si>
  <si>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</si>
  <si>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</si>
  <si>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</si>
  <si>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</si>
  <si>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</si>
  <si>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</si>
  <si>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</si>
  <si>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</si>
  <si>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</si>
  <si>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</si>
  <si>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</si>
  <si>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</si>
  <si>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</si>
  <si>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</si>
  <si>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</si>
  <si>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</si>
  <si>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</si>
  <si>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</si>
  <si>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</si>
  <si>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</si>
  <si>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</si>
  <si>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</si>
  <si>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</si>
  <si>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</si>
  <si>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</si>
  <si>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</si>
  <si>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</si>
  <si>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</si>
  <si>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</si>
  <si>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</si>
  <si>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</si>
  <si>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</si>
  <si>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</si>
  <si>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</si>
  <si>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</si>
  <si>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</si>
  <si>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</si>
  <si>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</si>
  <si>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</si>
  <si>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</si>
  <si>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</si>
  <si>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</si>
  <si>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</si>
  <si>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</si>
  <si>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</si>
  <si>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</si>
  <si>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</si>
  <si>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</si>
  <si>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</si>
  <si>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</si>
  <si>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</si>
  <si>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</si>
  <si>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</si>
  <si>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</si>
  <si>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</si>
  <si>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</si>
  <si>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</si>
  <si>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</si>
  <si>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</si>
  <si>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</si>
  <si>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</si>
  <si>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</si>
  <si>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</si>
  <si>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</si>
  <si>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</si>
  <si>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</si>
  <si>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</si>
  <si>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</si>
  <si>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</si>
  <si>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</si>
  <si>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</si>
  <si>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</si>
  <si>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</si>
  <si>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</si>
  <si>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</si>
  <si>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</si>
  <si>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</si>
  <si>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</si>
  <si>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</si>
  <si>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</si>
  <si>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</si>
  <si>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</si>
  <si>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</si>
  <si>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</si>
  <si>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</si>
  <si>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</si>
  <si>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</si>
  <si>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</si>
  <si>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</si>
  <si>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</si>
  <si>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</si>
  <si>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</si>
  <si>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</si>
  <si>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</si>
  <si>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</si>
  <si>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</si>
  <si>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</si>
  <si>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</si>
  <si>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</si>
  <si>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</si>
  <si>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</si>
  <si>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</si>
  <si>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</si>
  <si>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</si>
  <si>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</si>
  <si>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</si>
  <si>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</si>
  <si>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</si>
  <si>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</si>
  <si>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</si>
  <si>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</si>
  <si>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</si>
  <si>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</si>
  <si>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</si>
  <si>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</si>
  <si>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</si>
  <si>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</si>
  <si>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</si>
  <si>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</si>
  <si>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</si>
  <si>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</si>
  <si>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</si>
  <si>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</si>
  <si>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</si>
  <si>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</si>
  <si>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</si>
  <si>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</si>
  <si>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</si>
  <si>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</si>
  <si>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</si>
  <si>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</si>
  <si>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</si>
  <si>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</si>
  <si>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</si>
  <si>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</si>
  <si>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</si>
  <si>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</si>
  <si>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</si>
  <si>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</si>
  <si>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</si>
  <si>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</si>
  <si>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</si>
  <si>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</si>
  <si>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</si>
  <si>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</si>
  <si>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</si>
  <si>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</si>
  <si>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</si>
  <si>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</si>
  <si>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</si>
  <si>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</si>
  <si>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</si>
  <si>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</si>
  <si>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</si>
  <si>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</si>
  <si>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</si>
  <si>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</si>
  <si>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</si>
  <si>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</si>
  <si>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</si>
  <si>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</si>
  <si>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</si>
  <si>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</si>
  <si>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</si>
  <si>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</si>
  <si>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</si>
  <si>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</si>
  <si>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</si>
  <si>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</si>
  <si>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</si>
  <si>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</si>
  <si>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</si>
  <si>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</si>
  <si>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</si>
  <si>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</si>
  <si>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</si>
  <si>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</si>
  <si>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</si>
  <si>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</si>
  <si>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</si>
  <si>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</si>
  <si>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</si>
  <si>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</si>
  <si>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</si>
  <si>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</si>
  <si>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</si>
  <si>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</si>
  <si>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</si>
  <si>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</si>
  <si>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</si>
  <si>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</si>
  <si>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</si>
  <si>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</si>
  <si>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</si>
  <si>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</si>
  <si>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</si>
  <si>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</si>
  <si>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</si>
  <si>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</si>
  <si>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</si>
  <si>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</si>
  <si>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</si>
  <si>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</si>
  <si>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</si>
  <si>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</si>
  <si>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</si>
  <si>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</si>
  <si>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</si>
  <si>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</si>
  <si>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</si>
  <si>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</si>
  <si>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</si>
  <si>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</si>
  <si>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</si>
  <si>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</si>
  <si>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</si>
  <si>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</si>
  <si>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</si>
  <si>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</si>
  <si>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</si>
  <si>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</si>
  <si>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</si>
  <si>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</si>
  <si>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</si>
  <si>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</si>
  <si>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</si>
  <si>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</si>
  <si>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</si>
  <si>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</si>
  <si>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</si>
  <si>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</si>
  <si>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</si>
  <si>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</si>
  <si>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</si>
  <si>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</si>
  <si>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</si>
  <si>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</si>
  <si>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</si>
  <si>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</si>
  <si>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</si>
  <si>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</si>
  <si>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</si>
  <si>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</si>
  <si>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</si>
  <si>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</si>
  <si>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</si>
  <si>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</si>
  <si>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</si>
  <si>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</si>
  <si>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</si>
  <si>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</si>
  <si>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</si>
  <si>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</si>
  <si>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</si>
  <si>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</si>
  <si>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</si>
  <si>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</si>
  <si>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</si>
  <si>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</si>
  <si>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</si>
  <si>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</si>
  <si>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</si>
  <si>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</si>
  <si>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</si>
  <si>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</si>
  <si>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</si>
  <si>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</si>
  <si>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</si>
  <si>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</si>
  <si>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</si>
  <si>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</si>
  <si>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</si>
  <si>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</si>
  <si>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</si>
  <si>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</si>
  <si>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</si>
  <si>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</si>
  <si>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</si>
  <si>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</si>
  <si>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</si>
  <si>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</si>
  <si>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</si>
  <si>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</si>
  <si>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</si>
  <si>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</si>
  <si>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</si>
  <si>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</si>
  <si>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</si>
  <si>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</si>
  <si>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</si>
  <si>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</si>
  <si>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</si>
  <si>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</si>
  <si>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</si>
  <si>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</si>
  <si>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</si>
  <si>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</si>
  <si>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</si>
  <si>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</si>
  <si>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</si>
  <si>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</si>
  <si>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</si>
  <si>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</si>
  <si>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</si>
  <si>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</si>
  <si>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</si>
  <si>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</si>
  <si>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</si>
  <si>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</si>
  <si>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</si>
  <si>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</si>
  <si>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</si>
  <si>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</si>
  <si>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</si>
  <si>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</si>
  <si>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</si>
  <si>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</si>
  <si>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</si>
  <si>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</si>
  <si>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</si>
  <si>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</si>
  <si>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</si>
  <si>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</si>
  <si>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</si>
  <si>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</si>
  <si>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</si>
  <si>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</si>
  <si>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</si>
  <si>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</si>
  <si>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</si>
  <si>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</si>
  <si>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</si>
  <si>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</si>
  <si>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</si>
  <si>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</si>
  <si>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</si>
  <si>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</si>
  <si>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</si>
  <si>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</si>
  <si>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</si>
  <si>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</si>
  <si>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</si>
  <si>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</si>
  <si>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</si>
  <si>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</si>
  <si>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</si>
  <si>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</si>
  <si>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</si>
  <si>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</si>
  <si>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</si>
  <si>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</si>
  <si>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</si>
  <si>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</si>
  <si>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</si>
  <si>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</si>
  <si>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</si>
  <si>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</si>
  <si>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</si>
  <si>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</si>
  <si>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</si>
  <si>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</si>
  <si>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</si>
  <si>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</si>
  <si>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</si>
  <si>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</si>
  <si>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</si>
  <si>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</si>
  <si>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</si>
  <si>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</si>
  <si>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</si>
  <si>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</si>
  <si>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</si>
  <si>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</si>
  <si>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</si>
  <si>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</si>
  <si>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</si>
  <si>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</si>
  <si>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</si>
  <si>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</si>
  <si>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</si>
  <si>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</si>
  <si>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</si>
  <si>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</si>
  <si>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</si>
  <si>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</si>
  <si>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</si>
  <si>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</si>
  <si>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</si>
  <si>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</si>
  <si>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</si>
  <si>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</si>
  <si>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</si>
  <si>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</si>
  <si>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</si>
  <si>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</si>
  <si>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</si>
  <si>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</si>
  <si>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</si>
  <si>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</si>
  <si>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</si>
  <si>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</si>
  <si>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</si>
  <si>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</si>
  <si>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</si>
  <si>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</si>
  <si>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</si>
  <si>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</si>
  <si>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</si>
  <si>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</si>
  <si>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</si>
  <si>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</si>
  <si>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</si>
  <si>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</si>
  <si>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</si>
  <si>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</si>
  <si>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</si>
  <si>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</si>
  <si>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</si>
  <si>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</si>
  <si>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</si>
  <si>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</si>
  <si>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</si>
  <si>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</si>
  <si>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</si>
  <si>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</si>
  <si>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</si>
  <si>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</si>
  <si>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</si>
  <si>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</si>
  <si>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</si>
  <si>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</si>
  <si>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</si>
  <si>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</si>
  <si>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</si>
  <si>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</si>
  <si>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</si>
  <si>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</si>
  <si>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</si>
  <si>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</si>
  <si>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</si>
  <si>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</si>
  <si>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</si>
  <si>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</si>
  <si>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</si>
  <si>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</si>
  <si>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</si>
  <si>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</si>
  <si>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</si>
  <si>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</si>
  <si>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</si>
  <si>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</si>
  <si>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</si>
  <si>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</si>
  <si>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</si>
  <si>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</si>
  <si>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</si>
  <si>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</si>
  <si>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</si>
  <si>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</si>
  <si>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</si>
  <si>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</si>
  <si>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</si>
  <si>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</si>
  <si>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</si>
  <si>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</si>
  <si>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</si>
  <si>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</si>
  <si>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</si>
  <si>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</si>
  <si>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</si>
  <si>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</si>
  <si>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</si>
  <si>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</si>
  <si>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</si>
  <si>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</si>
  <si>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</si>
  <si>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</si>
  <si>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</si>
  <si>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</si>
  <si>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</si>
  <si>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</si>
  <si>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</si>
  <si>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</si>
  <si>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</si>
  <si>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</si>
  <si>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</si>
  <si>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</si>
  <si>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</si>
  <si>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</si>
  <si>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</si>
  <si>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</si>
  <si>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</si>
  <si>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</si>
  <si>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</si>
  <si>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</si>
  <si>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</si>
  <si>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</si>
  <si>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</si>
  <si>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</si>
  <si>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</si>
  <si>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</si>
  <si>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</si>
  <si>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</si>
  <si>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</si>
  <si>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</si>
  <si>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</si>
  <si>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</si>
  <si>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</si>
  <si>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</si>
  <si>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</si>
  <si>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</si>
  <si>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</si>
  <si>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</si>
  <si>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</si>
  <si>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</si>
  <si>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</si>
  <si>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</si>
  <si>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</si>
  <si>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</si>
  <si>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</si>
  <si>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</si>
  <si>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</si>
  <si>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</si>
  <si>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</si>
  <si>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</si>
  <si>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</si>
  <si>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</si>
  <si>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</si>
  <si>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</si>
  <si>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</si>
  <si>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</si>
  <si>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</si>
  <si>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</si>
  <si>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</si>
  <si>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</si>
  <si>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</si>
  <si>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</si>
  <si>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</si>
  <si>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</si>
  <si>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</si>
  <si>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</si>
  <si>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</si>
  <si>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</si>
  <si>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</si>
  <si>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</si>
  <si>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</si>
  <si>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</si>
  <si>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</si>
  <si>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</si>
  <si>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</si>
  <si>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</si>
  <si>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</si>
  <si>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</si>
  <si>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</si>
  <si>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</si>
  <si>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</si>
  <si>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</si>
  <si>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</si>
  <si>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</si>
  <si>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</si>
  <si>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</si>
  <si>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</si>
  <si>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</si>
  <si>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</si>
  <si>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</si>
  <si>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</si>
  <si>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</si>
  <si>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</si>
  <si>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</si>
  <si>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</si>
  <si>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</si>
  <si>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</si>
  <si>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</si>
  <si>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</si>
  <si>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</si>
  <si>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</si>
  <si>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</si>
  <si>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</si>
  <si>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</si>
  <si>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</si>
  <si>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</si>
  <si>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</si>
  <si>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</si>
  <si>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</si>
  <si>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</si>
  <si>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</si>
  <si>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</si>
  <si>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</si>
  <si>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</si>
  <si>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</si>
  <si>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</si>
  <si>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</si>
  <si>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</si>
  <si>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</si>
  <si>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</si>
  <si>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</si>
  <si>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</si>
  <si>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</si>
  <si>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</si>
  <si>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</si>
  <si>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</si>
  <si>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</si>
  <si>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</si>
  <si>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</si>
  <si>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</si>
  <si>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</si>
  <si>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</si>
  <si>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</si>
  <si>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</si>
  <si>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</si>
  <si>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</si>
  <si>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</si>
  <si>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</si>
  <si>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</si>
  <si>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</si>
  <si>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</si>
  <si>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</si>
  <si>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</si>
  <si>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</si>
  <si>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</si>
  <si>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</si>
  <si>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</si>
  <si>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</si>
  <si>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</si>
  <si>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</si>
  <si>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</si>
  <si>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</si>
  <si>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</si>
  <si>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</si>
  <si>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</si>
  <si>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</si>
  <si>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</si>
  <si>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</si>
  <si>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</si>
  <si>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</si>
  <si>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</si>
  <si>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</si>
  <si>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</si>
  <si>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</si>
  <si>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</si>
  <si>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</si>
  <si>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</si>
  <si>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</si>
  <si>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</si>
  <si>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</si>
  <si>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</si>
  <si>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</si>
  <si>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</si>
  <si>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</si>
  <si>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</si>
  <si>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</si>
  <si>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</si>
  <si>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</si>
  <si>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</si>
  <si>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</si>
  <si>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</si>
  <si>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</si>
  <si>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</si>
  <si>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</si>
  <si>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</si>
  <si>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</si>
  <si>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</si>
  <si>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</si>
  <si>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</si>
  <si>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</si>
  <si>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</si>
  <si>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</si>
  <si>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</si>
  <si>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</si>
  <si>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</si>
  <si>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</si>
  <si>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</si>
  <si>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</si>
  <si>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</si>
  <si>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</si>
  <si>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</si>
  <si>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</si>
  <si>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</si>
  <si>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</si>
  <si>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</si>
  <si>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</si>
  <si>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</si>
  <si>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</si>
  <si>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</si>
  <si>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</si>
  <si>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</si>
  <si>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</si>
  <si>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</si>
  <si>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</si>
  <si>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</si>
  <si>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</si>
  <si>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</si>
  <si>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</si>
  <si>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</si>
  <si>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</si>
  <si>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</si>
  <si>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</si>
  <si>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</si>
  <si>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</si>
  <si>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</si>
  <si>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</si>
  <si>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</si>
  <si>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</si>
  <si>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</si>
  <si>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</si>
  <si>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</si>
  <si>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</si>
  <si>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</si>
  <si>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</si>
  <si>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</si>
  <si>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</si>
  <si>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</si>
  <si>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</si>
  <si>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</si>
  <si>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</si>
  <si>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</si>
  <si>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</si>
  <si>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</si>
  <si>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</si>
  <si>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</si>
  <si>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</si>
  <si>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</si>
  <si>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</si>
  <si>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</si>
  <si>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</si>
  <si>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</si>
  <si>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</si>
  <si>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</si>
  <si>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</si>
  <si>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</si>
  <si>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</si>
  <si>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</si>
  <si>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</si>
  <si>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</si>
  <si>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</si>
  <si>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</si>
  <si>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</si>
  <si>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</si>
  <si>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</si>
  <si>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</si>
  <si>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</si>
  <si>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</si>
  <si>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</si>
  <si>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</si>
  <si>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</si>
  <si>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</si>
  <si>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</si>
  <si>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</si>
  <si>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</si>
  <si>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</si>
  <si>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</si>
  <si>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</si>
  <si>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</si>
  <si>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</si>
  <si>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</si>
  <si>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</si>
  <si>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</si>
  <si>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</si>
  <si>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</si>
  <si>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</si>
  <si>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</si>
  <si>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</si>
  <si>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</si>
  <si>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</si>
  <si>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</si>
  <si>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</si>
  <si>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</si>
  <si>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</si>
  <si>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</si>
  <si>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</si>
  <si>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</si>
  <si>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</si>
  <si>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</si>
  <si>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</si>
  <si>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</si>
  <si>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</si>
  <si>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</si>
  <si>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</si>
  <si>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</si>
  <si>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</si>
  <si>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</si>
  <si>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</si>
  <si>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</si>
  <si>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</si>
  <si>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</si>
  <si>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</si>
  <si>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</si>
  <si>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</si>
  <si>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</si>
  <si>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</si>
  <si>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</si>
  <si>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</si>
  <si>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</si>
  <si>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</si>
  <si>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</si>
  <si>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</si>
  <si>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</si>
  <si>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</si>
  <si>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</si>
  <si>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</si>
  <si>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</si>
  <si>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</si>
  <si>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</si>
  <si>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</si>
  <si>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</si>
  <si>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</si>
  <si>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</si>
  <si>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</si>
  <si>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</si>
  <si>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</si>
  <si>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</si>
  <si>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</si>
  <si>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</si>
  <si>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</si>
  <si>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</si>
  <si>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</si>
  <si>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</si>
  <si>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</si>
  <si>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</si>
  <si>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</si>
  <si>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</si>
  <si>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</si>
  <si>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</si>
  <si>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</si>
  <si>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</si>
  <si>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</si>
  <si>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</si>
  <si>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</si>
  <si>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</si>
  <si>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</si>
  <si>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</si>
  <si>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</si>
  <si>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</si>
  <si>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</si>
  <si>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</si>
  <si>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</si>
  <si>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</si>
  <si>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</si>
  <si>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</si>
  <si>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</si>
  <si>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</si>
  <si>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</si>
  <si>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</si>
  <si>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</si>
  <si>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</si>
  <si>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</si>
  <si>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</si>
  <si>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</si>
  <si>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</si>
  <si>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</si>
  <si>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</si>
  <si>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</si>
  <si>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</si>
  <si>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</si>
  <si>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</si>
  <si>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</si>
  <si>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</si>
  <si>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</si>
  <si>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</si>
  <si>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</si>
  <si>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</si>
  <si>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</si>
  <si>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</si>
  <si>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</si>
  <si>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</si>
  <si>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</si>
  <si>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</si>
  <si>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</si>
  <si>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</si>
  <si>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</si>
  <si>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</si>
  <si>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</si>
  <si>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</si>
  <si>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</si>
  <si>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</si>
  <si>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</si>
  <si>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</si>
  <si>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</si>
  <si>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</si>
  <si>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</si>
  <si>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</si>
  <si>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</si>
  <si>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</si>
  <si>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</si>
  <si>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</si>
  <si>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</si>
  <si>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</si>
  <si>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</si>
  <si>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</si>
  <si>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</si>
  <si>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</si>
  <si>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</si>
  <si>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</si>
  <si>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</si>
  <si>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</si>
  <si>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</si>
  <si>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</si>
  <si>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</si>
  <si>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</si>
  <si>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</si>
  <si>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</si>
  <si>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</si>
  <si>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</si>
  <si>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</si>
  <si>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</si>
  <si>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</si>
  <si>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</si>
  <si>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</si>
  <si>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</si>
  <si>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</si>
  <si>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</si>
  <si>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</si>
  <si>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</si>
  <si>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</si>
  <si>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</si>
  <si>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</si>
  <si>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</si>
  <si>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</si>
  <si>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</si>
  <si>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</si>
  <si>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</si>
  <si>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</si>
  <si>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</si>
  <si>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</si>
  <si>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</si>
  <si>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</si>
  <si>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</si>
  <si>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</si>
  <si>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</si>
  <si>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</si>
  <si>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</si>
  <si>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</si>
  <si>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</si>
  <si>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</si>
  <si>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</si>
  <si>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</si>
  <si>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</si>
  <si>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</si>
  <si>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</si>
  <si>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</si>
  <si>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</si>
  <si>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</si>
  <si>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</si>
  <si>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</si>
  <si>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</si>
  <si>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</si>
  <si>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</si>
  <si>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</si>
  <si>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</si>
  <si>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</si>
  <si>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</si>
  <si>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</si>
  <si>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</si>
  <si>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</si>
  <si>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</si>
  <si>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</si>
  <si>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</si>
  <si>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</si>
  <si>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</si>
  <si>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</si>
  <si>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</si>
  <si>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</si>
  <si>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</si>
  <si>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</si>
  <si>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</si>
  <si>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</si>
  <si>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</si>
  <si>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</si>
  <si>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</si>
  <si>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</si>
  <si>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</si>
  <si>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</si>
  <si>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</si>
  <si>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</si>
  <si>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</si>
  <si>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</si>
  <si>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</si>
  <si>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</si>
  <si>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</si>
  <si>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</si>
  <si>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</si>
  <si>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</si>
  <si>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</si>
  <si>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</si>
  <si>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</si>
  <si>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</si>
  <si>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</si>
  <si>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</si>
  <si>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</si>
  <si>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</si>
  <si>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</si>
  <si>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</si>
  <si>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</si>
  <si>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</si>
  <si>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</si>
  <si>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</si>
  <si>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</si>
  <si>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</si>
  <si>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</si>
  <si>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</si>
  <si>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</si>
  <si>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</si>
  <si>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</si>
  <si>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</si>
  <si>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</si>
  <si>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</si>
  <si>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</si>
  <si>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</si>
  <si>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</si>
  <si>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</si>
  <si>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</si>
  <si>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</si>
  <si>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</si>
  <si>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</si>
  <si>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</si>
  <si>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</si>
  <si>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</si>
  <si>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</si>
  <si>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</si>
  <si>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</si>
  <si>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</si>
  <si>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</si>
  <si>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</si>
  <si>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</si>
  <si>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</si>
  <si>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</si>
  <si>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</si>
  <si>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</si>
  <si>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</si>
  <si>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</si>
  <si>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</si>
  <si>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</si>
  <si>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</si>
  <si>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</si>
  <si>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</si>
  <si>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</si>
  <si>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</si>
  <si>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</si>
  <si>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</si>
  <si>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</si>
  <si>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</si>
  <si>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</si>
  <si>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</si>
  <si>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</si>
  <si>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</si>
  <si>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</si>
  <si>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</si>
  <si>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</si>
  <si>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</si>
  <si>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</si>
  <si>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</si>
  <si>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</si>
  <si>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</si>
  <si>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</si>
  <si>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</si>
  <si>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</si>
  <si>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</si>
  <si>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</si>
  <si>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</si>
  <si>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</si>
  <si>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</si>
  <si>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</si>
  <si>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</si>
  <si>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</si>
  <si>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</si>
  <si>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</si>
  <si>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</si>
  <si>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</si>
  <si>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</si>
  <si>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</si>
  <si>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</si>
  <si>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</si>
  <si>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</si>
  <si>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</si>
  <si>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</si>
  <si>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</si>
  <si>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</si>
  <si>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</si>
  <si>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</si>
  <si>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</si>
  <si>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</si>
  <si>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</si>
  <si>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</si>
  <si>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</si>
  <si>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</si>
  <si>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</si>
  <si>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</si>
  <si>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</si>
  <si>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</si>
  <si>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</si>
  <si>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</si>
  <si>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</si>
  <si>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</si>
  <si>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</si>
  <si>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</si>
  <si>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</si>
  <si>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</si>
  <si>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</si>
  <si>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</si>
  <si>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</si>
  <si>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</si>
  <si>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</si>
  <si>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</si>
  <si>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</si>
  <si>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</si>
  <si>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</si>
  <si>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</si>
  <si>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</si>
  <si>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</si>
  <si>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</si>
  <si>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</si>
  <si>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</si>
  <si>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</si>
  <si>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</si>
  <si>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</si>
  <si>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</si>
  <si>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</si>
  <si>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</si>
  <si>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</si>
  <si>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</si>
  <si>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</si>
  <si>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</si>
  <si>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</si>
  <si>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</si>
  <si>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</si>
  <si>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</si>
  <si>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</si>
  <si>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</si>
  <si>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</si>
  <si>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</si>
  <si>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</si>
  <si>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</si>
  <si>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</si>
  <si>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</si>
  <si>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</si>
  <si>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</si>
  <si>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</si>
  <si>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</si>
  <si>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</si>
  <si>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</si>
  <si>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</si>
  <si>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</si>
  <si>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</si>
  <si>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</si>
  <si>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</si>
  <si>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</si>
  <si>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</si>
  <si>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</si>
  <si>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</si>
  <si>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</si>
  <si>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</si>
  <si>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</si>
  <si>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</si>
  <si>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</si>
  <si>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</si>
  <si>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</si>
  <si>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</si>
  <si>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</si>
  <si>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</si>
  <si>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</si>
  <si>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</si>
  <si>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</si>
  <si>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</si>
  <si>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</si>
  <si>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</si>
  <si>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</si>
  <si>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</si>
  <si>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</si>
  <si>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</si>
  <si>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</si>
  <si>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</si>
  <si>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</si>
  <si>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</si>
  <si>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</si>
  <si>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</si>
  <si>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</si>
  <si>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</si>
  <si>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</si>
  <si>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</si>
  <si>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</si>
  <si>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</si>
  <si>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</si>
  <si>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</si>
  <si>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</si>
  <si>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</si>
  <si>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</si>
  <si>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</si>
  <si>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</si>
  <si>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</si>
  <si>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</si>
  <si>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</si>
  <si>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</si>
  <si>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</si>
  <si>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</si>
  <si>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</si>
  <si>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</si>
  <si>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</si>
  <si>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</si>
  <si>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</si>
  <si>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</si>
  <si>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</si>
  <si>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</si>
  <si>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</si>
  <si>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</si>
  <si>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</si>
  <si>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</si>
  <si>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</si>
  <si>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</si>
  <si>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</si>
  <si>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</si>
  <si>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</si>
  <si>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</si>
  <si>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</si>
  <si>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</si>
  <si>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</si>
  <si>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</si>
  <si>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</si>
  <si>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</si>
  <si>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</si>
  <si>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</si>
  <si>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</si>
  <si>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</si>
  <si>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</si>
  <si>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</si>
  <si>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</si>
  <si>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</si>
  <si>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</si>
  <si>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</si>
  <si>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</si>
  <si>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</si>
  <si>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</si>
  <si>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</si>
  <si>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</si>
  <si>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</si>
  <si>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</si>
  <si>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</si>
  <si>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</si>
  <si>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</si>
  <si>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</si>
  <si>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</si>
  <si>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</si>
  <si>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</si>
  <si>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</si>
  <si>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</si>
  <si>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</si>
  <si>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</si>
  <si>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</si>
  <si>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</si>
  <si>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</si>
  <si>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</si>
  <si>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</si>
  <si>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</si>
  <si>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</si>
  <si>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</si>
  <si>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</si>
  <si>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</si>
  <si>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</si>
  <si>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</si>
  <si>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</si>
  <si>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</si>
  <si>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</si>
  <si>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</si>
  <si>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</si>
  <si>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</si>
  <si>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</si>
  <si>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</si>
  <si>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</si>
  <si>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</si>
  <si>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</si>
  <si>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</si>
  <si>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</si>
  <si>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</si>
  <si>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</si>
  <si>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</si>
  <si>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</si>
  <si>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</si>
  <si>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</si>
  <si>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</si>
  <si>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</si>
  <si>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</si>
  <si>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</si>
  <si>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</si>
  <si>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</si>
  <si>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</si>
  <si>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</si>
  <si>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</si>
  <si>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</si>
  <si>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</si>
  <si>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</si>
  <si>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</si>
  <si>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</si>
  <si>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</si>
  <si>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</si>
  <si>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</si>
  <si>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</si>
  <si>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</si>
  <si>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</si>
  <si>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</si>
  <si>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</si>
  <si>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</si>
  <si>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</si>
  <si>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</si>
  <si>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</si>
  <si>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</si>
  <si>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</si>
  <si>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</si>
  <si>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</si>
  <si>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</si>
  <si>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</si>
  <si>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</si>
  <si>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</si>
  <si>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</si>
  <si>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</si>
  <si>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</si>
  <si>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</si>
  <si>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</si>
  <si>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</si>
  <si>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</si>
  <si>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</si>
  <si>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</si>
  <si>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</si>
  <si>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</si>
  <si>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</si>
  <si>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</si>
  <si>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</si>
  <si>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</si>
  <si>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</si>
  <si>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</si>
  <si>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</si>
  <si>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</si>
  <si>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</si>
  <si>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</si>
  <si>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</si>
  <si>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</si>
  <si>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</si>
  <si>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</si>
  <si>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</si>
  <si>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</si>
  <si>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</si>
  <si>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</si>
  <si>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</si>
  <si>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</si>
  <si>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</si>
  <si>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</si>
  <si>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</si>
  <si>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</si>
  <si>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</si>
  <si>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</si>
  <si>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</si>
  <si>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</si>
  <si>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</si>
  <si>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</si>
  <si>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</si>
  <si>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</si>
  <si>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</si>
  <si>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</si>
  <si>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</si>
  <si>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</si>
  <si>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</si>
  <si>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</si>
  <si>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</si>
  <si>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</si>
  <si>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</si>
  <si>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</si>
  <si>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</si>
  <si>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</si>
  <si>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</si>
  <si>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</si>
  <si>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</si>
  <si>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</si>
  <si>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</si>
  <si>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</si>
  <si>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</si>
  <si>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</si>
  <si>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</si>
  <si>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</si>
  <si>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</si>
  <si>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</si>
  <si>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</si>
  <si>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</si>
  <si>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</si>
  <si>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</si>
  <si>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</si>
  <si>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</si>
  <si>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</si>
  <si>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</si>
  <si>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</si>
  <si>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</si>
  <si>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</si>
  <si>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</si>
  <si>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</si>
  <si>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</si>
  <si>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</si>
  <si>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</si>
  <si>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</si>
  <si>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</si>
  <si>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</si>
  <si>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</si>
  <si>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</si>
  <si>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</si>
  <si>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</si>
  <si>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</si>
  <si>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</si>
  <si>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</si>
  <si>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</si>
  <si>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</si>
  <si>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</si>
  <si>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</si>
  <si>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</si>
  <si>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</si>
  <si>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</si>
  <si>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</si>
  <si>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</si>
  <si>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</si>
  <si>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</si>
  <si>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</si>
  <si>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</si>
  <si>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</si>
  <si>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</si>
  <si>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</si>
  <si>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</si>
  <si>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</si>
  <si>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</si>
  <si>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</si>
  <si>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</si>
  <si>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</si>
  <si>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</si>
  <si>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</si>
  <si>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</si>
  <si>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</si>
  <si>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</si>
  <si>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</si>
  <si>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</si>
  <si>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</si>
  <si>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</si>
  <si>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</si>
  <si>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</si>
  <si>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</si>
  <si>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</si>
  <si>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</si>
  <si>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</si>
  <si>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</si>
  <si>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</si>
  <si>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</si>
  <si>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</si>
  <si>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</si>
  <si>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</si>
  <si>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</si>
  <si>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</si>
  <si>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</si>
  <si>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</si>
  <si>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</si>
  <si>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</si>
  <si>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</si>
  <si>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</si>
  <si>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</si>
  <si>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</si>
  <si>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</si>
  <si>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</si>
  <si>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</si>
  <si>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</si>
  <si>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</si>
  <si>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</si>
  <si>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</si>
  <si>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</si>
  <si>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</si>
  <si>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</si>
  <si>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</si>
  <si>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</si>
  <si>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</si>
  <si>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</si>
  <si>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</si>
  <si>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</si>
  <si>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</si>
  <si>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</si>
  <si>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</si>
  <si>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</si>
  <si>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</si>
  <si>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</si>
  <si>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</si>
  <si>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</si>
  <si>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</si>
  <si>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</si>
  <si>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</si>
  <si>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</si>
  <si>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</si>
  <si>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</si>
  <si>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</si>
  <si>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</si>
  <si>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</si>
  <si>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</si>
  <si>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</si>
  <si>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</si>
  <si>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</si>
  <si>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</si>
  <si>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</si>
  <si>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</si>
  <si>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</si>
  <si>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</si>
  <si>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</si>
  <si>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</si>
  <si>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</si>
  <si>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</si>
  <si>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</si>
  <si>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</si>
  <si>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</si>
  <si>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</si>
  <si>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</si>
  <si>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</si>
  <si>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</si>
  <si>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</si>
  <si>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</si>
  <si>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</si>
  <si>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</si>
  <si>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</si>
  <si>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</si>
  <si>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</si>
  <si>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</si>
  <si>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</si>
  <si>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</si>
  <si>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</si>
  <si>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</si>
  <si>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</si>
  <si>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</si>
  <si>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</si>
  <si>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</si>
  <si>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</si>
  <si>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</si>
  <si>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</si>
  <si>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</si>
  <si>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</si>
  <si>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</si>
  <si>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</si>
  <si>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</si>
  <si>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</si>
  <si>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</si>
  <si>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</si>
  <si>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</si>
  <si>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</si>
  <si>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</si>
  <si>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</si>
  <si>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</si>
  <si>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</si>
  <si>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</si>
  <si>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</si>
  <si>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</si>
  <si>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</si>
  <si>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</si>
  <si>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</si>
  <si>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</si>
  <si>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</si>
  <si>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</si>
  <si>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</si>
  <si>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</si>
  <si>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</si>
  <si>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</si>
  <si>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</si>
  <si>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</si>
  <si>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</si>
  <si>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</si>
  <si>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</si>
  <si>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</si>
  <si>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</si>
  <si>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</si>
  <si>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</si>
  <si>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</si>
  <si>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</si>
  <si>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</si>
  <si>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</si>
  <si>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</si>
  <si>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</si>
  <si>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</si>
  <si>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</si>
  <si>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</si>
  <si>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</si>
  <si>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</si>
  <si>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</si>
  <si>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</si>
  <si>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</si>
  <si>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</si>
  <si>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</si>
  <si>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</si>
  <si>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</si>
  <si>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</si>
  <si>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</si>
  <si>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</si>
  <si>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</si>
  <si>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</si>
  <si>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</si>
  <si>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</si>
  <si>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</si>
  <si>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</si>
  <si>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</si>
  <si>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</si>
  <si>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</si>
  <si>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</si>
  <si>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</si>
  <si>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</si>
  <si>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</si>
  <si>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</si>
  <si>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</si>
  <si>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</si>
  <si>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</si>
  <si>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</si>
  <si>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</si>
  <si>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</si>
  <si>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</si>
  <si>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</si>
  <si>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</si>
  <si>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</si>
  <si>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</si>
  <si>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</si>
  <si>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</si>
  <si>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</si>
  <si>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</si>
  <si>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</si>
  <si>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</si>
  <si>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</si>
  <si>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</si>
  <si>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</si>
  <si>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</si>
  <si>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</si>
  <si>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</si>
  <si>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</si>
  <si>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</si>
  <si>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</si>
  <si>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</si>
  <si>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</si>
  <si>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</si>
  <si>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</si>
  <si>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</si>
  <si>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</si>
  <si>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</si>
  <si>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</si>
  <si>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</si>
  <si>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</si>
  <si>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</si>
  <si>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</si>
  <si>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</si>
  <si>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</si>
  <si>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</si>
  <si>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</si>
  <si>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</si>
  <si>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</si>
  <si>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</si>
  <si>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</si>
  <si>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</si>
  <si>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</si>
  <si>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</si>
  <si>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</si>
  <si>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</si>
  <si>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</si>
  <si>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</si>
  <si>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</si>
  <si>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</si>
  <si>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</si>
  <si>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</si>
  <si>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</si>
  <si>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</si>
  <si>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</si>
  <si>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</si>
  <si>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</si>
  <si>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</si>
  <si>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</si>
  <si>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</si>
  <si>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</si>
  <si>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</si>
  <si>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</si>
  <si>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</si>
  <si>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</si>
  <si>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</si>
  <si>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</si>
  <si>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</si>
  <si>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</si>
  <si>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</si>
  <si>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</si>
  <si>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</si>
  <si>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</si>
  <si>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</si>
  <si>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</si>
  <si>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</si>
  <si>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</si>
  <si>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</si>
  <si>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</si>
  <si>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</si>
  <si>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</si>
  <si>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</si>
  <si>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</si>
  <si>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</si>
  <si>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</si>
  <si>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</si>
  <si>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</si>
  <si>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</si>
  <si>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</si>
  <si>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</si>
  <si>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</si>
  <si>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</si>
  <si>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</si>
  <si>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</si>
  <si>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</si>
  <si>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</si>
  <si>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</si>
  <si>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</si>
  <si>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</si>
  <si>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</si>
  <si>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</si>
  <si>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</si>
  <si>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</si>
  <si>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</si>
  <si>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</si>
  <si>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</si>
  <si>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</si>
  <si>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</si>
  <si>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</si>
  <si>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</si>
  <si>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</si>
  <si>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</si>
  <si>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</si>
  <si>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</si>
  <si>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</si>
  <si>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</si>
  <si>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</si>
  <si>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</si>
  <si>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</si>
  <si>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</si>
  <si>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</si>
  <si>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</si>
  <si>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</si>
  <si>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</si>
  <si>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</si>
  <si>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</si>
  <si>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</si>
  <si>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</si>
  <si>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</si>
  <si>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</si>
  <si>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</si>
  <si>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</si>
  <si>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</si>
  <si>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</si>
  <si>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</si>
  <si>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</si>
  <si>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</si>
  <si>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</si>
  <si>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</si>
  <si>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</si>
  <si>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</si>
  <si>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</si>
  <si>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</si>
  <si>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</si>
  <si>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</si>
  <si>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</si>
  <si>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</si>
  <si>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</si>
  <si>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</si>
  <si>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</si>
  <si>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</si>
  <si>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</si>
  <si>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</si>
  <si>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</si>
  <si>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</si>
  <si>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</si>
  <si>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</si>
  <si>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</si>
  <si>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</si>
  <si>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</si>
  <si>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</si>
  <si>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</si>
  <si>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</si>
  <si>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</si>
  <si>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</si>
  <si>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</si>
  <si>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</si>
  <si>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</si>
  <si>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</si>
  <si>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</si>
  <si>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</si>
  <si>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</si>
  <si>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</si>
  <si>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</si>
  <si>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</si>
  <si>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</si>
  <si>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</si>
  <si>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</si>
  <si>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</si>
  <si>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</si>
  <si>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</si>
  <si>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</si>
  <si>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</si>
  <si>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</si>
  <si>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</si>
  <si>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</si>
  <si>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</si>
  <si>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</si>
  <si>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</si>
  <si>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</si>
  <si>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</si>
  <si>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</si>
  <si>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</si>
  <si>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</si>
  <si>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</si>
  <si>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</si>
  <si>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</si>
  <si>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</si>
  <si>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</si>
  <si>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</si>
  <si>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</si>
  <si>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</si>
  <si>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</si>
  <si>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</si>
  <si>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</si>
  <si>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</si>
  <si>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</si>
  <si>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</si>
  <si>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</si>
  <si>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</si>
  <si>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</si>
  <si>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</si>
  <si>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</si>
  <si>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</si>
  <si>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</si>
  <si>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</si>
  <si>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</si>
  <si>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</si>
  <si>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</si>
  <si>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</si>
  <si>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</si>
  <si>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</si>
  <si>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</si>
  <si>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</si>
  <si>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</si>
  <si>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</si>
  <si>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</si>
  <si>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</si>
  <si>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</si>
  <si>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</si>
  <si>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</si>
  <si>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</si>
  <si>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</si>
  <si>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</si>
  <si>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</si>
  <si>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</si>
  <si>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</si>
  <si>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</si>
  <si>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</si>
  <si>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</si>
  <si>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</si>
  <si>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</si>
  <si>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</si>
  <si>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</si>
  <si>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</si>
  <si>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</si>
  <si>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</si>
  <si>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</si>
  <si>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</si>
  <si>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</si>
  <si>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</si>
  <si>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</si>
  <si>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</si>
  <si>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</si>
  <si>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</si>
  <si>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</si>
  <si>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</si>
  <si>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</si>
  <si>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</si>
  <si>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</si>
  <si>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</si>
  <si>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</si>
  <si>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</si>
  <si>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</si>
  <si>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</si>
  <si>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</si>
  <si>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</si>
  <si>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</si>
  <si>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</si>
  <si>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</si>
  <si>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</si>
  <si>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</si>
  <si>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</si>
  <si>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</si>
  <si>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</si>
  <si>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</si>
  <si>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</si>
  <si>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</si>
  <si>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</si>
  <si>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</si>
  <si>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</si>
  <si>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</si>
  <si>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</si>
  <si>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</si>
  <si>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</si>
  <si>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</si>
  <si>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</si>
  <si>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</si>
  <si>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</si>
  <si>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</si>
  <si>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</si>
  <si>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</si>
  <si>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</si>
  <si>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</si>
  <si>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</si>
  <si>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</si>
  <si>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</si>
  <si>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</si>
  <si>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</si>
  <si>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</si>
  <si>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</si>
  <si>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</si>
  <si>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</si>
  <si>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</si>
  <si>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</si>
  <si>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</si>
  <si>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</si>
  <si>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</si>
  <si>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</si>
  <si>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</si>
  <si>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</si>
  <si>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</si>
  <si>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</si>
  <si>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</si>
  <si>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</si>
  <si>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</si>
  <si>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</si>
  <si>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</si>
  <si>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</si>
  <si>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</si>
  <si>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</si>
  <si>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</si>
  <si>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</si>
  <si>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</si>
  <si>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</si>
  <si>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</si>
  <si>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</si>
  <si>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</si>
  <si>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</si>
  <si>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</si>
  <si>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</si>
  <si>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</si>
  <si>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</si>
  <si>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</si>
  <si>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</si>
  <si>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</si>
  <si>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</si>
  <si>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</si>
  <si>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</si>
  <si>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</si>
  <si>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</si>
  <si>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</si>
  <si>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</si>
  <si>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</si>
  <si>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</si>
  <si>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</si>
  <si>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</si>
  <si>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</si>
  <si>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</si>
  <si>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</si>
  <si>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</si>
  <si>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</si>
  <si>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</si>
  <si>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</si>
  <si>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</si>
  <si>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</si>
  <si>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</si>
  <si>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</si>
  <si>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</si>
  <si>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</si>
  <si>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</si>
  <si>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</si>
  <si>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</si>
  <si>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</si>
  <si>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</si>
  <si>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</si>
  <si>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</si>
  <si>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</si>
  <si>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</si>
  <si>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</si>
  <si>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</si>
  <si>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</si>
  <si>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</si>
  <si>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</si>
  <si>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</si>
  <si>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</si>
  <si>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</si>
  <si>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</si>
  <si>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</si>
  <si>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</si>
  <si>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</si>
  <si>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</si>
  <si>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</si>
  <si>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</si>
  <si>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</si>
  <si>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</si>
  <si>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</si>
  <si>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</si>
  <si>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</si>
  <si>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</si>
  <si>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</si>
  <si>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</si>
  <si>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</si>
  <si>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</si>
  <si>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</si>
  <si>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</si>
  <si>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</si>
  <si>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</si>
  <si>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</si>
  <si>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</si>
  <si>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</si>
  <si>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</si>
  <si>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</si>
  <si>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</si>
  <si>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</si>
  <si>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</si>
  <si>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</si>
  <si>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</si>
  <si>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</si>
  <si>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</si>
  <si>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</si>
  <si>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</si>
  <si>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</si>
  <si>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</si>
  <si>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</si>
  <si>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</si>
  <si>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</si>
  <si>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</si>
  <si>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</si>
  <si>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</si>
  <si>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</si>
  <si>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</si>
  <si>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</si>
  <si>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</si>
  <si>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</si>
  <si>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</si>
  <si>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</si>
  <si>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</si>
  <si>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</si>
  <si>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</si>
  <si>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</si>
  <si>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</si>
  <si>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</si>
  <si>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</si>
  <si>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</si>
  <si>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</si>
  <si>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</si>
  <si>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</si>
  <si>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</si>
  <si>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</si>
  <si>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</si>
  <si>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</si>
  <si>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</si>
  <si>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</si>
  <si>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</si>
  <si>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</si>
  <si>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</si>
  <si>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</si>
  <si>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</si>
  <si>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</si>
  <si>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</si>
  <si>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</si>
  <si>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</si>
  <si>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</si>
  <si>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</si>
  <si>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</si>
  <si>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</si>
  <si>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</si>
  <si>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</si>
  <si>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</si>
  <si>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</si>
  <si>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</si>
  <si>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</si>
  <si>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</si>
  <si>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</si>
  <si>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</si>
  <si>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</si>
  <si>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</si>
  <si>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</si>
  <si>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</si>
  <si>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</si>
  <si>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</si>
  <si>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</si>
  <si>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</si>
  <si>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</si>
  <si>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</si>
  <si>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</si>
  <si>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</si>
  <si>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</si>
  <si>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</si>
  <si>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</si>
  <si>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</si>
  <si>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</si>
  <si>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</si>
  <si>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</si>
  <si>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</si>
  <si>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</si>
  <si>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</si>
  <si>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</si>
  <si>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</si>
  <si>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</si>
  <si>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</si>
  <si>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</si>
  <si>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</si>
  <si>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</si>
  <si>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</si>
  <si>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</si>
  <si>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</si>
  <si>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</si>
  <si>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</si>
  <si>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</si>
  <si>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</si>
  <si>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</si>
  <si>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</si>
  <si>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</si>
  <si>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</si>
  <si>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</si>
  <si>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</si>
  <si>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</si>
  <si>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</si>
  <si>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</si>
  <si>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</si>
  <si>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</si>
  <si>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</si>
  <si>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</si>
  <si>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</si>
  <si>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</si>
  <si>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</si>
  <si>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</si>
  <si>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</si>
  <si>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</si>
  <si>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</si>
  <si>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</si>
  <si>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</si>
  <si>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</si>
  <si>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</si>
  <si>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</si>
  <si>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</si>
  <si>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</si>
  <si>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</si>
  <si>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</si>
  <si>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</si>
  <si>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</si>
  <si>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</si>
  <si>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</si>
  <si>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</si>
  <si>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</si>
  <si>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</si>
  <si>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</si>
  <si>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</si>
  <si>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</si>
  <si>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</si>
  <si>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</si>
  <si>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</si>
  <si>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</si>
  <si>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</si>
  <si>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</si>
  <si>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</si>
  <si>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</si>
  <si>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</si>
  <si>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</si>
  <si>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</si>
  <si>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</si>
  <si>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</si>
  <si>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</si>
  <si>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</si>
  <si>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</si>
  <si>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</si>
  <si>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</si>
  <si>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</si>
  <si>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</si>
  <si>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</si>
  <si>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</si>
  <si>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</si>
  <si>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</si>
  <si>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</si>
  <si>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</si>
  <si>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</si>
  <si>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</si>
  <si>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</si>
  <si>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</si>
  <si>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</si>
  <si>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</si>
  <si>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</si>
  <si>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</si>
  <si>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</si>
  <si>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</si>
  <si>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</si>
  <si>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</si>
  <si>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</si>
  <si>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</si>
  <si>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</si>
  <si>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</si>
  <si>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</si>
  <si>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</si>
  <si>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</si>
  <si>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</si>
  <si>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</si>
  <si>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</si>
  <si>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</si>
  <si>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</si>
  <si>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</si>
  <si>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</si>
  <si>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</si>
  <si>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</si>
  <si>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</si>
  <si>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</si>
  <si>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</si>
  <si>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</si>
  <si>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</si>
  <si>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</si>
  <si>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</si>
  <si>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</si>
  <si>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</si>
  <si>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</si>
  <si>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</si>
  <si>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</si>
  <si>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</si>
  <si>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</si>
  <si>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</si>
  <si>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</si>
  <si>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</si>
  <si>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</si>
  <si>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</si>
  <si>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</si>
  <si>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</si>
  <si>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</si>
  <si>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</si>
  <si>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</si>
  <si>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</si>
  <si>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</si>
  <si>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</si>
  <si>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</si>
  <si>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</si>
  <si>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</si>
  <si>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</si>
  <si>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</si>
  <si>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</si>
  <si>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</si>
  <si>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</si>
  <si>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</si>
  <si>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</si>
  <si>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</si>
  <si>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</si>
  <si>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</si>
  <si>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</si>
  <si>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</si>
  <si>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</si>
  <si>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</si>
  <si>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</si>
  <si>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</si>
  <si>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</si>
  <si>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</si>
  <si>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</si>
  <si>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</si>
  <si>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</si>
  <si>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</si>
  <si>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</si>
  <si>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</si>
  <si>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</si>
  <si>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</si>
  <si>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</si>
  <si>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</si>
  <si>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</si>
  <si>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</si>
  <si>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</si>
  <si>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</si>
  <si>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</si>
  <si>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</si>
  <si>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</si>
  <si>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</si>
  <si>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</si>
  <si>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</si>
  <si>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</si>
  <si>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</si>
  <si>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</si>
  <si>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</si>
  <si>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</si>
  <si>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</si>
  <si>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</si>
  <si>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</si>
  <si>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</si>
  <si>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</si>
  <si>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</si>
  <si>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</si>
  <si>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</si>
  <si>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</si>
  <si>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</si>
  <si>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</si>
  <si>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</si>
  <si>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</si>
  <si>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</si>
  <si>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</si>
  <si>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</si>
  <si>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</si>
  <si>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</si>
  <si>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</si>
  <si>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</si>
  <si>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</si>
  <si>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</si>
  <si>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</si>
  <si>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</si>
  <si>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</si>
  <si>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</si>
  <si>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</si>
  <si>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</si>
  <si>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</si>
  <si>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</si>
  <si>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</si>
  <si>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</si>
  <si>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</si>
  <si>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</si>
  <si>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</si>
  <si>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</si>
  <si>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</si>
  <si>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</si>
  <si>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</si>
  <si>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</si>
  <si>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</si>
  <si>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</si>
  <si>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</si>
  <si>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</si>
  <si>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</si>
  <si>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</si>
  <si>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</si>
  <si>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</si>
  <si>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</si>
  <si>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</si>
  <si>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</si>
  <si>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</si>
  <si>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</si>
  <si>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</si>
  <si>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</si>
  <si>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</si>
  <si>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</si>
  <si>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</si>
  <si>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</si>
  <si>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</si>
  <si>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</si>
  <si>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</si>
  <si>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</si>
  <si>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</si>
  <si>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</si>
  <si>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</si>
  <si>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</si>
  <si>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</si>
  <si>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</si>
  <si>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</si>
  <si>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</si>
  <si>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</si>
  <si>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</si>
  <si>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</si>
  <si>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</si>
  <si>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</si>
  <si>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</si>
  <si>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</si>
  <si>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</si>
  <si>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</si>
  <si>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</si>
  <si>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</si>
  <si>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</si>
  <si>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</si>
  <si>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</si>
  <si>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</si>
  <si>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</si>
  <si>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</si>
  <si>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</si>
  <si>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</si>
  <si>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</si>
  <si>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</si>
  <si>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</si>
  <si>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</si>
  <si>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</si>
  <si>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</si>
  <si>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</si>
  <si>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</si>
  <si>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</si>
  <si>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</si>
  <si>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</si>
  <si>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</si>
  <si>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</si>
  <si>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</si>
  <si>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</si>
  <si>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</si>
  <si>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</si>
  <si>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</si>
  <si>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</si>
  <si>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</si>
  <si>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</si>
  <si>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</si>
  <si>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</si>
  <si>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</si>
  <si>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</si>
  <si>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</si>
  <si>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</si>
  <si>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</si>
  <si>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</si>
  <si>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</si>
  <si>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</si>
  <si>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</si>
  <si>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</si>
  <si>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</si>
  <si>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</si>
  <si>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</si>
  <si>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</si>
  <si>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</si>
  <si>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</si>
  <si>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</si>
  <si>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</si>
  <si>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</si>
  <si>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</si>
  <si>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</si>
  <si>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</si>
  <si>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</si>
  <si>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</si>
  <si>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</si>
  <si>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</si>
  <si>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</si>
  <si>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</si>
  <si>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</si>
  <si>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</si>
  <si>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</si>
  <si>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</si>
  <si>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</si>
  <si>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</si>
  <si>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</si>
  <si>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</si>
  <si>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</si>
  <si>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</si>
  <si>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</si>
  <si>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</si>
  <si>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</si>
  <si>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</si>
  <si>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</si>
  <si>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</si>
  <si>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</si>
  <si>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</si>
  <si>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</si>
  <si>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</si>
  <si>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</si>
  <si>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</si>
  <si>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</si>
  <si>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</si>
  <si>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</si>
  <si>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</si>
  <si>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</si>
  <si>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</si>
  <si>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</si>
  <si>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</si>
  <si>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</si>
  <si>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</si>
  <si>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</si>
  <si>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</si>
  <si>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</si>
  <si>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</si>
  <si>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</si>
  <si>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</si>
  <si>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</si>
  <si>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</si>
  <si>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</si>
  <si>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</si>
  <si>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</si>
  <si>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</si>
  <si>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</si>
  <si>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</si>
  <si>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</si>
  <si>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</si>
  <si>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</si>
  <si>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</si>
  <si>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</si>
  <si>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</si>
  <si>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</si>
  <si>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</si>
  <si>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</si>
  <si>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</si>
  <si>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</si>
  <si>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</si>
  <si>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</si>
  <si>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</si>
  <si>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</si>
  <si>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</si>
  <si>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</si>
  <si>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</si>
  <si>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</si>
  <si>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</si>
  <si>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</si>
  <si>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</si>
  <si>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</si>
  <si>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</si>
  <si>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</si>
  <si>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</si>
  <si>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</si>
  <si>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</si>
  <si>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</si>
  <si>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</si>
  <si>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</si>
  <si>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</si>
  <si>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</si>
  <si>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</si>
  <si>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</si>
  <si>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</si>
  <si>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</si>
  <si>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</si>
  <si>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</si>
  <si>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</si>
  <si>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</si>
  <si>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</si>
  <si>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</si>
  <si>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</si>
  <si>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</si>
  <si>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</si>
  <si>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</si>
  <si>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</si>
  <si>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</si>
  <si>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</si>
  <si>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</si>
  <si>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</si>
  <si>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</si>
  <si>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</si>
  <si>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</si>
  <si>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</si>
  <si>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</si>
  <si>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</si>
  <si>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</si>
  <si>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</si>
  <si>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</si>
  <si>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</si>
  <si>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</si>
  <si>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</si>
  <si>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</si>
  <si>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</si>
  <si>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</si>
  <si>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</si>
  <si>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</si>
  <si>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</si>
  <si>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</si>
  <si>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</si>
  <si>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</si>
  <si>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</si>
  <si>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</si>
  <si>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</si>
  <si>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</si>
  <si>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</si>
  <si>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</si>
  <si>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</si>
  <si>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</si>
  <si>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</si>
  <si>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</si>
  <si>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</si>
  <si>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</si>
  <si>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</si>
  <si>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</si>
  <si>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</si>
  <si>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</si>
  <si>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</si>
  <si>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</si>
  <si>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</si>
  <si>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</si>
  <si>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</si>
  <si>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</si>
  <si>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</si>
  <si>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</si>
  <si>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</si>
  <si>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</si>
  <si>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</si>
  <si>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</si>
  <si>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</si>
  <si>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</si>
  <si>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</si>
  <si>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</si>
  <si>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</si>
  <si>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</si>
  <si>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</si>
  <si>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</si>
  <si>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</si>
  <si>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</si>
  <si>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</si>
  <si>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</si>
  <si>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</si>
  <si>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</si>
  <si>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</si>
  <si>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</si>
  <si>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</si>
  <si>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</si>
  <si>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</si>
  <si>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</si>
  <si>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</si>
  <si>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</si>
  <si>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</si>
  <si>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</si>
  <si>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</si>
  <si>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</si>
  <si>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</si>
  <si>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</si>
  <si>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</si>
  <si>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</si>
  <si>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</si>
  <si>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</si>
  <si>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</si>
  <si>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</si>
  <si>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</si>
  <si>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</si>
  <si>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</si>
  <si>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</si>
  <si>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</si>
  <si>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</si>
  <si>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</si>
  <si>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</si>
  <si>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</si>
  <si>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</si>
  <si>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</si>
  <si>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</si>
  <si>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</si>
  <si>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</si>
  <si>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</si>
  <si>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</si>
  <si>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</si>
  <si>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</si>
  <si>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</si>
  <si>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</si>
  <si>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</si>
  <si>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</si>
  <si>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</si>
  <si>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</si>
  <si>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</si>
  <si>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</si>
  <si>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</si>
  <si>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</si>
  <si>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</si>
  <si>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</si>
  <si>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</si>
  <si>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</si>
  <si>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</si>
  <si>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</si>
  <si>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</si>
  <si>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</si>
  <si>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</si>
  <si>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</si>
  <si>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</si>
  <si>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</si>
  <si>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</si>
  <si>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</si>
  <si>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</si>
  <si>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</si>
  <si>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</si>
  <si>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</si>
  <si>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</si>
  <si>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</si>
  <si>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</si>
  <si>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</si>
  <si>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</si>
  <si>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</si>
  <si>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</si>
  <si>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</si>
  <si>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</si>
  <si>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</si>
  <si>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</si>
  <si>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</si>
  <si>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</si>
  <si>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</si>
  <si>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</si>
  <si>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</si>
  <si>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</si>
  <si>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</si>
  <si>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</si>
  <si>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</si>
  <si>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</si>
  <si>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</si>
  <si>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</si>
  <si>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</si>
  <si>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</si>
  <si>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</si>
  <si>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</si>
  <si>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</si>
  <si>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</si>
  <si>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</si>
  <si>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</si>
  <si>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</si>
  <si>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</si>
  <si>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</si>
  <si>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</si>
  <si>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</si>
  <si>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</si>
  <si>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</si>
  <si>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</si>
  <si>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</si>
  <si>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</si>
  <si>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</si>
  <si>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</si>
  <si>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</si>
  <si>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</si>
  <si>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</si>
  <si>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</si>
  <si>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</si>
  <si>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</si>
  <si>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</si>
  <si>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</si>
  <si>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</si>
  <si>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</si>
  <si>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</si>
  <si>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</si>
  <si>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</si>
  <si>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</si>
  <si>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</si>
  <si>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</si>
  <si>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</si>
  <si>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</si>
  <si>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</si>
  <si>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</si>
  <si>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</si>
  <si>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</si>
  <si>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</si>
  <si>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</si>
  <si>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</si>
  <si>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</si>
  <si>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</si>
  <si>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</si>
  <si>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</si>
  <si>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</si>
  <si>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</si>
  <si>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</si>
  <si>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</si>
  <si>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</si>
  <si>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</si>
  <si>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</si>
  <si>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</si>
  <si>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</si>
  <si>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</si>
  <si>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</si>
  <si>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</si>
  <si>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</si>
  <si>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</si>
  <si>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</si>
  <si>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</si>
  <si>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</si>
  <si>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</si>
  <si>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</si>
  <si>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</si>
  <si>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</si>
  <si>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</si>
  <si>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</si>
  <si>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</si>
  <si>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</si>
  <si>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</si>
  <si>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</si>
  <si>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</si>
  <si>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</si>
  <si>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</si>
  <si>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</si>
  <si>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</si>
  <si>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</si>
  <si>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</si>
  <si>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</si>
  <si>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</si>
  <si>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</si>
  <si>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</si>
  <si>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</si>
  <si>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</si>
  <si>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</si>
  <si>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</si>
  <si>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</si>
  <si>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</si>
  <si>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</si>
  <si>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</si>
  <si>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</si>
  <si>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</si>
  <si>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</si>
  <si>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</si>
  <si>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</si>
  <si>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</si>
  <si>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</si>
  <si>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</si>
  <si>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</si>
  <si>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</si>
  <si>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</si>
  <si>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</si>
  <si>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</si>
  <si>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</si>
  <si>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</si>
  <si>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</si>
  <si>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</si>
  <si>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</si>
  <si>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</si>
  <si>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</si>
  <si>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</si>
  <si>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</si>
  <si>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</si>
  <si>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</si>
  <si>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</si>
  <si>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</si>
  <si>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</si>
  <si>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</si>
  <si>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</si>
  <si>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</si>
  <si>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</si>
  <si>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</si>
  <si>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</si>
  <si>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</si>
  <si>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</si>
  <si>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</si>
  <si>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</si>
  <si>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</si>
  <si>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</si>
  <si>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</si>
  <si>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</si>
  <si>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</si>
  <si>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</si>
  <si>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</si>
  <si>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</si>
  <si>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</si>
  <si>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</si>
  <si>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</si>
  <si>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</si>
  <si>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</si>
  <si>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</si>
  <si>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</si>
  <si>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</si>
  <si>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</si>
  <si>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</si>
  <si>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</si>
  <si>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</si>
  <si>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</si>
  <si>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</si>
  <si>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</si>
  <si>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</si>
  <si>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</si>
  <si>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</si>
  <si>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</si>
  <si>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</si>
  <si>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</si>
  <si>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</si>
  <si>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</si>
  <si>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</si>
  <si>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</si>
  <si>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</si>
  <si>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</si>
  <si>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</si>
  <si>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</si>
  <si>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</si>
  <si>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</si>
  <si>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</si>
  <si>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</si>
  <si>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</si>
  <si>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</si>
  <si>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</si>
  <si>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</si>
  <si>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</si>
  <si>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</si>
  <si>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</si>
  <si>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</si>
  <si>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</si>
  <si>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</si>
  <si>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</si>
  <si>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</si>
  <si>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</si>
  <si>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</si>
  <si>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</si>
  <si>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</si>
  <si>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</si>
  <si>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</si>
  <si>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</si>
  <si>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</si>
  <si>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</si>
  <si>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</si>
  <si>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</si>
  <si>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</si>
  <si>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</si>
  <si>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</si>
  <si>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</si>
  <si>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</si>
  <si>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</si>
  <si>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</si>
  <si>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</si>
  <si>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</si>
  <si>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</si>
  <si>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</si>
  <si>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</si>
  <si>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</si>
  <si>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</si>
  <si>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</si>
  <si>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</si>
  <si>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</si>
  <si>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</si>
  <si>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</si>
  <si>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</si>
  <si>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</si>
  <si>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</si>
  <si>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</si>
  <si>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</si>
  <si>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</si>
  <si>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</si>
  <si>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</si>
  <si>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</si>
  <si>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</si>
  <si>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</si>
  <si>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</si>
  <si>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</si>
  <si>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</si>
  <si>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</si>
  <si>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</si>
  <si>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</si>
  <si>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</si>
  <si>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</si>
  <si>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</si>
  <si>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</si>
  <si>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</si>
  <si>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</si>
  <si>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</si>
  <si>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</si>
  <si>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</si>
  <si>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</si>
  <si>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</si>
  <si>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</si>
  <si>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</si>
  <si>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</si>
  <si>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</si>
  <si>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</si>
  <si>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</si>
  <si>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</si>
  <si>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</si>
  <si>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</si>
  <si>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</si>
  <si>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</si>
  <si>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</si>
  <si>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</si>
  <si>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</si>
  <si>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</si>
  <si>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</si>
  <si>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</si>
  <si>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</si>
  <si>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</si>
  <si>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</si>
  <si>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</si>
  <si>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</si>
  <si>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</si>
  <si>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</si>
  <si>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</si>
  <si>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</si>
  <si>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</si>
  <si>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</si>
  <si>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</si>
  <si>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</si>
  <si>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</si>
  <si>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</si>
  <si>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</si>
  <si>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</si>
  <si>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</si>
  <si>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</si>
  <si>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</si>
  <si>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</si>
  <si>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</si>
  <si>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</si>
  <si>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</si>
  <si>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</si>
  <si>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</si>
  <si>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</si>
  <si>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</si>
  <si>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</si>
  <si>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</si>
  <si>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</si>
  <si>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</si>
  <si>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</si>
  <si>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</si>
  <si>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</si>
  <si>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</si>
  <si>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</si>
  <si>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</si>
  <si>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</si>
  <si>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</si>
  <si>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</si>
  <si>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</si>
  <si>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</si>
  <si>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</si>
  <si>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</si>
  <si>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</si>
  <si>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</si>
  <si>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</si>
  <si>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</si>
  <si>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</si>
  <si>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</si>
  <si>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</si>
  <si>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</si>
  <si>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</si>
  <si>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</si>
  <si>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</si>
  <si>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</si>
  <si>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</si>
  <si>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</si>
  <si>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</si>
  <si>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</si>
  <si>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</si>
  <si>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</si>
  <si>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</si>
  <si>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</si>
  <si>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</si>
  <si>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</si>
  <si>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</si>
  <si>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</si>
  <si>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</si>
  <si>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</si>
  <si>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</si>
  <si>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</si>
  <si>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</si>
  <si>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</si>
  <si>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</si>
  <si>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</si>
  <si>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</si>
  <si>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</si>
  <si>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</si>
  <si>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</si>
  <si>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</si>
  <si>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</si>
  <si>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</si>
  <si>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</si>
  <si>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</si>
  <si>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</si>
  <si>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</si>
  <si>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</si>
  <si>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</si>
  <si>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</si>
  <si>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</si>
  <si>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</si>
  <si>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</si>
  <si>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</si>
  <si>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</si>
  <si>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</si>
  <si>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</si>
  <si>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</si>
  <si>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</si>
  <si>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</si>
  <si>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</si>
  <si>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</si>
  <si>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</si>
  <si>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</si>
  <si>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</si>
  <si>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</si>
  <si>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</si>
  <si>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</si>
  <si>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</si>
  <si>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</si>
  <si>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</si>
  <si>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</si>
  <si>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</si>
  <si>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</si>
  <si>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</si>
  <si>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</si>
  <si>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</si>
  <si>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</si>
  <si>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</si>
  <si>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</si>
  <si>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</si>
  <si>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</si>
  <si>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</si>
  <si>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</si>
  <si>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</si>
  <si>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</si>
  <si>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</si>
  <si>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</si>
  <si>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</si>
  <si>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</si>
  <si>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</si>
  <si>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</si>
  <si>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</si>
  <si>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</si>
  <si>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</si>
  <si>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</si>
  <si>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</si>
  <si>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</si>
  <si>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</si>
  <si>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</si>
  <si>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</si>
  <si>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</si>
  <si>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</si>
  <si>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</si>
  <si>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</si>
  <si>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</si>
  <si>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</si>
  <si>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</si>
  <si>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</si>
  <si>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</si>
  <si>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</si>
  <si>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</si>
  <si>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</si>
  <si>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</si>
  <si>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</si>
  <si>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</si>
  <si>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</si>
  <si>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</si>
  <si>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</si>
  <si>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</si>
  <si>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</si>
  <si>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</si>
  <si>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</si>
  <si>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</si>
  <si>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</si>
  <si>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</si>
  <si>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</si>
  <si>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</si>
  <si>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</si>
  <si>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</si>
  <si>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</si>
  <si>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</si>
  <si>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</si>
  <si>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</si>
  <si>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</si>
  <si>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</si>
  <si>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</si>
  <si>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</si>
  <si>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</si>
  <si>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</si>
  <si>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</si>
  <si>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</si>
  <si>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</si>
  <si>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</si>
  <si>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</si>
  <si>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</si>
  <si>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</si>
  <si>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</si>
  <si>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</si>
  <si>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</si>
  <si>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</si>
  <si>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</si>
  <si>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</si>
  <si>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</si>
  <si>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</si>
  <si>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</si>
  <si>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</si>
  <si>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</si>
  <si>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</si>
  <si>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</si>
  <si>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</si>
  <si>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</si>
  <si>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</si>
  <si>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</si>
  <si>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</si>
  <si>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</si>
  <si>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</si>
  <si>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</si>
  <si>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</si>
  <si>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</si>
  <si>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</si>
  <si>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</si>
  <si>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</si>
  <si>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</si>
  <si>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</si>
  <si>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</si>
  <si>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</si>
  <si>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</si>
  <si>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</si>
  <si>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</si>
  <si>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</si>
  <si>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</si>
  <si>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</si>
  <si>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</si>
  <si>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</si>
  <si>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</si>
  <si>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</si>
  <si>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</si>
  <si>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</si>
  <si>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</si>
  <si>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</si>
  <si>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</si>
  <si>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</si>
  <si>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</si>
  <si>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</si>
  <si>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</si>
  <si>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</si>
  <si>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</si>
  <si>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</si>
  <si>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</si>
  <si>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</si>
  <si>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</si>
  <si>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</si>
  <si>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</si>
  <si>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</si>
  <si>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</si>
  <si>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</si>
  <si>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</si>
  <si>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</si>
  <si>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</si>
  <si>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</si>
  <si>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</si>
  <si>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</si>
  <si>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</si>
  <si>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</si>
  <si>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</si>
  <si>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</si>
  <si>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</si>
  <si>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</si>
  <si>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</si>
  <si>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</si>
  <si>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</si>
  <si>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</si>
  <si>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</si>
  <si>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</si>
  <si>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</si>
  <si>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</si>
  <si>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</si>
  <si>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</si>
  <si>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</si>
  <si>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</si>
  <si>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</si>
  <si>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</si>
  <si>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</si>
  <si>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</si>
  <si>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</si>
  <si>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</si>
  <si>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</si>
  <si>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</si>
  <si>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</si>
  <si>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</si>
  <si>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</si>
  <si>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</si>
  <si>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</si>
  <si>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</si>
  <si>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</si>
  <si>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</si>
  <si>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</si>
  <si>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</si>
  <si>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</si>
  <si>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</si>
  <si>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</si>
  <si>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</si>
  <si>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</si>
  <si>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</si>
  <si>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</si>
  <si>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</si>
  <si>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</si>
  <si>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</si>
  <si>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</si>
  <si>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</si>
  <si>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</si>
  <si>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</si>
  <si>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</si>
  <si>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</si>
  <si>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</si>
  <si>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</si>
  <si>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</si>
  <si>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</si>
  <si>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</si>
  <si>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</si>
  <si>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</si>
  <si>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</si>
  <si>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</si>
  <si>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</si>
  <si>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</si>
  <si>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</si>
  <si>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</si>
  <si>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</si>
  <si>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</si>
  <si>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</si>
  <si>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</si>
  <si>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</si>
  <si>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</si>
  <si>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</si>
  <si>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</si>
  <si>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</si>
  <si>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</si>
  <si>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</si>
  <si>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</si>
  <si>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</si>
  <si>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</si>
  <si>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</si>
  <si>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</si>
  <si>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</si>
  <si>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</si>
  <si>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</si>
  <si>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</si>
  <si>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</si>
  <si>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</si>
  <si>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</si>
  <si>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</si>
  <si>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</si>
  <si>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</si>
  <si>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</si>
  <si>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</si>
  <si>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</si>
  <si>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</si>
  <si>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</si>
  <si>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</si>
  <si>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</si>
  <si>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</si>
  <si>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</si>
  <si>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</si>
  <si>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</si>
  <si>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</si>
  <si>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</si>
  <si>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</si>
  <si>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</si>
  <si>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</si>
  <si>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</si>
  <si>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</si>
  <si>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</si>
  <si>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</si>
  <si>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</si>
  <si>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</si>
  <si>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</si>
  <si>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</si>
  <si>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</si>
  <si>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</si>
  <si>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</si>
  <si>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</si>
  <si>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</si>
  <si>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</si>
  <si>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</si>
  <si>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</si>
  <si>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</si>
  <si>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</si>
  <si>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</si>
  <si>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</si>
  <si>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</si>
  <si>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</si>
  <si>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</si>
  <si>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</si>
  <si>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</si>
  <si>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</si>
  <si>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</si>
  <si>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</si>
  <si>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</si>
  <si>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</si>
  <si>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</si>
  <si>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</si>
  <si>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</si>
  <si>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</si>
  <si>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</si>
  <si>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</si>
  <si>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</si>
  <si>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</si>
  <si>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</si>
  <si>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</si>
  <si>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</si>
  <si>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</si>
  <si>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</si>
  <si>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</si>
  <si>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</si>
  <si>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</si>
  <si>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</si>
  <si>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</si>
  <si>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</si>
  <si>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</si>
  <si>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</si>
  <si>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</si>
  <si>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</si>
  <si>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</si>
  <si>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</si>
  <si>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</si>
  <si>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</si>
  <si>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</si>
  <si>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</si>
  <si>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</si>
  <si>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</si>
  <si>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</si>
  <si>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</si>
  <si>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</si>
  <si>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</si>
  <si>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</si>
  <si>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</si>
  <si>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</si>
  <si>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</si>
  <si>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</si>
  <si>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</si>
  <si>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</si>
  <si>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</si>
  <si>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</si>
  <si>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</si>
  <si>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</si>
  <si>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</si>
  <si>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</si>
  <si>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</si>
  <si>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</si>
  <si>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</si>
  <si>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</si>
  <si>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</si>
  <si>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</si>
  <si>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</si>
  <si>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</si>
  <si>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</si>
  <si>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</si>
  <si>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</si>
  <si>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</si>
  <si>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</si>
  <si>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</si>
  <si>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</si>
  <si>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</si>
  <si>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</si>
  <si>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</si>
  <si>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</si>
  <si>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</si>
  <si>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</si>
  <si>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</si>
  <si>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</si>
  <si>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</si>
  <si>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</si>
  <si>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</si>
  <si>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</si>
  <si>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</si>
  <si>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</si>
  <si>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</si>
  <si>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</si>
  <si>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</si>
  <si>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</si>
  <si>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</si>
  <si>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</si>
  <si>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</si>
  <si>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</si>
  <si>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</si>
  <si>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</si>
  <si>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</si>
  <si>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</si>
  <si>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</si>
  <si>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</si>
  <si>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</si>
  <si>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</si>
  <si>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</si>
  <si>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</si>
  <si>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</si>
  <si>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</si>
  <si>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</si>
  <si>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</si>
  <si>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</si>
  <si>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</si>
  <si>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</si>
  <si>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</si>
  <si>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</si>
  <si>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</si>
  <si>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</si>
  <si>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</si>
  <si>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</si>
  <si>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</si>
  <si>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</si>
  <si>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</si>
  <si>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</si>
  <si>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</si>
  <si>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</si>
  <si>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</si>
  <si>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</si>
  <si>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</si>
  <si>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</si>
  <si>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</si>
  <si>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</si>
  <si>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</si>
  <si>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</si>
  <si>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</si>
  <si>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</si>
  <si>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</si>
  <si>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</si>
  <si>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</si>
  <si>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</si>
  <si>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</si>
  <si>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</si>
  <si>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</si>
  <si>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</si>
  <si>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</si>
  <si>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</si>
  <si>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</si>
  <si>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</si>
  <si>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</si>
  <si>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</si>
  <si>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</si>
  <si>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</si>
  <si>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</si>
  <si>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</si>
  <si>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</si>
  <si>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</si>
  <si>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</si>
  <si>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</si>
  <si>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</si>
  <si>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</si>
  <si>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</si>
  <si>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</si>
  <si>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</si>
  <si>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</si>
  <si>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</si>
  <si>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</si>
  <si>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</si>
  <si>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</si>
  <si>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</si>
  <si>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</si>
  <si>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</si>
  <si>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</si>
  <si>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</si>
  <si>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</si>
  <si>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</si>
  <si>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</si>
  <si>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</si>
  <si>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</si>
  <si>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</si>
  <si>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</si>
  <si>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</si>
  <si>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</si>
  <si>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</si>
  <si>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</si>
  <si>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</si>
  <si>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</si>
  <si>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</si>
  <si>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</si>
  <si>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</si>
  <si>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</si>
  <si>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</si>
  <si>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</si>
  <si>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</si>
  <si>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</si>
  <si>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</si>
  <si>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</si>
  <si>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</si>
  <si>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</si>
  <si>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</si>
  <si>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</si>
  <si>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</si>
  <si>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</si>
  <si>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</si>
  <si>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</si>
  <si>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</si>
  <si>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</si>
  <si>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</si>
  <si>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</si>
  <si>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</si>
  <si>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</si>
  <si>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</si>
  <si>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</si>
  <si>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</si>
  <si>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</si>
  <si>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</si>
  <si>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</si>
  <si>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</si>
  <si>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</si>
  <si>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</si>
  <si>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</si>
  <si>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</si>
  <si>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</si>
  <si>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</si>
  <si>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</si>
  <si>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</si>
  <si>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</si>
  <si>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</si>
  <si>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</si>
  <si>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</si>
  <si>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</si>
  <si>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</si>
  <si>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</si>
  <si>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</si>
  <si>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</si>
  <si>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</si>
  <si>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</si>
  <si>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</si>
  <si>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</si>
  <si>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</si>
  <si>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</si>
  <si>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</si>
  <si>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</si>
  <si>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</si>
  <si>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</si>
  <si>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</si>
  <si>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</si>
  <si>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</si>
  <si>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</si>
  <si>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</si>
  <si>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</si>
  <si>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</si>
  <si>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</si>
  <si>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</si>
  <si>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</si>
  <si>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</si>
  <si>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</si>
  <si>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</si>
  <si>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</si>
  <si>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</si>
  <si>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</si>
  <si>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</si>
  <si>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</si>
  <si>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</si>
  <si>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</si>
  <si>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</si>
  <si>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</si>
  <si>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</si>
  <si>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</si>
  <si>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</si>
  <si>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</si>
  <si>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</si>
  <si>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</si>
  <si>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</si>
  <si>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</si>
  <si>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</si>
  <si>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</si>
  <si>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</si>
  <si>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</si>
  <si>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</si>
  <si>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</si>
  <si>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</si>
  <si>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</si>
  <si>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</si>
  <si>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</si>
  <si>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</si>
  <si>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</si>
  <si>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</si>
  <si>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</si>
  <si>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</si>
  <si>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</si>
  <si>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</si>
  <si>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</si>
  <si>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</si>
  <si>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</si>
  <si>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</si>
  <si>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</si>
  <si>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</si>
  <si>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</si>
  <si>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</si>
  <si>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</si>
  <si>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</si>
  <si>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</si>
  <si>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</si>
  <si>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</si>
  <si>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</si>
  <si>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</si>
  <si>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</si>
  <si>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</si>
  <si>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</si>
  <si>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</si>
  <si>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</si>
  <si>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</si>
  <si>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</si>
  <si>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</si>
  <si>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</si>
  <si>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</si>
  <si>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</si>
  <si>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</si>
  <si>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</si>
  <si>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</si>
  <si>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</si>
  <si>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</si>
  <si>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</si>
  <si>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</si>
  <si>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</si>
  <si>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</si>
  <si>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</si>
  <si>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</si>
  <si>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</si>
  <si>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</si>
  <si>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</si>
  <si>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</si>
  <si>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</si>
  <si>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</si>
  <si>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</si>
  <si>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</si>
  <si>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</si>
  <si>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</si>
  <si>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</si>
  <si>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</si>
  <si>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</si>
  <si>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</si>
  <si>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</si>
  <si>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</si>
  <si>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</si>
  <si>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</si>
  <si>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</si>
  <si>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</si>
  <si>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</si>
  <si>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</si>
  <si>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</si>
  <si>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</si>
  <si>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</si>
  <si>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</si>
  <si>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</si>
  <si>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</si>
  <si>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</si>
  <si>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</si>
  <si>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</si>
  <si>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</si>
  <si>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</si>
  <si>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</si>
  <si>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</si>
  <si>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</si>
  <si>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</si>
  <si>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</si>
  <si>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</si>
  <si>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</si>
  <si>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</si>
  <si>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</si>
  <si>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</si>
  <si>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</si>
  <si>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</si>
  <si>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</si>
  <si>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</si>
  <si>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</si>
  <si>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</si>
  <si>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</si>
  <si>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</si>
  <si>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</si>
  <si>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</si>
  <si>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</si>
  <si>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</si>
  <si>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</si>
  <si>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</si>
  <si>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</si>
  <si>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</si>
  <si>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</si>
  <si>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</si>
  <si>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</si>
  <si>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</si>
  <si>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</si>
  <si>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</si>
  <si>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</si>
  <si>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</si>
  <si>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</si>
  <si>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</si>
  <si>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</si>
  <si>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</si>
  <si>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</si>
  <si>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</si>
  <si>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</si>
  <si>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</si>
  <si>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</si>
  <si>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</si>
  <si>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</si>
  <si>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</si>
  <si>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</si>
  <si>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</si>
  <si>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</si>
  <si>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</si>
  <si>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</si>
  <si>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</si>
  <si>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</si>
  <si>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</si>
  <si>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</si>
  <si>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</si>
  <si>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</si>
  <si>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</si>
  <si>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</si>
  <si>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</si>
  <si>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</si>
  <si>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</si>
  <si>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</si>
  <si>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</si>
  <si>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</si>
  <si>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</si>
  <si>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</si>
  <si>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</si>
  <si>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</si>
  <si>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</si>
  <si>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</si>
  <si>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</si>
  <si>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</si>
  <si>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</si>
  <si>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</si>
  <si>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</si>
  <si>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</si>
  <si>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</si>
  <si>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</si>
  <si>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</si>
  <si>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</si>
  <si>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</si>
  <si>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</si>
  <si>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</si>
  <si>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</si>
  <si>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</si>
  <si>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</si>
  <si>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</si>
  <si>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</si>
  <si>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</si>
  <si>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</si>
  <si>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</si>
  <si>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</si>
  <si>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</si>
  <si>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</si>
  <si>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</si>
  <si>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</si>
  <si>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</si>
  <si>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</si>
  <si>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</si>
  <si>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</si>
  <si>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</si>
  <si>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</si>
  <si>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</si>
  <si>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</si>
  <si>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</si>
  <si>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</si>
  <si>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</si>
  <si>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</si>
  <si>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</si>
  <si>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</si>
  <si>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</si>
  <si>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</si>
  <si>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</si>
  <si>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</si>
  <si>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</si>
  <si>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</si>
  <si>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</si>
  <si>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</si>
  <si>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</si>
  <si>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</si>
  <si>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</si>
  <si>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</si>
  <si>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</si>
  <si>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</si>
  <si>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</si>
  <si>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</si>
  <si>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</si>
  <si>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</si>
  <si>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</si>
  <si>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</si>
  <si>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</si>
  <si>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</si>
  <si>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</si>
  <si>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</si>
  <si>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</si>
  <si>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</si>
  <si>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</si>
  <si>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</si>
  <si>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</si>
  <si>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</si>
  <si>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</si>
  <si>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</si>
  <si>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</si>
  <si>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</si>
  <si>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</si>
  <si>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</si>
  <si>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</si>
  <si>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</si>
  <si>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</si>
  <si>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</si>
  <si>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</si>
  <si>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</si>
  <si>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</si>
  <si>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</si>
  <si>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</si>
  <si>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</si>
  <si>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</si>
  <si>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</si>
  <si>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</si>
  <si>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</si>
  <si>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</si>
  <si>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</si>
  <si>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</si>
  <si>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</si>
  <si>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</si>
  <si>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</si>
  <si>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</si>
  <si>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</si>
  <si>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</si>
  <si>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</si>
  <si>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</si>
  <si>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</si>
  <si>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</si>
  <si>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</si>
  <si>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</si>
  <si>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</si>
  <si>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</si>
  <si>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</si>
  <si>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</si>
  <si>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</si>
  <si>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</si>
  <si>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</si>
  <si>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</si>
  <si>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</si>
  <si>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</si>
  <si>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</si>
  <si>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</si>
  <si>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</si>
  <si>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</si>
  <si>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</si>
  <si>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</si>
  <si>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</si>
  <si>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</si>
  <si>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</si>
  <si>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</si>
  <si>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</si>
  <si>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</si>
  <si>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</si>
  <si>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</si>
  <si>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</si>
  <si>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</si>
  <si>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</si>
  <si>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</si>
  <si>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</si>
  <si>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</si>
  <si>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</si>
  <si>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</si>
  <si>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</si>
  <si>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</si>
  <si>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</si>
  <si>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</si>
  <si>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</si>
  <si>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</si>
  <si>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</si>
  <si>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</si>
  <si>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</si>
  <si>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</si>
  <si>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</si>
  <si>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</si>
  <si>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</si>
  <si>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</si>
  <si>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</si>
  <si>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</si>
  <si>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</si>
  <si>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</si>
  <si>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</si>
  <si>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</si>
  <si>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</si>
  <si>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</si>
  <si>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</si>
  <si>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</si>
  <si>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</si>
  <si>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</si>
  <si>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</si>
  <si>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</si>
  <si>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</si>
  <si>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</si>
  <si>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</si>
  <si>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</si>
  <si>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</si>
  <si>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</si>
  <si>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</si>
  <si>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</si>
  <si>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</si>
  <si>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</si>
  <si>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</si>
  <si>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</si>
  <si>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</si>
  <si>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</si>
  <si>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</si>
  <si>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</si>
  <si>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</si>
  <si>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</si>
  <si>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</si>
  <si>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</si>
  <si>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</si>
  <si>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</si>
  <si>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</si>
  <si>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</si>
  <si>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</si>
  <si>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</si>
  <si>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</si>
  <si>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</si>
  <si>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</si>
  <si>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</si>
  <si>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</si>
  <si>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</si>
  <si>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</si>
  <si>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</si>
  <si>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</si>
  <si>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</si>
  <si>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</si>
  <si>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</si>
  <si>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</si>
  <si>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</si>
  <si>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</si>
  <si>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</si>
  <si>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</si>
  <si>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</si>
  <si>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</si>
  <si>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</si>
  <si>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</si>
  <si>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</si>
  <si>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</si>
  <si>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</si>
  <si>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</si>
  <si>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</si>
  <si>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</si>
  <si>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</si>
  <si>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</si>
  <si>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</si>
  <si>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</si>
  <si>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</si>
  <si>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</si>
  <si>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</si>
  <si>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</si>
  <si>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</si>
  <si>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</si>
  <si>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</si>
  <si>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</si>
  <si>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</si>
  <si>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</si>
  <si>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</si>
  <si>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</si>
  <si>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</si>
  <si>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</si>
  <si>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</si>
  <si>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</si>
  <si>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</si>
  <si>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</si>
  <si>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</si>
  <si>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</si>
  <si>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</si>
  <si>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</si>
  <si>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</si>
  <si>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</si>
  <si>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</si>
  <si>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</si>
  <si>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</si>
  <si>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</si>
  <si>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</si>
  <si>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</si>
  <si>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</si>
  <si>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</si>
  <si>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</si>
  <si>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</si>
  <si>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</si>
  <si>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</si>
  <si>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</si>
  <si>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</si>
  <si>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</si>
  <si>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</si>
  <si>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</si>
  <si>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</si>
  <si>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</si>
  <si>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</si>
  <si>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</si>
  <si>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</si>
  <si>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</si>
  <si>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</si>
  <si>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</si>
  <si>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</si>
  <si>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</si>
  <si>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</si>
  <si>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</si>
  <si>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</si>
  <si>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</si>
  <si>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</si>
  <si>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</si>
  <si>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</si>
  <si>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</si>
  <si>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</si>
  <si>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</si>
  <si>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</si>
  <si>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</si>
  <si>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</si>
  <si>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</si>
  <si>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</si>
  <si>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</si>
  <si>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</si>
  <si>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</si>
  <si>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</si>
  <si>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</si>
  <si>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</si>
  <si>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</si>
  <si>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</si>
  <si>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</si>
  <si>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</si>
  <si>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</si>
  <si>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</si>
  <si>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</si>
  <si>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</si>
  <si>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</si>
  <si>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</si>
  <si>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</si>
  <si>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</si>
  <si>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</si>
  <si>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</si>
  <si>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</si>
  <si>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</si>
  <si>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</si>
  <si>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</si>
  <si>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</si>
  <si>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</si>
  <si>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</si>
  <si>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</si>
  <si>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</si>
  <si>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</si>
  <si>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</si>
  <si>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</si>
  <si>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</si>
  <si>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</si>
  <si>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</si>
  <si>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</si>
  <si>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</si>
  <si>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</si>
  <si>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</si>
  <si>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</si>
  <si>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</si>
  <si>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</si>
  <si>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</si>
  <si>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</si>
  <si>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</si>
  <si>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</si>
  <si>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</si>
  <si>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</si>
  <si>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</si>
  <si>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</si>
  <si>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</si>
  <si>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</si>
  <si>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</si>
  <si>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</si>
  <si>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</si>
  <si>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</si>
  <si>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</si>
  <si>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</si>
  <si>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</si>
  <si>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</si>
  <si>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</si>
  <si>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</si>
  <si>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</si>
  <si>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</si>
  <si>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</si>
  <si>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</si>
  <si>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</si>
  <si>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</si>
  <si>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</si>
  <si>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</si>
  <si>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</si>
  <si>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</si>
  <si>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</si>
  <si>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</si>
  <si>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</si>
  <si>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</si>
  <si>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</si>
  <si>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</si>
  <si>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</si>
  <si>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</si>
  <si>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</si>
  <si>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</si>
  <si>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</si>
  <si>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</si>
  <si>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</si>
  <si>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</si>
  <si>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</si>
  <si>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</si>
  <si>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</si>
  <si>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</si>
  <si>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</si>
  <si>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</si>
  <si>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</si>
  <si>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</si>
  <si>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</si>
  <si>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</si>
  <si>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</si>
  <si>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</si>
  <si>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</si>
  <si>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</si>
  <si>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</si>
  <si>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</si>
  <si>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</si>
  <si>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</si>
  <si>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</si>
  <si>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</si>
  <si>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</si>
  <si>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</si>
  <si>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</si>
  <si>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</si>
  <si>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</si>
  <si>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</si>
  <si>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</si>
  <si>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</si>
  <si>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</si>
  <si>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</si>
  <si>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</si>
  <si>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</si>
  <si>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</si>
  <si>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</si>
  <si>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</si>
  <si>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</si>
  <si>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</si>
  <si>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</si>
  <si>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</si>
  <si>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</si>
  <si>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</si>
  <si>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</si>
  <si>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</si>
  <si>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</si>
  <si>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</si>
  <si>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</si>
  <si>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</si>
  <si>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</si>
  <si>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</si>
  <si>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</si>
  <si>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</si>
  <si>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</si>
  <si>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</si>
  <si>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</si>
  <si>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</si>
  <si>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</si>
  <si>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</si>
  <si>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</si>
  <si>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</si>
  <si>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</si>
  <si>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</si>
  <si>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</si>
  <si>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</si>
  <si>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</si>
  <si>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</si>
  <si>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</si>
  <si>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</si>
  <si>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</si>
  <si>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</si>
  <si>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</si>
  <si>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</si>
  <si>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</si>
  <si>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</si>
  <si>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</si>
  <si>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</si>
  <si>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</si>
  <si>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</si>
  <si>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</si>
  <si>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</si>
  <si>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</si>
  <si>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</si>
  <si>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</si>
  <si>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</si>
  <si>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</si>
  <si>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</si>
  <si>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</si>
  <si>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</si>
  <si>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</si>
  <si>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</si>
  <si>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</si>
  <si>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</si>
  <si>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</si>
  <si>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</si>
  <si>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</si>
  <si>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</si>
  <si>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</si>
  <si>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</si>
  <si>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</si>
  <si>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</si>
  <si>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</si>
  <si>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</si>
  <si>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</si>
  <si>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</si>
  <si>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</si>
  <si>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</si>
  <si>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</si>
  <si>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</si>
  <si>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</si>
  <si>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</si>
  <si>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</si>
  <si>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</si>
  <si>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</si>
  <si>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</si>
  <si>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</si>
  <si>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</si>
  <si>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</si>
  <si>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</si>
  <si>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</si>
  <si>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</si>
  <si>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</si>
  <si>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</si>
  <si>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</si>
  <si>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</si>
  <si>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</si>
  <si>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</si>
  <si>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</si>
  <si>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</si>
  <si>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</si>
  <si>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</si>
  <si>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</si>
  <si>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</si>
  <si>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</si>
  <si>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</si>
  <si>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</si>
  <si>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</si>
  <si>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</si>
  <si>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</si>
  <si>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</si>
  <si>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</si>
  <si>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</si>
  <si>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</si>
  <si>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</si>
  <si>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</si>
  <si>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</si>
  <si>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</si>
  <si>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</si>
  <si>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</si>
  <si>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</si>
  <si>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</si>
  <si>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</si>
  <si>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</si>
  <si>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</si>
  <si>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</si>
  <si>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</si>
  <si>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</si>
  <si>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</si>
  <si>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</si>
  <si>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</si>
  <si>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</si>
  <si>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</si>
  <si>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</si>
  <si>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</si>
  <si>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</si>
  <si>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</si>
  <si>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</si>
  <si>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</si>
  <si>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</si>
  <si>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</si>
  <si>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</si>
  <si>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</si>
  <si>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</si>
  <si>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</si>
  <si>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</si>
  <si>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</si>
  <si>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</si>
  <si>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</si>
  <si>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</si>
  <si>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</si>
  <si>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</si>
  <si>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</si>
  <si>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</si>
  <si>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</si>
  <si>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</si>
  <si>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</si>
  <si>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</si>
  <si>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</si>
  <si>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</si>
  <si>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</si>
  <si>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</si>
  <si>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</si>
  <si>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</si>
  <si>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</si>
  <si>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</si>
  <si>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</si>
  <si>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</si>
  <si>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</si>
  <si>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</si>
  <si>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</si>
  <si>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</si>
  <si>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</si>
  <si>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</si>
  <si>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</si>
  <si>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</si>
  <si>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</si>
  <si>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</si>
  <si>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</si>
  <si>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</si>
  <si>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</si>
  <si>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</si>
  <si>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</si>
  <si>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</si>
  <si>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</si>
  <si>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</si>
  <si>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</si>
  <si>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</si>
  <si>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</si>
  <si>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</si>
  <si>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</si>
  <si>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</si>
  <si>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</si>
  <si>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</si>
  <si>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</si>
  <si>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</si>
  <si>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</si>
  <si>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</si>
  <si>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</si>
  <si>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</si>
  <si>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</si>
  <si>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</si>
  <si>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</si>
  <si>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</si>
  <si>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</si>
  <si>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</si>
  <si>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</si>
  <si>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</si>
  <si>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</si>
  <si>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</si>
  <si>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</si>
  <si>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</si>
  <si>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</si>
  <si>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</si>
  <si>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</si>
  <si>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</si>
  <si>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</si>
  <si>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</si>
  <si>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</si>
  <si>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</si>
  <si>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</si>
  <si>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</si>
  <si>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</si>
  <si>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</si>
  <si>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</si>
  <si>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</si>
  <si>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</si>
  <si>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</si>
  <si>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</si>
  <si>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</si>
  <si>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</si>
  <si>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</si>
  <si>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</si>
  <si>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</si>
  <si>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</si>
  <si>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</si>
  <si>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</si>
  <si>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</si>
  <si>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</si>
  <si>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</si>
  <si>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</si>
  <si>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</si>
  <si>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</si>
  <si>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</si>
  <si>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</si>
  <si>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</si>
  <si>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</si>
  <si>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</si>
  <si>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</si>
  <si>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</si>
  <si>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</si>
  <si>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</si>
  <si>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</si>
  <si>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</si>
  <si>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</si>
  <si>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</si>
  <si>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</si>
  <si>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</si>
  <si>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</si>
  <si>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</si>
  <si>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</si>
  <si>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</si>
  <si>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</si>
  <si>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</si>
  <si>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</si>
  <si>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</si>
  <si>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</si>
  <si>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</si>
  <si>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</si>
  <si>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</si>
  <si>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</si>
  <si>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</si>
  <si>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</si>
  <si>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</si>
  <si>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</si>
  <si>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</si>
  <si>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</si>
  <si>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</si>
  <si>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</si>
  <si>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</si>
  <si>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</si>
  <si>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</si>
  <si>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</si>
  <si>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</si>
  <si>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</si>
  <si>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</si>
  <si>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</si>
  <si>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</si>
  <si>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</si>
  <si>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</si>
  <si>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</si>
  <si>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</si>
  <si>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</si>
  <si>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</si>
  <si>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</si>
  <si>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</si>
  <si>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</si>
  <si>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</si>
  <si>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</si>
  <si>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</si>
  <si>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</si>
  <si>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</si>
  <si>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</si>
  <si>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</si>
  <si>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</si>
  <si>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</si>
  <si>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</si>
  <si>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</si>
  <si>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</si>
  <si>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</si>
  <si>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</si>
  <si>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</si>
  <si>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</si>
  <si>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</si>
  <si>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</si>
  <si>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</si>
  <si>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</si>
  <si>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</si>
  <si>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</si>
  <si>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</si>
  <si>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</si>
  <si>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</si>
  <si>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</si>
  <si>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</si>
  <si>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</si>
  <si>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</si>
  <si>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</si>
  <si>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</si>
  <si>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</si>
  <si>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</si>
  <si>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</si>
  <si>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</si>
  <si>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</si>
  <si>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</si>
  <si>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</si>
  <si>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</si>
  <si>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</si>
  <si>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</si>
  <si>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</si>
  <si>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</si>
  <si>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</si>
  <si>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</si>
  <si>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</si>
  <si>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</si>
  <si>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</si>
  <si>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</si>
  <si>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</si>
  <si>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</si>
  <si>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</si>
  <si>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</si>
  <si>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</si>
  <si>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</si>
  <si>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</si>
  <si>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</si>
  <si>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</si>
  <si>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</si>
  <si>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</si>
  <si>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</si>
  <si>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</si>
  <si>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</si>
  <si>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</si>
  <si>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</si>
  <si>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</si>
  <si>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</si>
  <si>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</si>
  <si>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</si>
  <si>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</si>
  <si>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</si>
  <si>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</si>
  <si>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</si>
  <si>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</si>
  <si>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</si>
  <si>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</si>
  <si>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</si>
  <si>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</si>
  <si>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</si>
  <si>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</si>
  <si>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</si>
  <si>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</si>
  <si>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</si>
  <si>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</si>
  <si>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</si>
  <si>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</si>
  <si>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</si>
  <si>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</si>
  <si>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</si>
  <si>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</si>
  <si>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</si>
  <si>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</si>
  <si>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</si>
  <si>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</si>
  <si>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</si>
  <si>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</si>
  <si>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</si>
  <si>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</si>
  <si>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</si>
  <si>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</si>
  <si>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</si>
  <si>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</si>
  <si>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</si>
  <si>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</si>
  <si>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</si>
  <si>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</si>
  <si>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</si>
  <si>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</si>
  <si>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</si>
  <si>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</si>
  <si>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</si>
  <si>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</si>
  <si>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</si>
  <si>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</si>
  <si>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</si>
  <si>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</si>
  <si>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</si>
  <si>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</si>
  <si>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</si>
  <si>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</si>
  <si>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</si>
  <si>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</si>
  <si>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</si>
  <si>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</si>
  <si>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</si>
  <si>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</si>
  <si>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</si>
  <si>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</si>
  <si>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</si>
  <si>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</si>
  <si>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</si>
  <si>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</si>
  <si>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</si>
  <si>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</si>
  <si>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</si>
  <si>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</si>
  <si>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</si>
  <si>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</si>
  <si>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</si>
  <si>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</si>
  <si>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</si>
  <si>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</si>
  <si>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</si>
  <si>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</si>
  <si>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</si>
  <si>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</si>
  <si>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</si>
  <si>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</si>
  <si>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</si>
  <si>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</si>
  <si>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</si>
  <si>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</si>
  <si>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</si>
  <si>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</si>
  <si>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</si>
  <si>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</si>
  <si>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</si>
  <si>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</si>
  <si>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</si>
  <si>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</si>
  <si>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</si>
  <si>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</si>
  <si>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</si>
  <si>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</si>
  <si>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</si>
  <si>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</si>
  <si>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</si>
  <si>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</si>
  <si>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</si>
  <si>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</si>
  <si>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</si>
  <si>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</si>
  <si>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</si>
  <si>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</si>
  <si>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</si>
  <si>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</si>
  <si>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</si>
  <si>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</si>
  <si>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</si>
  <si>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</si>
  <si>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</si>
  <si>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</si>
  <si>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</si>
  <si>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</si>
  <si>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</si>
  <si>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</si>
  <si>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</si>
  <si>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</si>
  <si>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</si>
  <si>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</si>
  <si>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</si>
  <si>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</si>
  <si>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</si>
  <si>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</si>
  <si>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</si>
  <si>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</si>
  <si>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</si>
  <si>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</si>
  <si>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</si>
  <si>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</si>
  <si>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</si>
  <si>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</si>
  <si>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</si>
  <si>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</si>
  <si>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</si>
  <si>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</si>
  <si>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</si>
  <si>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</si>
  <si>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</si>
  <si>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</si>
  <si>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</si>
  <si>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</si>
  <si>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</si>
  <si>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</si>
  <si>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</si>
  <si>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</si>
  <si>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</si>
  <si>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</si>
  <si>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</si>
  <si>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</si>
  <si>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</si>
  <si>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</si>
  <si>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</si>
  <si>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</si>
  <si>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</si>
  <si>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</si>
  <si>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</si>
  <si>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</si>
  <si>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</si>
  <si>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</si>
  <si>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</si>
  <si>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</si>
  <si>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</si>
  <si>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</si>
  <si>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</si>
  <si>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</si>
  <si>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</si>
  <si>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</si>
  <si>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</si>
  <si>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</si>
  <si>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</si>
  <si>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</si>
  <si>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</si>
  <si>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</si>
  <si>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</si>
  <si>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</si>
  <si>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</si>
  <si>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</si>
  <si>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</si>
  <si>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</si>
  <si>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</si>
  <si>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</si>
  <si>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</si>
  <si>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</si>
  <si>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</si>
  <si>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</si>
  <si>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</si>
  <si>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</si>
  <si>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</si>
  <si>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</si>
  <si>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</si>
  <si>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</si>
  <si>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</si>
  <si>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</si>
  <si>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</si>
  <si>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</si>
  <si>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</si>
  <si>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</si>
  <si>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</si>
  <si>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</si>
  <si>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</si>
  <si>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</si>
  <si>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</si>
  <si>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</si>
  <si>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</si>
  <si>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</si>
  <si>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</si>
  <si>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</si>
  <si>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</si>
  <si>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</si>
  <si>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</si>
  <si>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</si>
  <si>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</si>
  <si>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</si>
  <si>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</si>
  <si>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</si>
  <si>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</si>
  <si>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</si>
  <si>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</si>
  <si>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</si>
  <si>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</si>
  <si>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</si>
  <si>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</si>
  <si>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</si>
  <si>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</si>
  <si>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</si>
  <si>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</si>
  <si>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</si>
  <si>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</si>
  <si>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</si>
  <si>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</si>
  <si>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</si>
  <si>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</si>
  <si>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</si>
  <si>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</si>
  <si>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</si>
  <si>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</si>
  <si>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</si>
  <si>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</si>
  <si>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</si>
  <si>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</si>
  <si>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</si>
  <si>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</si>
  <si>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</si>
  <si>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</si>
  <si>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</si>
  <si>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</si>
  <si>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</si>
  <si>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</si>
  <si>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</si>
  <si>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</si>
  <si>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</si>
  <si>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</si>
  <si>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</si>
  <si>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</si>
  <si>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</si>
  <si>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</si>
  <si>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</si>
  <si>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</si>
  <si>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</si>
  <si>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</si>
  <si>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</si>
  <si>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</si>
  <si>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</si>
  <si>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</si>
  <si>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</si>
  <si>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</si>
  <si>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</si>
  <si>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</si>
  <si>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</si>
  <si>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</si>
  <si>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</si>
  <si>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</si>
  <si>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</si>
  <si>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</si>
  <si>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</si>
  <si>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</si>
  <si>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</si>
  <si>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</si>
  <si>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</si>
  <si>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</si>
  <si>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</si>
  <si>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</si>
  <si>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</si>
  <si>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</si>
  <si>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</si>
  <si>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</si>
  <si>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</si>
  <si>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</si>
  <si>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</si>
  <si>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</si>
  <si>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</si>
  <si>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</si>
  <si>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</si>
  <si>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</si>
  <si>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</si>
  <si>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</si>
  <si>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</si>
  <si>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</si>
  <si>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</si>
  <si>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</si>
  <si>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</si>
  <si>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</si>
  <si>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</si>
  <si>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</si>
  <si>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</si>
  <si>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</si>
  <si>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</si>
  <si>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</si>
  <si>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</si>
  <si>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</si>
  <si>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</si>
  <si>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</si>
  <si>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</si>
  <si>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</si>
  <si>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</si>
  <si>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</si>
  <si>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</si>
  <si>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</si>
  <si>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</si>
  <si>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</si>
  <si>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</si>
  <si>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</si>
  <si>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</si>
  <si>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</si>
  <si>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</si>
  <si>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</si>
  <si>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</si>
  <si>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</si>
  <si>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</si>
  <si>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</si>
  <si>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</si>
  <si>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</si>
  <si>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</si>
  <si>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</si>
  <si>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</si>
  <si>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</si>
  <si>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</si>
  <si>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</si>
  <si>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</si>
  <si>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</si>
  <si>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</si>
  <si>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</si>
  <si>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</si>
  <si>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</si>
  <si>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</si>
  <si>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</si>
  <si>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</si>
  <si>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</si>
  <si>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</si>
  <si>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</si>
  <si>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</si>
  <si>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</si>
  <si>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</si>
  <si>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</si>
  <si>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</si>
  <si>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</si>
  <si>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</si>
  <si>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</si>
  <si>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</si>
  <si>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</si>
  <si>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</si>
  <si>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</si>
  <si>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</si>
  <si>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</si>
  <si>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</si>
  <si>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</si>
  <si>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</si>
  <si>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</si>
  <si>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</si>
  <si>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</si>
  <si>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</si>
  <si>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</si>
  <si>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</si>
  <si>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</si>
  <si>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</si>
  <si>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</si>
  <si>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</si>
  <si>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</si>
  <si>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</si>
  <si>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</si>
  <si>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</si>
  <si>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</si>
  <si>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</si>
  <si>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</si>
  <si>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</si>
  <si>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</si>
  <si>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</si>
  <si>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</si>
  <si>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</si>
  <si>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</si>
  <si>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</si>
  <si>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</si>
  <si>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</si>
  <si>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</si>
  <si>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</si>
  <si>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</si>
  <si>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</si>
  <si>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</si>
  <si>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</si>
  <si>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</si>
  <si>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</si>
  <si>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</si>
  <si>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</si>
  <si>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</si>
  <si>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</si>
  <si>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</si>
  <si>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</si>
  <si>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</si>
  <si>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</si>
  <si>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</si>
  <si>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</si>
  <si>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</si>
  <si>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</si>
  <si>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</si>
  <si>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</si>
  <si>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</si>
  <si>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</si>
  <si>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</si>
  <si>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</si>
  <si>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</si>
  <si>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</si>
  <si>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</si>
  <si>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</si>
  <si>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</si>
  <si>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</si>
  <si>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</si>
  <si>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</si>
  <si>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</si>
  <si>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</si>
  <si>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</si>
  <si>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</si>
  <si>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</si>
  <si>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</si>
  <si>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</si>
  <si>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</si>
  <si>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</si>
  <si>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</si>
  <si>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</si>
  <si>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</si>
  <si>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</si>
  <si>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</si>
  <si>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</si>
  <si>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</si>
  <si>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</si>
  <si>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</si>
  <si>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</si>
  <si>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</si>
  <si>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</si>
  <si>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</si>
  <si>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</si>
  <si>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</si>
  <si>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</si>
  <si>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</si>
  <si>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</si>
  <si>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</si>
  <si>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</si>
  <si>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</si>
  <si>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</si>
  <si>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</si>
  <si>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</si>
  <si>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</si>
  <si>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</si>
  <si>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</si>
  <si>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</si>
  <si>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</si>
  <si>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</si>
  <si>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</si>
  <si>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</si>
  <si>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</si>
  <si>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</si>
  <si>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</si>
  <si>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</si>
  <si>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</si>
  <si>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</si>
  <si>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</si>
  <si>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</si>
  <si>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</si>
  <si>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</si>
  <si>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</si>
  <si>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</si>
  <si>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</si>
  <si>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</si>
  <si>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</si>
  <si>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</si>
  <si>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</si>
  <si>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</si>
  <si>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</si>
  <si>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</si>
  <si>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</si>
  <si>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</si>
  <si>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</si>
  <si>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</si>
  <si>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</si>
  <si>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</si>
  <si>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</si>
  <si>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</si>
  <si>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</si>
  <si>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</si>
  <si>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</si>
  <si>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</si>
  <si>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</si>
  <si>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</si>
  <si>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</si>
  <si>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</si>
  <si>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</si>
  <si>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</si>
  <si>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</si>
  <si>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</si>
  <si>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</si>
  <si>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</si>
  <si>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</si>
  <si>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</si>
  <si>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</si>
  <si>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</si>
  <si>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</si>
  <si>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</si>
  <si>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</si>
  <si>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</si>
  <si>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</si>
  <si>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</si>
  <si>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</si>
  <si>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</si>
  <si>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</si>
  <si>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</si>
  <si>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</si>
  <si>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</si>
  <si>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</si>
  <si>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</si>
  <si>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</si>
  <si>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</si>
  <si>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</si>
  <si>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</si>
  <si>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</si>
  <si>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</si>
  <si>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</si>
  <si>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</si>
  <si>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</si>
  <si>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</si>
  <si>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</si>
  <si>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</si>
  <si>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</si>
  <si>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</si>
  <si>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</si>
  <si>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</si>
  <si>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</si>
  <si>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</si>
  <si>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</si>
  <si>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</si>
  <si>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</si>
  <si>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</si>
  <si>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</si>
  <si>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</si>
  <si>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</si>
  <si>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</si>
  <si>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</si>
  <si>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</si>
  <si>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</si>
  <si>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</si>
  <si>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</si>
  <si>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</si>
  <si>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</si>
  <si>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</si>
  <si>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</si>
  <si>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</si>
  <si>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</si>
  <si>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</si>
  <si>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</si>
  <si>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</si>
  <si>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</si>
  <si>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</si>
  <si>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</si>
  <si>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</si>
  <si>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</si>
  <si>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</si>
  <si>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</si>
  <si>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</si>
  <si>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</si>
  <si>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</si>
  <si>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</si>
  <si>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</si>
  <si>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</si>
  <si>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</si>
  <si>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</si>
  <si>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</si>
  <si>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</si>
  <si>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</si>
  <si>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</si>
  <si>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</si>
  <si>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</si>
  <si>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</si>
  <si>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</si>
  <si>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</si>
  <si>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</si>
  <si>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</si>
  <si>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</si>
  <si>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</si>
  <si>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</si>
  <si>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</si>
  <si>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</si>
  <si>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</si>
  <si>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</si>
  <si>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</si>
  <si>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</si>
  <si>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</si>
  <si>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</si>
  <si>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</si>
  <si>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</si>
  <si>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</si>
  <si>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</si>
  <si>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</si>
  <si>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</si>
  <si>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</si>
  <si>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</si>
  <si>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</si>
  <si>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</si>
  <si>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</si>
  <si>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</si>
  <si>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</si>
  <si>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</si>
  <si>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</si>
  <si>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</si>
  <si>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</si>
  <si>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</si>
  <si>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</si>
  <si>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</si>
  <si>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</si>
  <si>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</si>
  <si>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</si>
  <si>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</si>
  <si>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</si>
  <si>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</si>
  <si>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</si>
  <si>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</si>
  <si>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</si>
  <si>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</si>
  <si>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</si>
  <si>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</si>
  <si>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</si>
  <si>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</si>
  <si>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</si>
  <si>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</si>
  <si>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</si>
  <si>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</si>
  <si>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</si>
  <si>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</si>
  <si>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</si>
  <si>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</si>
  <si>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</si>
  <si>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</si>
  <si>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</si>
  <si>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</si>
  <si>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</si>
  <si>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</si>
  <si>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</si>
  <si>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</si>
  <si>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</si>
  <si>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</si>
  <si>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</si>
  <si>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</si>
  <si>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</si>
  <si>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</si>
  <si>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</si>
  <si>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</si>
  <si>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</si>
  <si>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</si>
  <si>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</si>
  <si>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</si>
  <si>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</si>
  <si>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</si>
  <si>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</si>
  <si>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</si>
  <si>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</si>
  <si>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</si>
  <si>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</si>
  <si>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</si>
  <si>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</si>
  <si>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</si>
  <si>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</si>
  <si>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</si>
  <si>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</si>
  <si>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</si>
  <si>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</si>
  <si>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</si>
  <si>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</si>
  <si>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</si>
  <si>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</si>
  <si>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</si>
  <si>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</si>
  <si>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</si>
  <si>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</si>
  <si>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</si>
  <si>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</si>
  <si>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</si>
  <si>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</si>
  <si>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</si>
  <si>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</si>
  <si>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</si>
  <si>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</si>
  <si>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</si>
  <si>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</si>
  <si>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</si>
  <si>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</si>
  <si>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</si>
  <si>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</si>
  <si>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</si>
  <si>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</si>
  <si>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</si>
  <si>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</si>
  <si>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</si>
  <si>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</si>
  <si>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</si>
  <si>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</si>
  <si>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</si>
  <si>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</si>
  <si>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</si>
  <si>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</si>
  <si>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</si>
  <si>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</si>
  <si>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</si>
  <si>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</si>
  <si>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</si>
  <si>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</si>
  <si>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</si>
  <si>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</si>
  <si>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</si>
  <si>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</si>
  <si>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</si>
  <si>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</si>
  <si>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</si>
  <si>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</si>
  <si>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</si>
  <si>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</si>
  <si>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</si>
  <si>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</si>
  <si>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</si>
  <si>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</si>
  <si>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</si>
  <si>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</si>
  <si>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</si>
  <si>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</si>
  <si>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</si>
  <si>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</si>
  <si>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</si>
  <si>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</si>
  <si>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</si>
  <si>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</si>
  <si>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</si>
  <si>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</si>
  <si>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</si>
  <si>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</si>
  <si>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</si>
  <si>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</si>
  <si>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</si>
  <si>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</si>
  <si>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</si>
  <si>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</si>
  <si>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</si>
  <si>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</si>
  <si>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</si>
  <si>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</si>
  <si>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</si>
  <si>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</si>
  <si>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</si>
  <si>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</si>
  <si>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</si>
  <si>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</si>
  <si>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</si>
  <si>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</si>
  <si>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</si>
  <si>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</si>
  <si>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</si>
  <si>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</si>
  <si>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</si>
  <si>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</si>
  <si>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</si>
  <si>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</si>
  <si>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</si>
  <si>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</si>
  <si>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</si>
  <si>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</si>
  <si>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</si>
  <si>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</si>
  <si>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</si>
  <si>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</si>
  <si>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</si>
  <si>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</si>
  <si>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</si>
  <si>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</si>
  <si>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</si>
  <si>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</si>
  <si>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</si>
  <si>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</si>
  <si>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</si>
  <si>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</si>
  <si>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</si>
  <si>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</si>
  <si>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</si>
  <si>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</si>
  <si>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</si>
  <si>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</si>
  <si>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</si>
  <si>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</si>
  <si>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</si>
  <si>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</si>
  <si>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</si>
  <si>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</si>
  <si>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</si>
  <si>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</si>
  <si>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</si>
  <si>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</si>
  <si>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</si>
  <si>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</si>
  <si>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</si>
  <si>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</si>
  <si>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</si>
  <si>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</si>
  <si>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</si>
  <si>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</si>
  <si>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</si>
  <si>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</si>
  <si>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</si>
  <si>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</si>
  <si>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</si>
  <si>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</si>
  <si>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</si>
  <si>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</si>
  <si>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</si>
  <si>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</si>
  <si>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</si>
  <si>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</si>
  <si>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</si>
  <si>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</si>
  <si>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</si>
  <si>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</si>
  <si>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</si>
  <si>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</si>
  <si>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</si>
  <si>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</si>
  <si>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</si>
  <si>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</si>
  <si>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</si>
  <si>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</si>
  <si>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</si>
  <si>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</si>
  <si>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</si>
  <si>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</si>
  <si>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</si>
  <si>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</si>
  <si>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</si>
  <si>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</si>
  <si>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</si>
  <si>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</si>
  <si>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</si>
  <si>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</si>
  <si>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</si>
  <si>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</si>
  <si>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</si>
  <si>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</si>
  <si>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</si>
  <si>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</si>
  <si>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</si>
  <si>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</si>
  <si>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</si>
  <si>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</si>
  <si>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</si>
  <si>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</si>
  <si>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</si>
  <si>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</si>
  <si>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</si>
  <si>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</si>
  <si>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</si>
  <si>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</si>
  <si>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</si>
  <si>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</si>
  <si>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</si>
  <si>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</si>
  <si>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</si>
  <si>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</si>
  <si>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</si>
  <si>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</si>
  <si>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</si>
  <si>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</si>
  <si>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</si>
  <si>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</si>
  <si>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</si>
  <si>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</si>
  <si>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</si>
  <si>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</si>
  <si>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</si>
  <si>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</si>
  <si>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</si>
  <si>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</si>
  <si>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</si>
  <si>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</si>
  <si>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</si>
  <si>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</si>
  <si>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</si>
  <si>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</si>
  <si>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</si>
  <si>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</si>
  <si>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</si>
  <si>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</si>
  <si>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</si>
  <si>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</si>
  <si>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</si>
  <si>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</si>
  <si>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</si>
  <si>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</si>
  <si>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</si>
  <si>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</si>
  <si>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</si>
  <si>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</si>
  <si>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</si>
  <si>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</si>
  <si>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</si>
  <si>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</si>
  <si>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</si>
  <si>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</si>
  <si>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</si>
  <si>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</si>
  <si>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</si>
  <si>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</si>
  <si>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</si>
  <si>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</si>
  <si>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</si>
  <si>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</si>
  <si>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</si>
  <si>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</si>
  <si>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</si>
  <si>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</si>
  <si>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</si>
  <si>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</si>
  <si>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</si>
  <si>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</si>
  <si>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</si>
  <si>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</si>
  <si>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</si>
  <si>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</si>
  <si>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</si>
  <si>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</si>
  <si>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</si>
  <si>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</si>
  <si>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</si>
  <si>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</si>
  <si>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</si>
  <si>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</si>
  <si>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</si>
  <si>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</si>
  <si>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</si>
  <si>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</si>
  <si>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</si>
  <si>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</si>
  <si>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</si>
  <si>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</si>
  <si>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</si>
  <si>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</si>
  <si>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</si>
  <si>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</si>
  <si>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</si>
  <si>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</si>
  <si>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</si>
  <si>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</si>
  <si>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</si>
  <si>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</si>
  <si>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</si>
  <si>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</si>
  <si>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</si>
  <si>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</si>
  <si>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</si>
  <si>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</si>
  <si>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</si>
  <si>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</si>
  <si>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</si>
  <si>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</si>
  <si>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</si>
  <si>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</si>
  <si>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</si>
  <si>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</si>
  <si>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</si>
  <si>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</si>
  <si>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</si>
  <si>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</si>
  <si>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</si>
  <si>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</si>
  <si>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</si>
  <si>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</si>
  <si>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</si>
  <si>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</si>
  <si>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</si>
  <si>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</si>
  <si>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</si>
  <si>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</si>
  <si>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</si>
  <si>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</si>
  <si>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</si>
  <si>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</si>
  <si>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</si>
  <si>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</si>
  <si>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</si>
  <si>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</si>
  <si>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</si>
  <si>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</si>
  <si>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</si>
  <si>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</si>
  <si>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</si>
  <si>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</si>
  <si>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</si>
  <si>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</si>
  <si>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</si>
  <si>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</si>
  <si>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</si>
  <si>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</si>
  <si>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</si>
  <si>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</si>
  <si>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</si>
  <si>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</si>
  <si>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</si>
  <si>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</si>
  <si>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</si>
  <si>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</si>
  <si>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</si>
  <si>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</si>
  <si>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</si>
  <si>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</si>
  <si>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</si>
  <si>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</si>
  <si>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</si>
  <si>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</si>
  <si>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</si>
  <si>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</si>
  <si>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</si>
  <si>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</si>
  <si>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</si>
  <si>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</si>
  <si>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</si>
  <si>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</si>
  <si>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</si>
  <si>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</si>
  <si>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</si>
  <si>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</si>
  <si>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</si>
  <si>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</si>
  <si>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</si>
  <si>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</si>
  <si>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</si>
  <si>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</si>
  <si>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</si>
  <si>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</si>
  <si>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</si>
  <si>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</si>
  <si>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</si>
  <si>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</si>
  <si>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</si>
  <si>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</si>
  <si>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</si>
  <si>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</si>
  <si>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</si>
  <si>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</si>
  <si>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</si>
  <si>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</si>
  <si>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</si>
  <si>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</si>
  <si>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</si>
  <si>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</si>
  <si>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</si>
  <si>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</si>
  <si>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</si>
  <si>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</si>
  <si>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</si>
  <si>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</si>
  <si>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</si>
  <si>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</si>
  <si>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</si>
  <si>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</si>
  <si>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</si>
  <si>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</si>
  <si>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</si>
  <si>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</si>
  <si>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</si>
  <si>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</si>
  <si>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</si>
  <si>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</si>
  <si>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</si>
  <si>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</si>
  <si>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</si>
  <si>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</si>
  <si>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</si>
  <si>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</si>
  <si>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</si>
  <si>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</si>
  <si>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</si>
  <si>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</si>
  <si>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</si>
  <si>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</si>
  <si>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</si>
  <si>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</si>
  <si>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</si>
  <si>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</si>
  <si>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</si>
  <si>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</si>
  <si>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</si>
  <si>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</si>
  <si>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</si>
  <si>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</si>
  <si>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</si>
  <si>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</si>
  <si>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</si>
  <si>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</si>
  <si>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</si>
  <si>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</si>
  <si>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</si>
  <si>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</si>
  <si>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</si>
  <si>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</si>
  <si>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</si>
  <si>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</si>
  <si>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</si>
  <si>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</si>
  <si>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</si>
  <si>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</si>
  <si>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</si>
  <si>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</si>
  <si>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</si>
  <si>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</si>
  <si>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</si>
  <si>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</si>
  <si>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</si>
  <si>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</si>
  <si>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</si>
  <si>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</si>
  <si>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</si>
  <si>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</si>
  <si>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</si>
  <si>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</si>
  <si>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</si>
  <si>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</si>
  <si>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</si>
  <si>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</si>
  <si>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</si>
  <si>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</si>
  <si>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</si>
  <si>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</si>
  <si>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</si>
  <si>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</si>
  <si>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</si>
  <si>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</si>
  <si>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</si>
  <si>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</si>
  <si>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</si>
  <si>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</si>
  <si>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</si>
  <si>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</si>
  <si>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</si>
  <si>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</si>
  <si>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</si>
  <si>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</si>
  <si>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</si>
  <si>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</si>
  <si>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</si>
  <si>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</si>
  <si>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</si>
  <si>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</si>
  <si>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</si>
  <si>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</si>
  <si>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</si>
  <si>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</si>
  <si>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</si>
  <si>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</si>
  <si>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</si>
  <si>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</si>
  <si>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</si>
  <si>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</si>
  <si>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</si>
  <si>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</si>
  <si>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</si>
  <si>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</si>
  <si>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</si>
  <si>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</si>
  <si>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</si>
  <si>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</si>
  <si>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</si>
  <si>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</si>
  <si>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</si>
  <si>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</si>
  <si>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</si>
  <si>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</si>
  <si>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</si>
  <si>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</si>
  <si>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</si>
  <si>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</si>
  <si>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</si>
  <si>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</si>
  <si>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</si>
  <si>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</si>
  <si>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</si>
  <si>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</si>
  <si>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</si>
  <si>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</si>
  <si>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</si>
  <si>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</si>
  <si>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</si>
  <si>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</si>
  <si>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</si>
  <si>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</si>
  <si>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</si>
  <si>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</si>
  <si>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</si>
  <si>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</si>
  <si>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</si>
  <si>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</si>
  <si>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</si>
  <si>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</si>
  <si>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</si>
  <si>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</si>
  <si>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</si>
  <si>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</si>
  <si>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</si>
  <si>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</si>
  <si>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</si>
  <si>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</si>
  <si>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</si>
  <si>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</si>
  <si>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</si>
  <si>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</si>
  <si>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</si>
  <si>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</si>
  <si>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</si>
  <si>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</si>
  <si>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</si>
  <si>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</si>
  <si>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</si>
  <si>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</si>
  <si>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</si>
  <si>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</si>
  <si>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</si>
  <si>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</si>
  <si>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</si>
  <si>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</si>
  <si>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</si>
  <si>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</si>
  <si>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</si>
  <si>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</si>
  <si>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</si>
  <si>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</si>
  <si>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</si>
  <si>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</si>
  <si>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</si>
  <si>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</si>
  <si>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</si>
  <si>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</si>
  <si>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</si>
  <si>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</si>
  <si>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</si>
  <si>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</si>
  <si>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</si>
  <si>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</si>
  <si>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</si>
  <si>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</si>
  <si>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</si>
  <si>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</si>
  <si>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</si>
  <si>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</si>
  <si>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</si>
  <si>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</si>
  <si>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</si>
  <si>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</si>
  <si>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</si>
  <si>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</si>
  <si>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</si>
  <si>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</si>
  <si>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</si>
  <si>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</si>
  <si>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</si>
  <si>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</si>
  <si>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</si>
  <si>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</si>
  <si>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</si>
  <si>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</si>
  <si>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</si>
  <si>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</si>
  <si>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</si>
  <si>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</si>
  <si>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</si>
  <si>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</si>
  <si>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</si>
  <si>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</si>
  <si>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</si>
  <si>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</si>
  <si>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</si>
  <si>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</si>
  <si>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</si>
  <si>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</si>
  <si>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</si>
  <si>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</si>
  <si>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</si>
  <si>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</si>
  <si>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</si>
  <si>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</si>
  <si>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</si>
  <si>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</si>
  <si>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</si>
  <si>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</si>
  <si>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</si>
  <si>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</si>
  <si>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</si>
  <si>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</si>
  <si>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</si>
  <si>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</si>
  <si>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</si>
  <si>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</si>
  <si>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</si>
  <si>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</si>
  <si>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</si>
  <si>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</si>
  <si>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</si>
  <si>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</si>
  <si>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</si>
  <si>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</si>
  <si>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</si>
  <si>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</si>
  <si>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</si>
  <si>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</si>
  <si>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</si>
  <si>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</si>
  <si>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</si>
  <si>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</si>
  <si>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</si>
  <si>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</si>
  <si>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</si>
  <si>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</si>
  <si>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</si>
  <si>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</si>
  <si>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</si>
  <si>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</si>
  <si>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</si>
  <si>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</si>
  <si>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</si>
  <si>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</si>
  <si>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</si>
  <si>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</si>
  <si>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</si>
  <si>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</si>
  <si>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</si>
  <si>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</si>
  <si>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</si>
  <si>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</si>
  <si>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</si>
  <si>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</si>
  <si>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</si>
  <si>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</si>
  <si>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</si>
  <si>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</si>
  <si>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</si>
  <si>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</si>
  <si>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</si>
  <si>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</si>
  <si>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</si>
  <si>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</si>
  <si>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</si>
  <si>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</si>
  <si>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</si>
  <si>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</si>
  <si>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</si>
  <si>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</si>
  <si>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</si>
  <si>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</si>
  <si>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</si>
  <si>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</si>
  <si>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</si>
  <si>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</si>
  <si>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</si>
  <si>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</si>
  <si>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</si>
  <si>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</si>
  <si>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</si>
  <si>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</si>
  <si>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</si>
  <si>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</si>
  <si>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</si>
  <si>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</si>
  <si>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</si>
  <si>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</si>
  <si>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</si>
  <si>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</si>
  <si>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</si>
  <si>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</si>
  <si>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</si>
  <si>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</si>
  <si>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</si>
  <si>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</si>
  <si>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</si>
  <si>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</si>
  <si>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</si>
  <si>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</si>
  <si>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</si>
  <si>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</si>
  <si>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</si>
  <si>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</si>
  <si>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</si>
  <si>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</si>
  <si>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</si>
  <si>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</si>
  <si>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</si>
  <si>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</si>
  <si>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</si>
  <si>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</si>
  <si>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</si>
  <si>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</si>
  <si>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</si>
  <si>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</si>
  <si>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</si>
  <si>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</si>
  <si>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</si>
  <si>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</si>
  <si>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</si>
  <si>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</si>
  <si>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</si>
  <si>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</si>
  <si>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</si>
  <si>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</si>
  <si>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</si>
  <si>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</si>
  <si>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</si>
  <si>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</si>
  <si>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</si>
  <si>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</si>
  <si>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</si>
  <si>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</si>
  <si>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</si>
  <si>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</si>
  <si>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</si>
  <si>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</si>
  <si>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</si>
  <si>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</si>
  <si>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</si>
  <si>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</si>
  <si>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</si>
  <si>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</si>
  <si>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</si>
  <si>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</si>
  <si>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</si>
  <si>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</si>
  <si>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</si>
  <si>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</si>
  <si>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</si>
  <si>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</si>
  <si>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</si>
  <si>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</si>
  <si>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</si>
  <si>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</si>
  <si>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</si>
  <si>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</si>
  <si>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</si>
  <si>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</si>
  <si>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</si>
  <si>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</si>
  <si>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</si>
  <si>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</si>
  <si>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</si>
  <si>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</si>
  <si>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</si>
  <si>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</si>
  <si>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</si>
  <si>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</si>
  <si>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</si>
  <si>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</si>
  <si>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</si>
  <si>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</si>
  <si>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</si>
  <si>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</si>
  <si>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</si>
  <si>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</si>
  <si>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</si>
  <si>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</si>
  <si>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</si>
  <si>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</si>
  <si>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</si>
  <si>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</si>
  <si>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</si>
  <si>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</si>
  <si>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</si>
  <si>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</si>
  <si>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</si>
  <si>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</si>
  <si>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</si>
  <si>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</si>
  <si>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</si>
  <si>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</si>
  <si>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</si>
  <si>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</si>
  <si>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</si>
  <si>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</si>
  <si>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</si>
  <si>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</si>
  <si>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</si>
  <si>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</si>
  <si>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</si>
  <si>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</si>
  <si>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</si>
  <si>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</si>
  <si>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</si>
  <si>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</si>
  <si>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</si>
  <si>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</si>
  <si>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</si>
  <si>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</si>
  <si>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</si>
  <si>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</si>
  <si>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</si>
  <si>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</si>
  <si>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</si>
  <si>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</si>
  <si>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</si>
  <si>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</si>
  <si>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</si>
  <si>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</si>
  <si>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</si>
  <si>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</si>
  <si>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</si>
  <si>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</si>
  <si>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</si>
  <si>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</si>
  <si>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</si>
  <si>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</si>
  <si>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</si>
  <si>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</si>
  <si>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</si>
  <si>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</si>
  <si>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</si>
  <si>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</si>
  <si>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</si>
  <si>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</si>
  <si>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</si>
  <si>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</si>
  <si>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</si>
  <si>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</si>
  <si>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</si>
  <si>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</si>
  <si>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</si>
  <si>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</si>
  <si>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</si>
  <si>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</si>
  <si>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</si>
  <si>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</si>
  <si>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</si>
  <si>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</si>
  <si>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</si>
  <si>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</si>
  <si>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</si>
  <si>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</si>
  <si>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</si>
  <si>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</si>
  <si>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</si>
  <si>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</si>
  <si>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</si>
  <si>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</si>
  <si>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</si>
  <si>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</si>
  <si>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</si>
  <si>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</si>
  <si>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</si>
  <si>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</si>
  <si>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</si>
  <si>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</si>
  <si>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</si>
  <si>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</si>
  <si>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</si>
  <si>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</si>
  <si>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</si>
  <si>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</si>
  <si>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</si>
  <si>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</si>
  <si>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</si>
  <si>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</si>
  <si>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</si>
  <si>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</si>
  <si>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</si>
  <si>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</si>
  <si>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</si>
  <si>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</si>
  <si>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</si>
  <si>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</si>
  <si>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</si>
  <si>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</si>
  <si>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</si>
  <si>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</si>
  <si>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</si>
  <si>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</si>
  <si>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</si>
  <si>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</si>
  <si>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</si>
  <si>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</si>
  <si>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</si>
  <si>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</si>
  <si>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</si>
  <si>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</si>
  <si>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</si>
  <si>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</si>
  <si>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</si>
  <si>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</si>
  <si>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</si>
  <si>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</si>
  <si>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</si>
  <si>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</si>
  <si>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</si>
  <si>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</si>
  <si>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</si>
  <si>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</si>
  <si>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</si>
  <si>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</si>
  <si>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</si>
  <si>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</si>
  <si>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</si>
  <si>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</si>
  <si>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</si>
  <si>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</si>
  <si>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</si>
  <si>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</si>
  <si>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</si>
  <si>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</si>
  <si>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</si>
  <si>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</si>
  <si>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</si>
  <si>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</si>
  <si>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</si>
  <si>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</si>
  <si>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</si>
  <si>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</si>
  <si>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</si>
  <si>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</si>
  <si>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</si>
  <si>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</si>
  <si>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</si>
  <si>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</si>
  <si>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</si>
  <si>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</si>
  <si>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</si>
  <si>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</si>
  <si>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</si>
  <si>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</si>
  <si>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</si>
  <si>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</si>
  <si>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</si>
  <si>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</si>
  <si>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</si>
  <si>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</si>
  <si>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</si>
  <si>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</si>
  <si>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</si>
  <si>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</si>
  <si>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</si>
  <si>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</si>
  <si>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</si>
  <si>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</si>
  <si>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</si>
  <si>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</si>
  <si>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</si>
  <si>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</si>
  <si>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</si>
  <si>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</si>
  <si>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</si>
  <si>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</si>
  <si>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</si>
  <si>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</si>
  <si>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</si>
  <si>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</si>
  <si>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</si>
  <si>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</si>
  <si>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</si>
  <si>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</si>
  <si>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</si>
  <si>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</si>
  <si>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</si>
  <si>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</si>
  <si>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</si>
  <si>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</si>
  <si>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</si>
  <si>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</si>
  <si>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</si>
  <si>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</si>
  <si>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</si>
  <si>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</si>
  <si>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</si>
  <si>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</si>
  <si>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</si>
  <si>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</si>
  <si>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</si>
  <si>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</si>
  <si>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</si>
  <si>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</si>
  <si>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</si>
  <si>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</si>
  <si>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</si>
  <si>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</si>
  <si>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</si>
  <si>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</si>
  <si>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</si>
  <si>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</si>
  <si>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</si>
  <si>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</si>
  <si>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</si>
  <si>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</si>
  <si>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</si>
  <si>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</si>
  <si>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</si>
  <si>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</si>
  <si>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</si>
  <si>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</si>
  <si>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</si>
  <si>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</si>
  <si>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</si>
  <si>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</si>
  <si>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</si>
  <si>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</si>
  <si>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</si>
  <si>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</si>
  <si>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</si>
  <si>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</si>
  <si>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</si>
  <si>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</si>
  <si>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</si>
  <si>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</si>
  <si>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</si>
  <si>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</si>
  <si>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</si>
  <si>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</si>
  <si>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</si>
  <si>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</si>
  <si>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</si>
  <si>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</si>
  <si>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</si>
  <si>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</si>
  <si>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</si>
  <si>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</si>
  <si>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</si>
  <si>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</si>
  <si>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</si>
  <si>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</si>
  <si>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</si>
  <si>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</si>
  <si>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</si>
  <si>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</si>
  <si>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</si>
  <si>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</si>
  <si>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</si>
  <si>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</si>
  <si>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</si>
  <si>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</si>
  <si>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</si>
  <si>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</si>
  <si>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</si>
  <si>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</si>
  <si>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</si>
  <si>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</si>
  <si>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</si>
  <si>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</si>
  <si>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</si>
  <si>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</si>
  <si>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</si>
  <si>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</si>
  <si>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</si>
  <si>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</si>
  <si>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</si>
  <si>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</si>
  <si>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</si>
  <si>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</si>
  <si>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</si>
  <si>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</si>
  <si>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</si>
  <si>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</si>
  <si>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</si>
  <si>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</si>
  <si>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</si>
  <si>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</si>
  <si>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</si>
  <si>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</si>
  <si>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</si>
  <si>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</si>
  <si>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</si>
  <si>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</si>
  <si>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</si>
  <si>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</si>
  <si>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</si>
  <si>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</si>
  <si>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</si>
  <si>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</si>
  <si>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</si>
  <si>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</si>
  <si>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</si>
  <si>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</si>
  <si>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</si>
  <si>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</si>
  <si>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</si>
  <si>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</si>
  <si>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</si>
  <si>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</si>
  <si>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</si>
  <si>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</si>
  <si>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</si>
  <si>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</si>
  <si>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</si>
  <si>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</si>
  <si>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</si>
  <si>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</si>
  <si>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</si>
  <si>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</si>
  <si>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</si>
  <si>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</si>
  <si>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</si>
  <si>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</si>
  <si>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</si>
  <si>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</si>
  <si>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</si>
  <si>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</si>
  <si>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</si>
  <si>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</si>
  <si>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</si>
  <si>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</si>
  <si>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</si>
  <si>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</si>
  <si>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</si>
  <si>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</si>
  <si>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</si>
  <si>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</si>
  <si>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</si>
  <si>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</si>
  <si>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</si>
  <si>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</si>
  <si>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</si>
  <si>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</si>
  <si>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</si>
  <si>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</si>
  <si>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</si>
  <si>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</si>
  <si>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</si>
  <si>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</si>
  <si>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</si>
  <si>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</si>
  <si>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</si>
  <si>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</si>
  <si>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</si>
  <si>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</si>
  <si>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</si>
  <si>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</si>
  <si>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</si>
  <si>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</si>
  <si>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</si>
  <si>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</si>
  <si>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</si>
  <si>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</si>
  <si>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</si>
  <si>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</si>
  <si>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</si>
  <si>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</si>
  <si>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</si>
  <si>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</si>
  <si>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</si>
  <si>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</si>
  <si>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</si>
  <si>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</si>
  <si>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</si>
  <si>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</si>
  <si>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</si>
  <si>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</si>
  <si>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</si>
  <si>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</si>
  <si>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</si>
  <si>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</si>
  <si>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</si>
  <si>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</si>
  <si>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</si>
  <si>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</si>
  <si>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</si>
  <si>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</si>
  <si>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</si>
  <si>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</si>
  <si>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</si>
  <si>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</si>
  <si>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</si>
  <si>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</si>
  <si>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</si>
  <si>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</si>
  <si>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</si>
  <si>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</si>
  <si>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</si>
  <si>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</si>
  <si>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</si>
  <si>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</si>
  <si>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</si>
  <si>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</si>
  <si>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</si>
  <si>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</si>
  <si>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</si>
  <si>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</si>
  <si>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</si>
  <si>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</si>
  <si>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</si>
  <si>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</si>
  <si>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</si>
  <si>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</si>
  <si>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</si>
  <si>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</si>
  <si>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</si>
  <si>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</si>
  <si>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</si>
  <si>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</si>
  <si>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</si>
  <si>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</si>
  <si>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</si>
  <si>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</si>
  <si>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</si>
  <si>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</si>
  <si>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</si>
  <si>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</si>
  <si>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</si>
  <si>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</si>
  <si>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</si>
  <si>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</si>
  <si>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</si>
  <si>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</si>
  <si>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</si>
  <si>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</si>
  <si>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</si>
  <si>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</si>
  <si>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</si>
  <si>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</si>
  <si>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</si>
  <si>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</si>
  <si>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</si>
  <si>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</si>
  <si>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</si>
  <si>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</si>
  <si>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</si>
  <si>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</si>
  <si>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</si>
  <si>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</si>
  <si>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</si>
  <si>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</si>
  <si>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</si>
  <si>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</si>
  <si>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</si>
  <si>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</si>
  <si>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</si>
  <si>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</si>
  <si>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</si>
  <si>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</si>
  <si>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</si>
  <si>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</si>
  <si>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</si>
  <si>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</si>
  <si>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</si>
  <si>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</si>
  <si>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</si>
  <si>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</si>
  <si>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</si>
  <si>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</si>
  <si>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</si>
  <si>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</si>
  <si>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</si>
  <si>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</si>
  <si>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</si>
  <si>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</si>
  <si>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</si>
  <si>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</si>
  <si>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</si>
  <si>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</si>
  <si>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</si>
  <si>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</si>
  <si>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</si>
  <si>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</si>
  <si>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</si>
  <si>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</si>
  <si>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</si>
  <si>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</si>
  <si>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</si>
  <si>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</si>
  <si>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</si>
  <si>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</si>
  <si>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</si>
  <si>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</si>
  <si>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</si>
  <si>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</si>
  <si>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</si>
  <si>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</si>
  <si>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</si>
  <si>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</si>
  <si>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</si>
  <si>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</si>
  <si>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</si>
  <si>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</si>
  <si>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</si>
  <si>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</si>
  <si>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</si>
  <si>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</si>
  <si>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</si>
  <si>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</si>
  <si>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</si>
  <si>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</si>
  <si>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</si>
  <si>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</si>
  <si>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</si>
  <si>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</si>
  <si>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</si>
  <si>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</si>
  <si>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</si>
  <si>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</si>
  <si>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</si>
  <si>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</si>
  <si>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</si>
  <si>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</si>
  <si>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</si>
  <si>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</si>
  <si>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</si>
  <si>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</si>
  <si>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</si>
  <si>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</si>
  <si>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</si>
  <si>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</si>
  <si>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</si>
  <si>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</si>
  <si>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</si>
  <si>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</si>
  <si>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</si>
  <si>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</si>
  <si>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</si>
  <si>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</si>
  <si>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</si>
  <si>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</si>
  <si>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</si>
  <si>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</si>
  <si>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</si>
  <si>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</si>
  <si>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</si>
  <si>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</si>
  <si>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</si>
  <si>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</si>
  <si>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</si>
  <si>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</si>
  <si>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</si>
  <si>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</si>
  <si>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</si>
  <si>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</si>
  <si>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</si>
  <si>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</si>
  <si>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</si>
  <si>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</si>
  <si>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</si>
  <si>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</si>
  <si>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</si>
  <si>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</si>
  <si>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</si>
  <si>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</si>
  <si>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</si>
  <si>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</si>
  <si>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</si>
  <si>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</si>
  <si>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</si>
  <si>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</si>
  <si>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</si>
  <si>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</si>
  <si>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</si>
  <si>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</si>
  <si>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</si>
  <si>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</si>
  <si>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</si>
  <si>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</si>
  <si>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</si>
  <si>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</si>
  <si>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</si>
  <si>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</si>
  <si>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</si>
  <si>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</si>
  <si>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</si>
  <si>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</si>
  <si>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</si>
  <si>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</si>
  <si>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</si>
  <si>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</si>
  <si>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</si>
  <si>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</si>
  <si>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</si>
  <si>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</si>
  <si>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</si>
  <si>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</si>
  <si>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</si>
  <si>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</si>
  <si>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</si>
  <si>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</si>
  <si>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</si>
  <si>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</si>
  <si>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</si>
  <si>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</si>
  <si>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</si>
  <si>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</si>
  <si>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</si>
  <si>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</si>
  <si>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</si>
  <si>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</si>
  <si>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</si>
  <si>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</si>
  <si>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</si>
  <si>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</si>
  <si>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</si>
  <si>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</si>
  <si>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</si>
  <si>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</si>
  <si>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</si>
  <si>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</si>
  <si>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</si>
  <si>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</si>
  <si>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</si>
  <si>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</si>
  <si>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</si>
  <si>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</si>
  <si>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</si>
  <si>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</si>
  <si>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</si>
  <si>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</si>
  <si>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</si>
  <si>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</si>
  <si>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</si>
  <si>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</si>
  <si>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</si>
  <si>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</si>
  <si>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</si>
  <si>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</si>
  <si>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</si>
  <si>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</si>
  <si>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</si>
  <si>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</si>
  <si>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</si>
  <si>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</si>
  <si>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</si>
  <si>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</si>
  <si>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</si>
  <si>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</si>
  <si>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</si>
  <si>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</si>
  <si>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</si>
  <si>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</si>
  <si>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</si>
  <si>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</si>
  <si>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</si>
  <si>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</si>
  <si>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</si>
  <si>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</si>
  <si>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</si>
  <si>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</si>
  <si>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</si>
  <si>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</si>
  <si>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</si>
  <si>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</si>
  <si>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</si>
  <si>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</si>
  <si>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</si>
  <si>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</si>
  <si>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</si>
  <si>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</si>
  <si>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</si>
  <si>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</si>
  <si>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</si>
  <si>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</si>
  <si>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</si>
  <si>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</si>
  <si>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</si>
  <si>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</si>
  <si>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</si>
  <si>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</si>
  <si>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</si>
  <si>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</si>
  <si>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</si>
  <si>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</si>
  <si>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</si>
  <si>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</si>
  <si>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</si>
  <si>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</si>
  <si>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</si>
  <si>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</si>
  <si>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</si>
  <si>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</si>
  <si>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</si>
  <si>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</si>
  <si>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</si>
  <si>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</si>
  <si>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</si>
  <si>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</si>
  <si>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</si>
  <si>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</si>
  <si>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</si>
  <si>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</si>
  <si>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</si>
  <si>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</si>
  <si>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</si>
  <si>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</si>
  <si>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</si>
  <si>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</si>
  <si>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</si>
  <si>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</si>
  <si>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</si>
  <si>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</si>
  <si>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</si>
  <si>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</si>
  <si>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</si>
  <si>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</si>
  <si>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</si>
  <si>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</si>
  <si>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</si>
  <si>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</si>
  <si>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</si>
  <si>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</si>
  <si>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</si>
  <si>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</si>
  <si>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</si>
  <si>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</si>
  <si>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</si>
  <si>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</si>
  <si>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</si>
  <si>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</si>
  <si>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</si>
  <si>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</si>
  <si>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</si>
  <si>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</si>
  <si>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</si>
  <si>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</si>
  <si>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</si>
  <si>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</si>
  <si>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</si>
  <si>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</si>
  <si>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</si>
  <si>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</si>
  <si>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</si>
  <si>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</si>
  <si>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</si>
  <si>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</si>
  <si>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</si>
  <si>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</si>
  <si>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</si>
  <si>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</si>
  <si>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</si>
  <si>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</si>
  <si>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</si>
  <si>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</si>
  <si>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</si>
  <si>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</si>
  <si>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</si>
  <si>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</si>
  <si>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</si>
  <si>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</si>
  <si>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</si>
  <si>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</si>
  <si>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</si>
  <si>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</si>
  <si>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</si>
  <si>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</si>
  <si>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</si>
  <si>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</si>
  <si>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</si>
  <si>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</si>
  <si>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</si>
  <si>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</si>
  <si>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</si>
  <si>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</si>
  <si>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</si>
  <si>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</si>
  <si>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</si>
  <si>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</si>
  <si>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</si>
  <si>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</si>
  <si>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</si>
  <si>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</si>
  <si>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</si>
  <si>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</si>
  <si>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</si>
  <si>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</si>
  <si>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</si>
  <si>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</si>
  <si>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</si>
  <si>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</si>
  <si>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</si>
  <si>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</si>
  <si>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</si>
  <si>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</si>
  <si>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</si>
  <si>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</si>
  <si>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</si>
  <si>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</si>
  <si>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</si>
  <si>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</si>
  <si>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</si>
  <si>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</si>
  <si>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</si>
  <si>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</si>
  <si>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</si>
  <si>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</si>
  <si>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</si>
  <si>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</si>
  <si>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</si>
  <si>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</si>
  <si>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</si>
  <si>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</si>
  <si>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</si>
  <si>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</si>
  <si>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</si>
  <si>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</si>
  <si>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</si>
  <si>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</si>
  <si>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</si>
  <si>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</si>
  <si>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</si>
  <si>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</si>
  <si>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</si>
  <si>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</si>
  <si>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</si>
  <si>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</si>
  <si>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</si>
  <si>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</si>
  <si>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</si>
  <si>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</si>
  <si>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</si>
  <si>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</si>
  <si>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</si>
  <si>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</si>
  <si>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</si>
  <si>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</si>
  <si>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</si>
  <si>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</si>
  <si>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</si>
  <si>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</si>
  <si>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</si>
  <si>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</si>
  <si>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</si>
  <si>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</si>
  <si>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</si>
  <si>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</si>
  <si>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</si>
  <si>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</si>
  <si>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</si>
  <si>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</si>
  <si>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</si>
  <si>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</si>
  <si>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</si>
  <si>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</si>
  <si>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</si>
  <si>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</si>
  <si>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</si>
  <si>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</si>
  <si>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</si>
  <si>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</si>
  <si>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</si>
  <si>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</si>
  <si>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</si>
  <si>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</si>
  <si>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</si>
  <si>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</si>
  <si>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</si>
  <si>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</si>
  <si>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</si>
  <si>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</si>
  <si>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</si>
  <si>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</si>
  <si>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</si>
  <si>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</si>
  <si>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</si>
  <si>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</si>
  <si>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</si>
  <si>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</si>
  <si>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</si>
  <si>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</si>
  <si>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</si>
  <si>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</si>
  <si>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</si>
  <si>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</si>
  <si>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</si>
  <si>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</si>
  <si>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</si>
  <si>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</si>
  <si>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</si>
  <si>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</si>
  <si>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</si>
  <si>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</si>
  <si>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</si>
  <si>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</si>
  <si>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</si>
  <si>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</si>
  <si>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</si>
  <si>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</si>
  <si>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</si>
  <si>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</si>
  <si>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</si>
  <si>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</si>
  <si>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</si>
  <si>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</si>
  <si>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</si>
  <si>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</si>
  <si>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</si>
  <si>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</si>
  <si>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</si>
  <si>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</si>
  <si>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</si>
  <si>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</si>
  <si>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</si>
  <si>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</si>
  <si>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</si>
  <si>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</si>
  <si>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</si>
  <si>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</si>
  <si>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</si>
  <si>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</si>
  <si>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</si>
  <si>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</si>
  <si>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</si>
  <si>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</si>
  <si>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</si>
  <si>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</si>
  <si>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</si>
  <si>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</si>
  <si>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</si>
  <si>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</si>
  <si>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</si>
  <si>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</si>
  <si>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</si>
  <si>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</si>
  <si>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</si>
  <si>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</si>
  <si>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</si>
  <si>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</si>
  <si>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</si>
  <si>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</si>
  <si>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</si>
  <si>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</si>
  <si>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</si>
  <si>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</si>
  <si>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</si>
  <si>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</si>
  <si>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</si>
  <si>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</si>
  <si>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</si>
  <si>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</si>
  <si>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</si>
  <si>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</si>
  <si>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</si>
  <si>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</si>
  <si>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</si>
  <si>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</si>
  <si>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</si>
  <si>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</si>
  <si>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</si>
  <si>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</si>
  <si>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</si>
  <si>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</si>
  <si>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</si>
  <si>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</si>
  <si>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</si>
  <si>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</si>
  <si>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</si>
  <si>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</si>
  <si>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</si>
  <si>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</si>
  <si>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</si>
  <si>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</si>
  <si>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</si>
  <si>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</si>
  <si>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</si>
  <si>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</si>
  <si>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</si>
  <si>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</si>
  <si>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</si>
  <si>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</si>
  <si>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</si>
  <si>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</si>
  <si>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</si>
  <si>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</si>
  <si>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</si>
  <si>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</si>
  <si>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</si>
  <si>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</si>
  <si>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</si>
  <si>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</si>
  <si>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</si>
  <si>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</si>
  <si>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</si>
  <si>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</si>
  <si>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</si>
  <si>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</si>
  <si>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</si>
  <si>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</si>
  <si>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</si>
  <si>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</si>
  <si>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</si>
  <si>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</si>
  <si>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</si>
  <si>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</si>
  <si>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</si>
  <si>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</si>
  <si>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</si>
  <si>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</si>
  <si>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</si>
  <si>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</si>
  <si>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</si>
  <si>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</si>
  <si>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</si>
  <si>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</si>
  <si>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</si>
  <si>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</si>
  <si>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</si>
  <si>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</si>
  <si>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</si>
  <si>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</si>
  <si>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</si>
  <si>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</si>
  <si>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</si>
  <si>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</si>
  <si>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</si>
  <si>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</si>
  <si>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</si>
  <si>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</si>
  <si>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</si>
  <si>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</si>
  <si>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</si>
  <si>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</si>
  <si>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</si>
  <si>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</si>
  <si>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</si>
  <si>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</si>
  <si>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</si>
  <si>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</si>
  <si>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</si>
  <si>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</si>
  <si>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</si>
  <si>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</si>
  <si>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</si>
  <si>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</si>
  <si>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</si>
  <si>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</si>
  <si>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</si>
  <si>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</si>
  <si>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</si>
  <si>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</si>
  <si>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</si>
  <si>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</si>
  <si>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</si>
  <si>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</si>
  <si>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</si>
  <si>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</si>
  <si>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</si>
  <si>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</si>
  <si>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</si>
  <si>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</si>
  <si>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</si>
  <si>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</si>
  <si>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</si>
  <si>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</si>
  <si>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</si>
  <si>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</si>
  <si>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</si>
  <si>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</si>
  <si>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</si>
  <si>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</si>
  <si>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</si>
  <si>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</si>
  <si>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</si>
  <si>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</si>
  <si>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</si>
  <si>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</si>
  <si>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</si>
  <si>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</si>
  <si>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</si>
  <si>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</si>
  <si>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</si>
  <si>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</si>
  <si>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</si>
  <si>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</si>
  <si>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</si>
  <si>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</si>
  <si>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</si>
  <si>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</si>
  <si>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</si>
  <si>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</si>
  <si>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</si>
  <si>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</si>
  <si>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</si>
  <si>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</si>
  <si>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</si>
  <si>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</si>
  <si>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</si>
  <si>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</si>
  <si>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</si>
  <si>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</si>
  <si>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</si>
  <si>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</si>
  <si>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</si>
  <si>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</si>
  <si>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</si>
  <si>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</si>
  <si>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</si>
  <si>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</si>
  <si>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</si>
  <si>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</si>
  <si>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</si>
  <si>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</si>
  <si>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</si>
  <si>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</si>
  <si>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</si>
  <si>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</si>
  <si>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</si>
  <si>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</si>
  <si>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</si>
  <si>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</si>
  <si>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</si>
  <si>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</si>
  <si>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</si>
  <si>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</si>
  <si>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</si>
  <si>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</si>
  <si>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</si>
  <si>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</si>
  <si>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</si>
  <si>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</si>
  <si>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</si>
  <si>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</si>
  <si>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</si>
  <si>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</si>
  <si>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</si>
  <si>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</si>
  <si>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</si>
  <si>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</si>
  <si>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</si>
  <si>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</si>
  <si>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</si>
  <si>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</si>
  <si>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</si>
  <si>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</si>
  <si>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</si>
  <si>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</si>
  <si>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</si>
  <si>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</si>
  <si>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</si>
  <si>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</si>
  <si>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</si>
  <si>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</si>
  <si>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</si>
  <si>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</si>
  <si>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</si>
  <si>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</si>
  <si>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</si>
  <si>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</si>
  <si>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</si>
  <si>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</si>
  <si>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</si>
  <si>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</si>
  <si>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</si>
  <si>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</si>
  <si>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</si>
  <si>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</si>
  <si>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</si>
  <si>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</si>
  <si>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</si>
  <si>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</si>
  <si>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</si>
  <si>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</si>
  <si>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</si>
  <si>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</si>
  <si>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</si>
  <si>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</si>
  <si>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</si>
  <si>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</si>
  <si>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</si>
  <si>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</si>
  <si>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</si>
  <si>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</si>
  <si>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</si>
  <si>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</si>
  <si>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</si>
  <si>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</si>
  <si>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</si>
  <si>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</si>
  <si>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</si>
  <si>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</si>
  <si>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</si>
  <si>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</si>
  <si>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</si>
  <si>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</si>
  <si>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</si>
  <si>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</si>
  <si>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</si>
  <si>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</si>
  <si>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</si>
  <si>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</si>
  <si>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</si>
  <si>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</si>
  <si>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</si>
  <si>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</si>
  <si>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</si>
  <si>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</si>
  <si>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</si>
  <si>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</si>
  <si>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</si>
  <si>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</si>
  <si>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</si>
  <si>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</si>
  <si>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</si>
  <si>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</si>
  <si>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</si>
  <si>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</si>
  <si>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</si>
  <si>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</si>
  <si>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</si>
  <si>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</si>
  <si>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</si>
  <si>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</si>
  <si>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</si>
  <si>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</si>
  <si>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</si>
  <si>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</si>
  <si>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</si>
  <si>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</si>
  <si>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</si>
  <si>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</si>
  <si>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</si>
  <si>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</si>
  <si>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</si>
  <si>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</si>
  <si>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</si>
  <si>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</si>
  <si>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</si>
  <si>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</si>
  <si>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</si>
  <si>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</si>
  <si>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</si>
  <si>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</si>
  <si>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</si>
  <si>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</si>
  <si>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</si>
  <si>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</si>
  <si>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</si>
  <si>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</si>
  <si>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</si>
  <si>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</si>
  <si>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</si>
  <si>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</si>
  <si>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</si>
  <si>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</si>
  <si>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</si>
  <si>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</si>
  <si>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</si>
  <si>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</si>
  <si>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</si>
  <si>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</si>
  <si>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</si>
  <si>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</si>
  <si>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</si>
  <si>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</si>
  <si>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</si>
  <si>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</si>
  <si>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</si>
  <si>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</si>
  <si>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</si>
  <si>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</si>
  <si>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</si>
  <si>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</si>
  <si>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</si>
  <si>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</si>
  <si>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</si>
  <si>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</si>
  <si>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</si>
  <si>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</si>
  <si>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</si>
  <si>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</si>
  <si>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</si>
  <si>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</si>
  <si>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</si>
  <si>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</si>
  <si>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</si>
  <si>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</si>
  <si>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</si>
  <si>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</si>
  <si>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</si>
  <si>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</si>
  <si>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</si>
  <si>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</si>
  <si>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</si>
  <si>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</si>
  <si>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</si>
  <si>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</si>
  <si>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</si>
  <si>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</si>
  <si>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</si>
  <si>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</si>
  <si>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</si>
  <si>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</si>
  <si>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</si>
  <si>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</si>
  <si>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</si>
  <si>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</si>
  <si>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</si>
  <si>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</si>
  <si>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</si>
  <si>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</si>
  <si>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</si>
  <si>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</si>
  <si>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</si>
  <si>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</si>
  <si>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</si>
  <si>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</si>
  <si>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</si>
  <si>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</si>
  <si>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</si>
  <si>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</si>
  <si>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</si>
  <si>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</si>
  <si>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</si>
  <si>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</si>
  <si>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</si>
  <si>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</si>
  <si>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</si>
  <si>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</si>
  <si>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</si>
  <si>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</si>
  <si>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</si>
  <si>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</si>
  <si>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</si>
  <si>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</si>
  <si>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</si>
  <si>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</si>
  <si>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</si>
  <si>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</si>
  <si>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</si>
  <si>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</si>
  <si>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</si>
  <si>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</si>
  <si>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</si>
  <si>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</si>
  <si>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</si>
  <si>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</si>
  <si>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</si>
  <si>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</si>
  <si>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</si>
  <si>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</si>
  <si>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</si>
  <si>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</si>
  <si>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</si>
  <si>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</si>
  <si>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</si>
  <si>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</si>
  <si>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</si>
  <si>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</si>
  <si>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</si>
  <si>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</si>
  <si>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</si>
  <si>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</si>
  <si>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</si>
  <si>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</si>
  <si>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</si>
  <si>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</si>
  <si>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</si>
  <si>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</si>
  <si>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</si>
  <si>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</si>
  <si>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</si>
  <si>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</si>
  <si>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</si>
  <si>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</si>
  <si>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</si>
  <si>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</si>
  <si>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</si>
  <si>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</si>
  <si>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</si>
  <si>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</si>
  <si>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</si>
  <si>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</si>
  <si>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</si>
  <si>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</si>
  <si>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</si>
  <si>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</si>
  <si>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</si>
  <si>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</si>
  <si>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</si>
  <si>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</si>
  <si>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</si>
  <si>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</si>
  <si>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</si>
  <si>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</si>
  <si>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</si>
  <si>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</si>
  <si>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</si>
  <si>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</si>
  <si>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</si>
  <si>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</si>
  <si>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</si>
  <si>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</si>
  <si>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</si>
  <si>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</si>
  <si>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</si>
  <si>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</si>
  <si>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</si>
  <si>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</si>
  <si>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</si>
  <si>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</si>
  <si>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</si>
  <si>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</si>
  <si>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</si>
  <si>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</si>
  <si>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</si>
  <si>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</si>
  <si>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</si>
  <si>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</si>
  <si>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</si>
  <si>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</si>
  <si>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</si>
  <si>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</si>
  <si>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</si>
  <si>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</si>
  <si>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</si>
  <si>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</si>
  <si>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</si>
  <si>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</si>
  <si>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</si>
  <si>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</si>
  <si>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</si>
  <si>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</si>
  <si>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</si>
  <si>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</si>
  <si>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</si>
  <si>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</si>
  <si>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</si>
  <si>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</si>
  <si>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</si>
  <si>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</si>
  <si>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</si>
  <si>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</si>
  <si>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</si>
  <si>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</si>
  <si>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</si>
  <si>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</si>
  <si>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</si>
  <si>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</si>
  <si>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</si>
  <si>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</si>
  <si>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</si>
  <si>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</si>
  <si>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</si>
  <si>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</si>
  <si>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</si>
  <si>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</si>
  <si>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</si>
  <si>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</si>
  <si>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</si>
  <si>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</si>
  <si>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</si>
  <si>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</si>
  <si>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</si>
  <si>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</si>
  <si>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</si>
  <si>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</si>
  <si>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</si>
  <si>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</si>
  <si>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</si>
  <si>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</si>
  <si>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</si>
  <si>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</si>
  <si>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</si>
  <si>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</si>
  <si>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</si>
  <si>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</si>
  <si>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</si>
  <si>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</si>
  <si>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</si>
  <si>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</si>
  <si>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</si>
  <si>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</si>
  <si>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</si>
  <si>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</si>
  <si>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</si>
  <si>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</si>
  <si>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</si>
  <si>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</si>
  <si>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</si>
  <si>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</si>
  <si>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</si>
  <si>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</si>
  <si>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</si>
  <si>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</si>
  <si>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</si>
  <si>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</si>
  <si>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</si>
  <si>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</si>
  <si>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</si>
  <si>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</si>
  <si>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</si>
  <si>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</si>
  <si>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</si>
  <si>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</si>
  <si>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</si>
  <si>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</si>
  <si>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</si>
  <si>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</si>
  <si>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</si>
  <si>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</si>
  <si>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</si>
  <si>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</si>
  <si>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</si>
  <si>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</si>
  <si>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</si>
  <si>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</si>
  <si>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</si>
  <si>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</si>
  <si>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</si>
  <si>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</si>
  <si>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</si>
  <si>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</si>
  <si>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</si>
  <si>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</si>
  <si>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</si>
  <si>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</si>
  <si>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</si>
  <si>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</si>
  <si>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</si>
  <si>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</si>
  <si>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</si>
  <si>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</si>
  <si>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</si>
  <si>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</si>
  <si>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</si>
  <si>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</si>
  <si>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</si>
  <si>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</si>
  <si>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</si>
  <si>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</si>
  <si>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</si>
  <si>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</si>
  <si>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</si>
  <si>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</si>
  <si>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</si>
  <si>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</si>
  <si>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</si>
  <si>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</si>
  <si>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</si>
  <si>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</si>
  <si>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</si>
  <si>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</si>
  <si>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</si>
  <si>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</si>
  <si>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</si>
  <si>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</si>
  <si>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</si>
  <si>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</si>
  <si>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</si>
  <si>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</si>
  <si>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</si>
  <si>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</si>
  <si>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</si>
  <si>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</si>
  <si>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</si>
  <si>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</si>
  <si>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</si>
  <si>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</si>
  <si>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</si>
  <si>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</si>
  <si>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</si>
  <si>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</si>
  <si>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</si>
  <si>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</si>
  <si>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</si>
  <si>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</si>
  <si>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</si>
  <si>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</si>
  <si>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</si>
  <si>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</si>
  <si>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</si>
  <si>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</si>
  <si>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</si>
  <si>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</si>
  <si>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</si>
  <si>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</si>
  <si>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</si>
  <si>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</si>
  <si>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</si>
  <si>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</si>
  <si>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</si>
  <si>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</si>
  <si>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</si>
  <si>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</si>
  <si>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</si>
  <si>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</si>
  <si>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</si>
  <si>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</si>
  <si>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</si>
  <si>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</si>
  <si>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</si>
  <si>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</si>
  <si>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</si>
  <si>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</si>
  <si>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</si>
  <si>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</si>
  <si>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</si>
  <si>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</si>
  <si>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</si>
  <si>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</si>
  <si>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</si>
  <si>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</si>
  <si>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</si>
  <si>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</si>
  <si>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</si>
  <si>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</si>
  <si>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</si>
  <si>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</si>
  <si>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</si>
  <si>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</si>
  <si>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</si>
  <si>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</si>
  <si>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</si>
  <si>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</si>
  <si>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</si>
  <si>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</si>
  <si>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</si>
  <si>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</si>
  <si>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</si>
  <si>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</si>
  <si>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</si>
  <si>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</si>
  <si>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</si>
  <si>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</si>
  <si>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</si>
  <si>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</si>
  <si>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</si>
  <si>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</si>
  <si>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</si>
  <si>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</si>
  <si>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</si>
  <si>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</si>
  <si>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</si>
  <si>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</si>
  <si>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</si>
  <si>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</si>
  <si>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</si>
  <si>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</si>
  <si>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</si>
  <si>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</si>
  <si>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</si>
  <si>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</si>
  <si>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</si>
  <si>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</si>
  <si>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</si>
  <si>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</si>
  <si>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</si>
  <si>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</si>
  <si>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</si>
  <si>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</si>
  <si>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</si>
  <si>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</si>
  <si>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</si>
  <si>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</si>
  <si>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</si>
  <si>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</si>
  <si>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</si>
  <si>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</si>
  <si>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</si>
  <si>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</si>
  <si>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</si>
  <si>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</si>
  <si>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</si>
  <si>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</si>
  <si>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</si>
  <si>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</si>
  <si>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</si>
  <si>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</si>
  <si>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</si>
  <si>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</si>
  <si>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</si>
  <si>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</si>
  <si>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</si>
  <si>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</si>
  <si>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</si>
  <si>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</si>
  <si>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</si>
  <si>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</si>
  <si>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</si>
  <si>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</si>
  <si>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</si>
  <si>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</si>
  <si>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</si>
  <si>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</si>
  <si>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</si>
  <si>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</si>
  <si>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</si>
  <si>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</si>
  <si>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</si>
  <si>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</si>
  <si>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</si>
  <si>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</si>
  <si>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</si>
  <si>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</si>
  <si>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</si>
  <si>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</si>
  <si>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</si>
  <si>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</si>
  <si>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</si>
  <si>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</si>
  <si>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</si>
  <si>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</si>
  <si>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</si>
  <si>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</si>
  <si>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</si>
  <si>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</si>
  <si>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</si>
  <si>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</si>
  <si>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</si>
  <si>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</si>
  <si>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</si>
  <si>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</si>
  <si>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</si>
  <si>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</si>
  <si>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</si>
  <si>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</si>
  <si>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</si>
  <si>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</si>
  <si>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</si>
  <si>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</si>
  <si>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</si>
  <si>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</si>
  <si>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</si>
  <si>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</si>
  <si>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</si>
  <si>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</si>
  <si>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</si>
  <si>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</si>
  <si>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</si>
  <si>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</si>
  <si>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</si>
  <si>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</si>
  <si>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</si>
  <si>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</si>
  <si>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</si>
  <si>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</si>
  <si>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</si>
  <si>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</si>
  <si>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</si>
  <si>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</si>
  <si>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</si>
  <si>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</si>
  <si>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</si>
  <si>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</si>
  <si>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</si>
  <si>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</si>
  <si>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</si>
  <si>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</si>
  <si>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</si>
  <si>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</si>
  <si>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</si>
  <si>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</si>
  <si>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</si>
  <si>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</si>
  <si>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</si>
  <si>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</si>
  <si>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</si>
  <si>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</si>
  <si>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</si>
  <si>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</si>
  <si>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</si>
  <si>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</si>
  <si>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</si>
  <si>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</si>
  <si>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</si>
  <si>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</si>
  <si>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</si>
  <si>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</si>
  <si>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</si>
  <si>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</si>
  <si>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</si>
  <si>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</si>
  <si>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</si>
  <si>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</si>
  <si>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</si>
  <si>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</si>
  <si>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</si>
  <si>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</si>
  <si>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</si>
  <si>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</si>
  <si>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</si>
  <si>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</si>
  <si>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</si>
  <si>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</si>
  <si>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</si>
  <si>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</si>
  <si>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</si>
  <si>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</si>
  <si>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</si>
  <si>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</si>
  <si>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</si>
  <si>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</si>
  <si>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</si>
  <si>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</si>
  <si>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</si>
  <si>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</si>
  <si>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</si>
  <si>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</si>
  <si>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</si>
  <si>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</si>
  <si>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</si>
  <si>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</si>
  <si>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</si>
  <si>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</si>
  <si>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</si>
  <si>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</si>
  <si>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</si>
  <si>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</si>
  <si>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</si>
  <si>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</si>
  <si>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</si>
  <si>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</si>
  <si>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</si>
  <si>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</si>
  <si>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</si>
  <si>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</si>
  <si>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</si>
  <si>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</si>
  <si>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</si>
  <si>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</si>
  <si>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</si>
  <si>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</si>
  <si>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</si>
  <si>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</si>
  <si>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</si>
  <si>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</si>
  <si>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</si>
  <si>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</si>
  <si>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</si>
  <si>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</si>
  <si>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</si>
  <si>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</si>
  <si>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</si>
  <si>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</si>
  <si>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</si>
  <si>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</si>
  <si>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</si>
  <si>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</si>
  <si>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</si>
  <si>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</si>
  <si>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</si>
  <si>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</si>
  <si>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</si>
  <si>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</si>
  <si>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</si>
  <si>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</si>
  <si>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</si>
  <si>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</si>
  <si>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</si>
  <si>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</si>
  <si>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</si>
  <si>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</si>
  <si>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</si>
  <si>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</si>
  <si>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</si>
  <si>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</si>
  <si>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</si>
  <si>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</si>
  <si>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</si>
  <si>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</si>
  <si>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</si>
  <si>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</si>
  <si>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</si>
  <si>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</si>
  <si>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</si>
  <si>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</si>
  <si>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</si>
  <si>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</si>
  <si>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</si>
  <si>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</si>
  <si>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</si>
  <si>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</si>
  <si>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</si>
  <si>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</si>
  <si>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</si>
  <si>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</si>
  <si>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</si>
  <si>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</si>
  <si>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</si>
  <si>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</si>
  <si>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</si>
  <si>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</si>
  <si>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</si>
  <si>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</si>
  <si>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</si>
  <si>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</si>
  <si>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</si>
  <si>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</si>
  <si>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</si>
  <si>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</si>
  <si>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</si>
  <si>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</si>
  <si>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</si>
  <si>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</si>
  <si>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</si>
  <si>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</si>
  <si>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</si>
  <si>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</si>
  <si>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</si>
  <si>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</si>
  <si>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</si>
  <si>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</si>
  <si>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</si>
  <si>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</si>
  <si>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</si>
  <si>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</si>
  <si>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</si>
  <si>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</si>
  <si>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</si>
  <si>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</si>
  <si>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</si>
  <si>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</si>
  <si>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</si>
  <si>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</si>
  <si>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</si>
  <si>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</si>
  <si>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</si>
  <si>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</si>
  <si>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</si>
  <si>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</si>
  <si>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</si>
  <si>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</si>
  <si>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</si>
  <si>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</si>
  <si>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</si>
  <si>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</si>
  <si>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</si>
  <si>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</si>
  <si>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</si>
  <si>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</si>
  <si>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</si>
  <si>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</si>
  <si>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</si>
  <si>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</si>
  <si>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</si>
  <si>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</si>
  <si>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</si>
  <si>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</si>
  <si>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</si>
  <si>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</si>
  <si>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</si>
  <si>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</si>
  <si>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</si>
  <si>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</si>
  <si>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</si>
  <si>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</si>
  <si>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</si>
  <si>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</si>
  <si>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</si>
  <si>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</si>
  <si>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</si>
  <si>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</si>
  <si>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</si>
  <si>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</si>
  <si>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</si>
  <si>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</si>
  <si>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</si>
  <si>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</si>
  <si>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</si>
  <si>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</si>
  <si>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</si>
  <si>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</si>
  <si>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</si>
  <si>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</si>
  <si>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</si>
  <si>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</si>
  <si>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</si>
  <si>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</si>
  <si>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</si>
  <si>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</si>
  <si>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</si>
  <si>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</si>
  <si>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</si>
  <si>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</si>
  <si>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</si>
  <si>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</si>
  <si>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</si>
  <si>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</si>
  <si>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</si>
  <si>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</si>
  <si>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</si>
  <si>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</si>
  <si>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</si>
  <si>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</si>
  <si>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</si>
  <si>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</si>
  <si>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</si>
  <si>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</si>
  <si>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</si>
  <si>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</si>
  <si>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</si>
  <si>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</si>
  <si>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</si>
  <si>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</si>
  <si>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</si>
  <si>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</si>
  <si>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</si>
  <si>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</si>
  <si>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</si>
  <si>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</si>
  <si>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</si>
  <si>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</si>
  <si>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</si>
  <si>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</si>
  <si>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</si>
  <si>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</si>
  <si>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</si>
  <si>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</si>
  <si>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</si>
  <si>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</si>
  <si>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</si>
  <si>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</si>
  <si>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</si>
  <si>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</si>
  <si>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</si>
  <si>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</si>
  <si>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</si>
  <si>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</si>
  <si>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</si>
  <si>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</si>
  <si>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</si>
  <si>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</si>
  <si>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</si>
  <si>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</si>
  <si>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</si>
  <si>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</si>
  <si>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</si>
  <si>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</si>
  <si>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</si>
  <si>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</si>
  <si>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</si>
  <si>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</si>
  <si>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</si>
  <si>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</si>
  <si>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</si>
  <si>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</si>
  <si>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</si>
  <si>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</si>
  <si>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</si>
  <si>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</si>
  <si>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</si>
  <si>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</si>
  <si>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</si>
  <si>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</si>
  <si>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</si>
  <si>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</si>
  <si>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</si>
  <si>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</si>
  <si>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</si>
  <si>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</si>
  <si>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</si>
  <si>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</si>
  <si>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</si>
  <si>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</si>
  <si>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</si>
  <si>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</si>
  <si>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</si>
  <si>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</si>
  <si>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</si>
  <si>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</si>
  <si>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</si>
  <si>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</si>
  <si>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</si>
  <si>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</si>
  <si>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</si>
  <si>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</si>
  <si>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</si>
  <si>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</si>
  <si>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</si>
  <si>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</si>
  <si>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</si>
  <si>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</si>
  <si>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</si>
  <si>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</si>
  <si>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</si>
  <si>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</si>
  <si>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</si>
  <si>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</si>
  <si>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</si>
  <si>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</si>
  <si>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</si>
  <si>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</si>
  <si>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</si>
  <si>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</si>
  <si>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</si>
  <si>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</si>
  <si>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</si>
  <si>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</si>
  <si>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</si>
  <si>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</si>
  <si>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</si>
  <si>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</si>
  <si>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</si>
  <si>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</si>
  <si>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</si>
  <si>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</si>
  <si>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</si>
  <si>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</si>
  <si>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</si>
  <si>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</si>
  <si>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</si>
  <si>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</si>
  <si>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</si>
  <si>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</si>
  <si>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</si>
  <si>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</si>
  <si>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</si>
  <si>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</si>
  <si>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</si>
  <si>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</si>
  <si>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</si>
  <si>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</si>
  <si>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</si>
  <si>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</si>
  <si>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</si>
  <si>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</si>
  <si>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</si>
  <si>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</si>
  <si>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</si>
  <si>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</si>
  <si>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</si>
  <si>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</si>
  <si>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</si>
  <si>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</si>
  <si>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</si>
  <si>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</si>
  <si>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</si>
  <si>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</si>
  <si>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</si>
  <si>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</si>
  <si>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</si>
  <si>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</si>
  <si>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</si>
  <si>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</si>
  <si>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</si>
  <si>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</si>
  <si>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</si>
  <si>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</si>
  <si>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</si>
  <si>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</si>
  <si>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</si>
  <si>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</si>
  <si>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</si>
  <si>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</si>
  <si>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</si>
  <si>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</si>
  <si>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</si>
  <si>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</si>
  <si>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</si>
  <si>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</si>
  <si>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</si>
  <si>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</si>
  <si>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</si>
  <si>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</si>
  <si>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</si>
  <si>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</si>
  <si>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</si>
  <si>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</si>
  <si>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</si>
  <si>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</si>
  <si>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</si>
  <si>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</si>
  <si>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</si>
  <si>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</si>
  <si>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</si>
  <si>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</si>
  <si>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</si>
  <si>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</si>
  <si>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</si>
  <si>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</si>
  <si>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</si>
  <si>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</si>
  <si>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</si>
  <si>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</si>
  <si>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</si>
  <si>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</si>
  <si>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</si>
  <si>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</si>
  <si>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</si>
  <si>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</si>
  <si>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</si>
  <si>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</si>
  <si>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</si>
  <si>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</si>
  <si>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</si>
  <si>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</si>
  <si>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</si>
  <si>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</si>
  <si>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</si>
  <si>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</si>
  <si>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</si>
  <si>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</si>
  <si>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</si>
  <si>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</si>
  <si>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</si>
  <si>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</si>
  <si>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</si>
  <si>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</si>
  <si>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</si>
  <si>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</si>
  <si>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</si>
  <si>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</si>
  <si>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</si>
  <si>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</si>
  <si>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</si>
  <si>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</si>
  <si>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</si>
  <si>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</si>
  <si>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</si>
  <si>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</si>
  <si>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</si>
  <si>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</si>
  <si>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</si>
  <si>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</si>
  <si>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</si>
  <si>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</si>
  <si>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</si>
  <si>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</si>
  <si>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</si>
  <si>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</si>
  <si>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</si>
  <si>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</si>
  <si>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</si>
  <si>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</si>
  <si>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</si>
  <si>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</si>
  <si>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</si>
  <si>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</si>
  <si>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</si>
  <si>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</si>
  <si>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</si>
  <si>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</si>
  <si>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</si>
  <si>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</si>
  <si>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</si>
  <si>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</si>
  <si>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</si>
  <si>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</si>
  <si>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</si>
  <si>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</si>
  <si>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</si>
  <si>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</si>
  <si>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</si>
  <si>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</si>
  <si>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</si>
  <si>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</si>
  <si>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</si>
  <si>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</si>
  <si>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</si>
  <si>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</si>
  <si>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</si>
  <si>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</si>
  <si>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</si>
  <si>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</si>
  <si>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</si>
  <si>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</si>
  <si>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</si>
  <si>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</si>
  <si>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</si>
  <si>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</si>
  <si>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</si>
  <si>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</si>
  <si>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</si>
  <si>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</si>
  <si>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</si>
  <si>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</si>
  <si>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</si>
  <si>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</si>
  <si>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</si>
  <si>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</si>
  <si>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</si>
  <si>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</si>
  <si>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</si>
  <si>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</si>
  <si>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</si>
  <si>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</si>
  <si>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</si>
  <si>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</si>
  <si>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</si>
  <si>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</si>
  <si>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</si>
  <si>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</si>
  <si>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</si>
  <si>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</si>
  <si>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</si>
  <si>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</si>
  <si>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</si>
  <si>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</si>
  <si>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</si>
  <si>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</si>
  <si>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</si>
  <si>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</si>
  <si>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</si>
  <si>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</si>
  <si>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</si>
  <si>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</si>
  <si>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</si>
  <si>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</si>
  <si>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</si>
  <si>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</si>
  <si>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</si>
  <si>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</si>
  <si>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</si>
  <si>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</si>
  <si>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</si>
  <si>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</si>
  <si>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</si>
  <si>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</si>
  <si>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</si>
  <si>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</si>
  <si>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</si>
  <si>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</si>
  <si>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</si>
  <si>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</si>
  <si>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</si>
  <si>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</si>
  <si>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</si>
  <si>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</si>
  <si>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</si>
  <si>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</si>
  <si>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</si>
  <si>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</si>
  <si>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</si>
  <si>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</si>
  <si>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</si>
  <si>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</si>
  <si>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</si>
  <si>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</si>
  <si>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</si>
  <si>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</si>
  <si>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</si>
  <si>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</si>
  <si>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</si>
  <si>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</si>
  <si>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</si>
  <si>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</si>
  <si>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</si>
  <si>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</si>
  <si>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</si>
  <si>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</si>
  <si>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</si>
  <si>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</si>
  <si>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</si>
  <si>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</si>
  <si>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</si>
  <si>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</si>
  <si>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</si>
  <si>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</si>
  <si>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</si>
  <si>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</si>
  <si>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</si>
  <si>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</si>
  <si>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</si>
  <si>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</si>
  <si>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</si>
  <si>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</si>
  <si>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</si>
  <si>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</si>
  <si>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</si>
  <si>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</si>
  <si>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</si>
  <si>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</si>
  <si>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</si>
  <si>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</si>
  <si>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</si>
  <si>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</si>
  <si>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</si>
  <si>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</si>
  <si>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</si>
  <si>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</si>
  <si>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</si>
  <si>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</si>
  <si>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</si>
  <si>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</si>
  <si>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</si>
  <si>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</si>
  <si>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</si>
  <si>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</si>
  <si>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</si>
  <si>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</si>
  <si>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</si>
  <si>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</si>
  <si>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</si>
  <si>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</si>
  <si>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</si>
  <si>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</si>
  <si>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</si>
  <si>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</si>
  <si>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</si>
  <si>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</si>
  <si>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</si>
  <si>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</si>
  <si>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</si>
  <si>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</si>
  <si>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</si>
  <si>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</si>
  <si>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</si>
  <si>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</si>
  <si>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</si>
  <si>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</si>
  <si>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</si>
  <si>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</si>
  <si>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</si>
  <si>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</si>
  <si>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</si>
  <si>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</si>
  <si>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</si>
  <si>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</si>
  <si>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</si>
  <si>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</si>
  <si>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</si>
  <si>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</si>
  <si>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</si>
  <si>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</si>
  <si>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</si>
  <si>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</si>
  <si>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</si>
  <si>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</si>
  <si>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</si>
  <si>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</si>
  <si>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</si>
  <si>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</si>
  <si>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</si>
  <si>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</si>
  <si>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</si>
  <si>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</si>
  <si>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</si>
  <si>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</si>
  <si>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</si>
  <si>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</si>
  <si>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</si>
  <si>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</si>
  <si>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</si>
  <si>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</si>
  <si>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</si>
  <si>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</si>
  <si>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</si>
  <si>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</si>
  <si>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</si>
  <si>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</si>
  <si>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</si>
  <si>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</si>
  <si>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</si>
  <si>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</si>
  <si>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</si>
  <si>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</si>
  <si>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</si>
  <si>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</si>
  <si>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</si>
  <si>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</si>
  <si>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</si>
  <si>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</si>
  <si>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</si>
  <si>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</si>
  <si>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</si>
  <si>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</si>
  <si>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</si>
  <si>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</si>
  <si>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</si>
  <si>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</si>
  <si>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</si>
  <si>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</si>
  <si>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</si>
  <si>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</si>
  <si>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</si>
  <si>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</si>
  <si>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</si>
  <si>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</si>
  <si>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</si>
  <si>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</si>
  <si>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</si>
  <si>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</si>
  <si>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</si>
  <si>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</si>
  <si>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</si>
  <si>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</si>
  <si>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</si>
  <si>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</si>
  <si>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</si>
  <si>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</si>
  <si>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</si>
  <si>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</si>
  <si>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</si>
  <si>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</si>
  <si>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</si>
  <si>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</si>
  <si>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</si>
  <si>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</si>
  <si>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</si>
  <si>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</si>
  <si>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</si>
  <si>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</si>
  <si>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</si>
  <si>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</si>
  <si>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</si>
  <si>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</si>
  <si>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</si>
  <si>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</si>
  <si>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</si>
  <si>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</si>
  <si>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</si>
  <si>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</si>
  <si>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</si>
  <si>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</si>
  <si>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</si>
  <si>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</si>
  <si>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</si>
  <si>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</si>
  <si>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</si>
  <si>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</si>
  <si>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</si>
  <si>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</si>
  <si>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</si>
  <si>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</si>
  <si>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</si>
  <si>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</si>
  <si>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</si>
  <si>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</si>
  <si>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</si>
  <si>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</si>
  <si>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</si>
  <si>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</si>
  <si>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</si>
  <si>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</si>
  <si>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</si>
  <si>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</si>
  <si>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</si>
  <si>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</si>
  <si>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</si>
  <si>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</si>
  <si>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</si>
  <si>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</si>
  <si>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</si>
  <si>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</si>
  <si>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</si>
  <si>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</si>
  <si>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</si>
  <si>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</si>
  <si>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</si>
  <si>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</si>
  <si>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</si>
  <si>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</si>
  <si>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</si>
  <si>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</si>
  <si>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</si>
  <si>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</si>
  <si>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</si>
  <si>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</si>
  <si>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</si>
  <si>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</si>
  <si>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</si>
  <si>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</si>
  <si>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</si>
  <si>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</si>
  <si>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</si>
  <si>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</si>
  <si>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</si>
  <si>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</si>
  <si>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</si>
  <si>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</si>
  <si>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</si>
  <si>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</si>
  <si>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</si>
  <si>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</si>
  <si>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</si>
  <si>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</si>
  <si>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</si>
  <si>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</si>
  <si>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</si>
  <si>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</si>
  <si>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</si>
  <si>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</si>
  <si>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</si>
  <si>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</si>
  <si>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</si>
  <si>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</si>
  <si>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</si>
  <si>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</si>
  <si>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</si>
  <si>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</si>
  <si>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</si>
  <si>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</si>
  <si>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</si>
  <si>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</si>
  <si>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</si>
  <si>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</si>
  <si>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</si>
  <si>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</si>
  <si>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</si>
  <si>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</si>
  <si>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</si>
  <si>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</si>
  <si>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</si>
  <si>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</si>
  <si>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</si>
  <si>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</si>
  <si>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</si>
  <si>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</si>
  <si>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</si>
  <si>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</si>
  <si>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</si>
  <si>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</si>
  <si>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</si>
  <si>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</si>
  <si>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</si>
  <si>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</si>
  <si>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</si>
  <si>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</si>
  <si>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</si>
  <si>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</si>
  <si>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</si>
  <si>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</si>
  <si>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</si>
  <si>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</si>
  <si>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</si>
  <si>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</si>
  <si>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</si>
  <si>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</si>
  <si>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</si>
  <si>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</si>
  <si>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</si>
  <si>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</si>
  <si>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</si>
  <si>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</si>
  <si>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</si>
  <si>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</si>
  <si>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</si>
  <si>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</si>
  <si>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</si>
  <si>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</si>
  <si>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</si>
  <si>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</si>
  <si>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</si>
  <si>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</si>
  <si>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</si>
  <si>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</si>
  <si>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</si>
  <si>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</si>
  <si>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</si>
  <si>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</si>
  <si>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</si>
  <si>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</si>
  <si>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</si>
  <si>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</si>
  <si>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</si>
  <si>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</si>
  <si>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</si>
  <si>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</si>
  <si>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</si>
  <si>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</si>
  <si>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</si>
  <si>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</si>
  <si>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</si>
  <si>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</si>
  <si>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</si>
  <si>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</si>
  <si>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</si>
  <si>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</si>
  <si>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</si>
  <si>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</si>
  <si>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</si>
  <si>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</si>
  <si>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</si>
  <si>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</si>
  <si>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</si>
  <si>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</si>
  <si>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</si>
  <si>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</si>
  <si>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</si>
  <si>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</si>
  <si>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</si>
  <si>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</si>
  <si>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</si>
  <si>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</si>
  <si>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</si>
  <si>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</si>
  <si>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</si>
  <si>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</si>
  <si>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</si>
  <si>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</si>
  <si>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</si>
  <si>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</si>
  <si>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</si>
  <si>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</si>
  <si>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</si>
  <si>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</si>
  <si>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</si>
  <si>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</si>
  <si>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</si>
  <si>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</si>
  <si>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</si>
  <si>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</si>
  <si>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</si>
  <si>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</si>
  <si>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</si>
  <si>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</si>
  <si>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</si>
  <si>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</si>
  <si>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</si>
  <si>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</si>
  <si>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</si>
  <si>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</si>
  <si>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</si>
  <si>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</si>
  <si>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</si>
  <si>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</si>
  <si>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</si>
  <si>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</si>
  <si>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</si>
  <si>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</si>
  <si>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</si>
  <si>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</si>
  <si>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</si>
  <si>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</si>
  <si>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</si>
  <si>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</si>
  <si>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</si>
  <si>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</si>
  <si>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</si>
  <si>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</si>
  <si>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</si>
  <si>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</si>
  <si>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</si>
  <si>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</si>
  <si>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</si>
  <si>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</si>
  <si>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</si>
  <si>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</si>
  <si>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</si>
  <si>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</si>
  <si>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</si>
  <si>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</si>
  <si>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</si>
  <si>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</si>
  <si>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</si>
  <si>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</si>
  <si>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</si>
  <si>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</si>
  <si>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</si>
  <si>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</si>
  <si>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</si>
  <si>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</si>
  <si>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</si>
  <si>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</si>
  <si>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</si>
  <si>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</si>
  <si>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</si>
  <si>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</si>
  <si>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</si>
  <si>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</si>
  <si>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</si>
  <si>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</si>
  <si>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</si>
  <si>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</si>
  <si>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</si>
  <si>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</si>
  <si>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</si>
  <si>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</si>
  <si>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</si>
  <si>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</si>
  <si>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</si>
  <si>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</si>
  <si>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</si>
  <si>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</si>
  <si>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</si>
  <si>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</si>
  <si>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</si>
  <si>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</si>
  <si>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</si>
  <si>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</si>
  <si>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</si>
  <si>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</si>
  <si>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</si>
  <si>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</si>
  <si>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</si>
  <si>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</si>
  <si>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</si>
  <si>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</si>
  <si>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</si>
  <si>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</si>
  <si>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</si>
  <si>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</si>
  <si>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</si>
  <si>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</si>
  <si>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</si>
  <si>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</si>
  <si>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</si>
  <si>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</si>
  <si>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</si>
  <si>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</si>
  <si>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</si>
  <si>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</si>
  <si>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</si>
  <si>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</si>
  <si>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</si>
  <si>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</si>
  <si>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</si>
  <si>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</si>
  <si>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</si>
  <si>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</si>
  <si>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</si>
  <si>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</si>
  <si>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</si>
  <si>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</si>
  <si>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</si>
  <si>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</si>
  <si>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</si>
  <si>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</si>
  <si>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</si>
  <si>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</si>
  <si>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</si>
  <si>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</si>
  <si>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</si>
  <si>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</si>
  <si>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</si>
  <si>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</si>
  <si>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</si>
  <si>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</si>
  <si>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</si>
  <si>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</si>
  <si>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</si>
  <si>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</si>
  <si>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</si>
  <si>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</si>
  <si>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</si>
  <si>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</si>
  <si>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</si>
  <si>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</si>
  <si>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</si>
  <si>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</si>
  <si>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</si>
  <si>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</si>
  <si>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</si>
  <si>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</si>
  <si>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</si>
  <si>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</si>
  <si>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</si>
  <si>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</si>
  <si>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</si>
  <si>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</si>
  <si>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</si>
  <si>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</si>
  <si>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</si>
  <si>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</si>
  <si>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</si>
  <si>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</si>
  <si>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</si>
  <si>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</si>
  <si>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</si>
  <si>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</si>
  <si>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</si>
  <si>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</si>
  <si>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</si>
  <si>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</si>
  <si>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</si>
  <si>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</si>
  <si>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</si>
  <si>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</si>
  <si>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</si>
  <si>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</si>
  <si>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</si>
  <si>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</si>
  <si>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</si>
  <si>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</si>
  <si>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</si>
  <si>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</si>
  <si>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</si>
  <si>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</si>
  <si>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</si>
  <si>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</si>
  <si>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</si>
  <si>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</si>
  <si>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</si>
  <si>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</si>
  <si>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</si>
  <si>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</si>
  <si>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</si>
  <si>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</si>
  <si>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</si>
  <si>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</si>
  <si>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</si>
  <si>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</si>
  <si>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</si>
  <si>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</si>
  <si>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</si>
  <si>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</si>
  <si>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</si>
  <si>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</si>
  <si>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</si>
  <si>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</si>
  <si>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</si>
  <si>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</si>
  <si>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</si>
  <si>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</si>
  <si>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</si>
  <si>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</si>
  <si>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</si>
  <si>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</si>
  <si>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</si>
  <si>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</si>
  <si>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</si>
  <si>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</si>
  <si>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</si>
  <si>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</si>
  <si>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</si>
  <si>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</si>
  <si>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</si>
  <si>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</si>
  <si>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</si>
  <si>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</si>
  <si>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</si>
  <si>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</si>
  <si>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</si>
  <si>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</si>
  <si>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</si>
  <si>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</si>
  <si>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</si>
  <si>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</si>
  <si>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</si>
  <si>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</si>
  <si>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</si>
  <si>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</si>
  <si>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</si>
  <si>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</si>
  <si>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</si>
  <si>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</si>
  <si>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</si>
  <si>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</si>
  <si>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</si>
  <si>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</si>
  <si>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</si>
  <si>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</si>
  <si>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</si>
  <si>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</si>
  <si>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</si>
  <si>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</si>
  <si>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</si>
  <si>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</si>
  <si>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</si>
  <si>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</si>
  <si>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</si>
  <si>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</si>
  <si>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</si>
  <si>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</si>
  <si>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</si>
  <si>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</si>
  <si>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</si>
  <si>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</si>
  <si>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</si>
  <si>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</si>
  <si>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</si>
  <si>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</si>
  <si>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</si>
  <si>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</si>
  <si>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</si>
  <si>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</si>
  <si>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</si>
  <si>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</si>
  <si>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</si>
  <si>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</si>
  <si>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</si>
  <si>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</si>
  <si>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</si>
  <si>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</si>
  <si>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</si>
  <si>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</si>
  <si>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</si>
  <si>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</si>
  <si>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</si>
  <si>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</si>
  <si>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</si>
  <si>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</si>
  <si>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</si>
  <si>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</si>
  <si>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</si>
  <si>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</si>
  <si>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</si>
  <si>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</si>
  <si>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</si>
  <si>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</si>
  <si>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</si>
  <si>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</si>
  <si>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</si>
  <si>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</si>
  <si>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</si>
  <si>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</si>
  <si>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</si>
  <si>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</si>
  <si>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</si>
  <si>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</si>
  <si>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</si>
  <si>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</si>
  <si>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</si>
  <si>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</si>
  <si>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</si>
  <si>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</si>
  <si>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</si>
  <si>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</si>
  <si>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</si>
  <si>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</si>
  <si>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</si>
  <si>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</si>
  <si>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</si>
  <si>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</si>
  <si>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</si>
  <si>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</si>
  <si>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</si>
  <si>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</si>
  <si>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</si>
  <si>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</si>
  <si>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</si>
  <si>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</si>
  <si>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</si>
  <si>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</si>
  <si>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</si>
  <si>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</si>
  <si>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</si>
  <si>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</si>
  <si>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</si>
  <si>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</si>
  <si>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</si>
  <si>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</si>
  <si>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</si>
  <si>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</si>
  <si>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</si>
  <si>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</si>
  <si>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</si>
  <si>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</si>
  <si>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</si>
  <si>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</si>
  <si>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</si>
  <si>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</si>
  <si>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</si>
  <si>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</si>
  <si>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</si>
  <si>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</si>
  <si>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</si>
  <si>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</si>
  <si>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</si>
  <si>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</si>
  <si>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</si>
  <si>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</si>
  <si>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</si>
  <si>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</si>
  <si>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</si>
  <si>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</si>
  <si>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</si>
  <si>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</si>
  <si>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</si>
  <si>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</si>
  <si>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</si>
  <si>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</si>
  <si>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</si>
  <si>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</si>
  <si>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</si>
  <si>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</si>
  <si>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</si>
  <si>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</si>
  <si>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</si>
  <si>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</si>
  <si>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</si>
  <si>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</si>
  <si>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</si>
  <si>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</si>
  <si>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</si>
  <si>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</si>
  <si>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</si>
  <si>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</si>
  <si>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</si>
  <si>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</si>
  <si>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</si>
  <si>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</si>
  <si>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</si>
  <si>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</si>
  <si>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</si>
  <si>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</si>
  <si>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</si>
  <si>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</si>
  <si>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</si>
  <si>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</si>
  <si>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</si>
  <si>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</si>
  <si>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</si>
  <si>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</si>
  <si>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</si>
  <si>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</si>
  <si>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</si>
  <si>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</si>
  <si>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</si>
  <si>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</si>
  <si>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</si>
  <si>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</si>
  <si>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</si>
  <si>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</si>
  <si>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</si>
  <si>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</si>
  <si>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</si>
  <si>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</si>
  <si>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</si>
  <si>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</si>
  <si>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</si>
  <si>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</si>
  <si>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</si>
  <si>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</si>
  <si>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</si>
  <si>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</si>
  <si>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</si>
  <si>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</si>
  <si>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</si>
  <si>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</si>
  <si>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</si>
  <si>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</si>
  <si>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</si>
  <si>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</si>
  <si>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</si>
  <si>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</si>
  <si>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</si>
  <si>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</si>
  <si>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</si>
  <si>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</si>
  <si>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</si>
  <si>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</si>
  <si>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</si>
  <si>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</si>
  <si>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</si>
  <si>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</si>
  <si>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</si>
  <si>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</si>
  <si>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</si>
  <si>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</si>
  <si>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</si>
  <si>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</si>
  <si>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</si>
  <si>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</si>
  <si>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</si>
  <si>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</si>
  <si>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</si>
  <si>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</si>
  <si>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</si>
  <si>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</si>
  <si>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</si>
  <si>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</si>
  <si>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</si>
  <si>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</si>
  <si>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</si>
  <si>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</si>
  <si>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</si>
  <si>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</si>
  <si>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</si>
  <si>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</si>
  <si>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</si>
  <si>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</si>
  <si>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</si>
  <si>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</si>
  <si>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</si>
  <si>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</si>
  <si>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</si>
  <si>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</si>
  <si>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</si>
  <si>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</si>
  <si>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</si>
  <si>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</si>
  <si>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</si>
  <si>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</si>
  <si>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</si>
  <si>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</si>
  <si>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</si>
  <si>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</si>
  <si>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</si>
  <si>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</si>
  <si>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</si>
  <si>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</si>
  <si>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</si>
  <si>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</si>
  <si>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</si>
  <si>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</si>
  <si>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</si>
  <si>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</si>
  <si>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</si>
  <si>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</si>
  <si>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</si>
  <si>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</si>
  <si>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</si>
  <si>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</si>
  <si>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</si>
  <si>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</si>
  <si>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</si>
  <si>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</si>
  <si>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</si>
  <si>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</si>
  <si>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</si>
  <si>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</si>
  <si>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</si>
  <si>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</si>
  <si>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</si>
  <si>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</si>
  <si>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</si>
  <si>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</si>
  <si>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</si>
  <si>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</si>
  <si>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</si>
  <si>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</si>
  <si>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</si>
  <si>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</si>
  <si>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</si>
  <si>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</si>
  <si>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</si>
  <si>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</si>
  <si>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</si>
  <si>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</si>
  <si>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</si>
  <si>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</si>
  <si>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</si>
  <si>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</si>
  <si>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</si>
  <si>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</si>
  <si>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</si>
  <si>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</si>
  <si>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</si>
  <si>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</si>
  <si>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</si>
  <si>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</si>
  <si>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</si>
  <si>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</si>
  <si>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</si>
  <si>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</si>
  <si>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</si>
  <si>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</si>
  <si>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</si>
  <si>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</si>
  <si>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</si>
  <si>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</si>
  <si>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</si>
  <si>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</si>
  <si>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</si>
  <si>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</si>
  <si>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</si>
  <si>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</si>
  <si>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</si>
  <si>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</si>
  <si>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</si>
  <si>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</si>
  <si>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</si>
  <si>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</si>
  <si>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</si>
  <si>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</si>
  <si>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</si>
  <si>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</si>
  <si>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</si>
  <si>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</si>
  <si>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</si>
  <si>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</si>
  <si>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</si>
  <si>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</si>
  <si>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</si>
  <si>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</si>
  <si>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</si>
  <si>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</si>
  <si>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</si>
  <si>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</si>
  <si>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</si>
  <si>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</si>
  <si>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</si>
  <si>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</si>
  <si>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</si>
  <si>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</si>
  <si>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</si>
  <si>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</si>
  <si>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</si>
  <si>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</si>
  <si>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</si>
  <si>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</si>
  <si>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</si>
  <si>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</si>
  <si>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</si>
  <si>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</si>
  <si>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</si>
  <si>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</si>
  <si>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</si>
  <si>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</si>
  <si>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</si>
  <si>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</si>
  <si>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</si>
  <si>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</si>
  <si>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</si>
  <si>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</si>
  <si>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</si>
  <si>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</si>
  <si>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</si>
  <si>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</si>
  <si>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</si>
  <si>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</si>
  <si>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</si>
  <si>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</si>
  <si>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</si>
  <si>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</si>
  <si>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</si>
  <si>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</si>
  <si>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</si>
  <si>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</si>
  <si>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</si>
  <si>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</si>
  <si>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</si>
  <si>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</si>
  <si>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</si>
  <si>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</si>
  <si>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</si>
  <si>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</si>
  <si>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</si>
  <si>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</si>
  <si>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</si>
  <si>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</si>
  <si>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</si>
  <si>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</si>
  <si>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</si>
  <si>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</si>
  <si>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</si>
  <si>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</si>
  <si>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</si>
  <si>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</si>
  <si>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</si>
  <si>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</si>
  <si>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</si>
  <si>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</si>
  <si>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</si>
  <si>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</si>
  <si>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</si>
  <si>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</si>
  <si>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</si>
  <si>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</si>
  <si>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</si>
  <si>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</si>
  <si>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</si>
  <si>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</si>
  <si>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</si>
  <si>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</si>
  <si>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</si>
  <si>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</si>
  <si>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</si>
  <si>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</si>
  <si>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</si>
  <si>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</si>
  <si>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</si>
  <si>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</si>
  <si>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</si>
  <si>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</si>
  <si>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</si>
  <si>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</si>
  <si>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</si>
  <si>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</si>
  <si>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</si>
  <si>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</si>
  <si>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</si>
  <si>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</si>
  <si>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</si>
  <si>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</si>
  <si>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</si>
  <si>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</si>
  <si>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</si>
  <si>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</si>
  <si>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</si>
  <si>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</si>
  <si>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</si>
  <si>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</si>
  <si>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</si>
  <si>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</si>
  <si>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</si>
  <si>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</si>
  <si>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</si>
  <si>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</si>
  <si>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</si>
  <si>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</si>
  <si>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</si>
  <si>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</si>
  <si>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</si>
  <si>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</si>
  <si>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</si>
  <si>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</si>
  <si>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</si>
  <si>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</si>
  <si>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</si>
  <si>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</si>
  <si>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</si>
  <si>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</si>
  <si>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</si>
  <si>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</si>
  <si>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</si>
  <si>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</si>
  <si>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</si>
  <si>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</si>
  <si>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</si>
  <si>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</si>
  <si>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</si>
  <si>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</si>
  <si>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</si>
  <si>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</si>
  <si>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</si>
  <si>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</si>
  <si>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</si>
  <si>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</si>
  <si>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</si>
  <si>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</si>
  <si>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</si>
  <si>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</si>
  <si>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</si>
  <si>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</si>
  <si>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</si>
  <si>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</si>
  <si>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</si>
  <si>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</si>
  <si>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</si>
  <si>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</si>
  <si>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</si>
  <si>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</si>
  <si>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</si>
  <si>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</si>
  <si>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</si>
  <si>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</si>
  <si>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</si>
  <si>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</si>
  <si>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</si>
  <si>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</si>
  <si>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</si>
  <si>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</si>
  <si>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</si>
  <si>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</si>
  <si>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</si>
  <si>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</si>
  <si>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</si>
  <si>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</si>
  <si>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</si>
  <si>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</si>
  <si>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</si>
  <si>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</si>
  <si>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</si>
  <si>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</si>
  <si>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</si>
  <si>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</si>
  <si>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</si>
  <si>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</si>
  <si>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</si>
  <si>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</si>
  <si>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</si>
  <si>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</si>
  <si>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</si>
  <si>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</si>
  <si>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</si>
  <si>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</si>
  <si>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</si>
  <si>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</si>
  <si>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</si>
  <si>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</si>
  <si>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</si>
  <si>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</si>
  <si>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</si>
  <si>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</si>
  <si>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</si>
  <si>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</si>
  <si>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</si>
  <si>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</si>
  <si>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</si>
  <si>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</si>
  <si>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</si>
  <si>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</si>
  <si>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</si>
  <si>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</si>
  <si>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</si>
  <si>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</si>
  <si>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</si>
  <si>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</si>
  <si>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</si>
  <si>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</si>
  <si>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</si>
  <si>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</si>
  <si>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</si>
  <si>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</si>
  <si>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</si>
  <si>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</si>
  <si>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</si>
  <si>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</si>
  <si>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</si>
  <si>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</si>
  <si>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</si>
  <si>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</si>
  <si>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</si>
  <si>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</si>
  <si>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</si>
  <si>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</si>
  <si>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</si>
  <si>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</si>
  <si>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</si>
  <si>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</si>
  <si>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</si>
  <si>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</si>
  <si>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</si>
  <si>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</si>
  <si>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</si>
  <si>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</si>
  <si>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</si>
  <si>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</si>
  <si>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</si>
  <si>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</si>
  <si>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</si>
  <si>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</si>
  <si>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</si>
  <si>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</si>
  <si>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</si>
  <si>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</si>
  <si>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</si>
  <si>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</si>
  <si>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</si>
  <si>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</si>
  <si>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</si>
  <si>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</si>
  <si>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</si>
  <si>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</si>
  <si>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</si>
  <si>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</si>
  <si>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</si>
  <si>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</si>
  <si>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</si>
  <si>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</si>
  <si>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</si>
  <si>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</si>
  <si>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</si>
  <si>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</si>
  <si>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</si>
  <si>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</si>
  <si>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</si>
  <si>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</si>
  <si>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</si>
  <si>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</si>
  <si>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</si>
  <si>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</si>
  <si>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</si>
  <si>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</si>
  <si>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</si>
  <si>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</si>
  <si>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</si>
  <si>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</si>
  <si>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</si>
  <si>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</si>
  <si>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</si>
  <si>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</si>
  <si>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</si>
  <si>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</si>
  <si>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</si>
  <si>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</si>
  <si>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</si>
  <si>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</si>
  <si>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</si>
  <si>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</si>
  <si>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</si>
  <si>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</si>
  <si>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</si>
  <si>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</si>
  <si>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</si>
  <si>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</si>
  <si>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</si>
  <si>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</si>
  <si>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</si>
  <si>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</si>
  <si>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</si>
  <si>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</si>
  <si>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</si>
  <si>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</si>
  <si>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</si>
  <si>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</si>
  <si>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</si>
  <si>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</si>
  <si>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</si>
  <si>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</si>
  <si>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</si>
  <si>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</si>
  <si>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</si>
  <si>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</si>
  <si>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</si>
  <si>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</si>
  <si>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</si>
  <si>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</si>
  <si>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</si>
  <si>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</si>
  <si>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</si>
  <si>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</si>
  <si>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</si>
  <si>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</si>
  <si>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</si>
  <si>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</si>
  <si>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</si>
  <si>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</si>
  <si>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</si>
  <si>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</si>
  <si>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</si>
  <si>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</si>
  <si>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</si>
  <si>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</si>
  <si>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</si>
  <si>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</si>
  <si>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</si>
  <si>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</si>
  <si>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</si>
  <si>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</si>
  <si>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</si>
  <si>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</si>
  <si>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</si>
  <si>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</si>
  <si>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</si>
  <si>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</si>
  <si>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</si>
  <si>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</si>
  <si>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</si>
  <si>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</si>
  <si>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</si>
  <si>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</si>
  <si>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</si>
  <si>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</si>
  <si>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</si>
  <si>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</si>
  <si>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</si>
  <si>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</si>
  <si>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</si>
  <si>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</si>
  <si>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</si>
  <si>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</si>
  <si>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</si>
  <si>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</si>
  <si>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</si>
  <si>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</si>
  <si>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</si>
  <si>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</si>
  <si>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</si>
  <si>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</si>
  <si>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</si>
  <si>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</si>
  <si>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</si>
  <si>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</si>
  <si>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</si>
  <si>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</si>
  <si>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</si>
  <si>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</si>
  <si>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</si>
  <si>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</si>
  <si>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</si>
  <si>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</si>
  <si>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</si>
  <si>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</si>
  <si>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</si>
  <si>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</si>
  <si>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</si>
  <si>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</si>
  <si>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</si>
  <si>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</si>
  <si>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</si>
  <si>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</si>
  <si>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</si>
  <si>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</si>
  <si>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</si>
  <si>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</si>
  <si>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</si>
  <si>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</si>
  <si>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</si>
  <si>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</si>
  <si>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</si>
  <si>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</si>
  <si>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</si>
  <si>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</si>
  <si>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</si>
  <si>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</si>
  <si>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</si>
  <si>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</si>
  <si>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</si>
  <si>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</si>
  <si>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</si>
  <si>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</si>
  <si>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</si>
  <si>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</si>
  <si>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</si>
  <si>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</si>
  <si>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</si>
  <si>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</si>
  <si>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</si>
  <si>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</si>
  <si>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</si>
  <si>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</si>
  <si>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</si>
  <si>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</si>
  <si>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</si>
  <si>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</si>
  <si>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</si>
  <si>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</si>
  <si>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</si>
  <si>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</si>
  <si>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</si>
  <si>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</si>
  <si>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</si>
  <si>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</si>
  <si>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</si>
  <si>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</si>
  <si>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</si>
  <si>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</si>
  <si>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</si>
  <si>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</si>
  <si>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</si>
  <si>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</si>
  <si>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</si>
  <si>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</si>
  <si>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</si>
  <si>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</si>
  <si>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</si>
  <si>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</si>
  <si>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</si>
  <si>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</si>
  <si>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</si>
  <si>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</si>
  <si>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</si>
  <si>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</si>
  <si>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</si>
  <si>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</si>
  <si>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</si>
  <si>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</si>
  <si>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</si>
  <si>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</si>
  <si>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</si>
  <si>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</si>
  <si>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</si>
  <si>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</si>
  <si>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</si>
  <si>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</si>
  <si>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</si>
  <si>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</si>
  <si>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</si>
  <si>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</si>
  <si>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</si>
  <si>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</si>
  <si>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</si>
  <si>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</si>
  <si>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</si>
  <si>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</si>
  <si>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</si>
  <si>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</si>
  <si>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</si>
  <si>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</si>
  <si>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</si>
  <si>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</si>
  <si>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</si>
  <si>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</si>
  <si>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</si>
  <si>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</si>
  <si>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</si>
  <si>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</si>
  <si>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</si>
  <si>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</si>
  <si>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</si>
  <si>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</si>
  <si>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</si>
  <si>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</si>
  <si>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</si>
  <si>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</si>
  <si>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</si>
  <si>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</si>
  <si>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</si>
  <si>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</si>
  <si>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</si>
  <si>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</si>
  <si>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</si>
  <si>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</si>
  <si>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</si>
  <si>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</si>
  <si>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</si>
  <si>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</si>
  <si>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</si>
  <si>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</si>
  <si>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</si>
  <si>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</si>
  <si>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</si>
  <si>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</si>
  <si>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</si>
  <si>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</si>
  <si>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</si>
  <si>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</si>
  <si>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</si>
  <si>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</si>
  <si>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</si>
  <si>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</si>
  <si>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</si>
  <si>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</si>
  <si>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</si>
  <si>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</si>
  <si>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</si>
  <si>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</si>
  <si>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</si>
  <si>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</si>
  <si>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</si>
  <si>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</si>
  <si>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</si>
  <si>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</si>
  <si>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</si>
  <si>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</si>
  <si>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</si>
  <si>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</si>
  <si>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</si>
  <si>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</si>
  <si>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</si>
  <si>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</si>
  <si>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</si>
  <si>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</si>
  <si>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</si>
  <si>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</si>
  <si>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</si>
  <si>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</si>
  <si>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</si>
  <si>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</si>
  <si>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</si>
  <si>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</si>
  <si>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</si>
  <si>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</si>
  <si>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</si>
  <si>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</si>
  <si>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</si>
  <si>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</si>
  <si>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</si>
  <si>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</si>
  <si>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</si>
  <si>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</si>
  <si>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</si>
  <si>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</si>
  <si>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</si>
  <si>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</si>
  <si>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</si>
  <si>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</si>
  <si>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</si>
  <si>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</si>
  <si>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</si>
  <si>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</si>
  <si>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</si>
  <si>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</si>
  <si>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</si>
  <si>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</si>
  <si>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</si>
  <si>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</si>
  <si>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</si>
  <si>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</si>
  <si>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</si>
  <si>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</si>
  <si>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</si>
  <si>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</si>
  <si>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</si>
  <si>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</si>
  <si>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</si>
  <si>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</si>
  <si>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</si>
  <si>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</si>
  <si>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</si>
  <si>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</si>
  <si>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</si>
  <si>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</si>
  <si>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</si>
  <si>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</si>
  <si>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</si>
  <si>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</si>
  <si>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</si>
  <si>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</si>
  <si>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</si>
  <si>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</si>
  <si>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</si>
  <si>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</si>
  <si>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</si>
  <si>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</si>
  <si>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</si>
  <si>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</si>
  <si>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</si>
  <si>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</si>
  <si>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</si>
  <si>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</si>
  <si>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</si>
  <si>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</si>
  <si>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</si>
  <si>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</si>
  <si>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</si>
  <si>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</si>
  <si>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</si>
  <si>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</si>
  <si>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</si>
  <si>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</si>
  <si>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</si>
  <si>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</si>
  <si>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</si>
  <si>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</si>
  <si>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</si>
  <si>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</si>
  <si>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</si>
  <si>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</si>
  <si>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</si>
  <si>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</si>
  <si>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</si>
  <si>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</si>
  <si>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</si>
  <si>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</si>
  <si>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</si>
  <si>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</si>
  <si>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</si>
  <si>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</si>
  <si>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</si>
  <si>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</si>
  <si>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</si>
  <si>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</si>
  <si>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</si>
  <si>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</si>
  <si>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</si>
  <si>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</si>
  <si>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</si>
  <si>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</si>
  <si>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</si>
  <si>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</si>
  <si>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</si>
  <si>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</si>
  <si>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</si>
  <si>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</si>
  <si>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</si>
  <si>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</si>
  <si>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</si>
  <si>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</si>
  <si>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</si>
  <si>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</si>
  <si>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</si>
  <si>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</si>
  <si>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</si>
  <si>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</si>
  <si>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</si>
  <si>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</si>
  <si>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</si>
  <si>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</si>
  <si>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</si>
  <si>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</si>
  <si>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</si>
  <si>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</si>
  <si>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</si>
  <si>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</si>
  <si>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</si>
  <si>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</si>
  <si>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</si>
  <si>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</si>
  <si>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</si>
  <si>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</si>
  <si>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</si>
  <si>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</si>
  <si>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</si>
  <si>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</si>
  <si>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</si>
  <si>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</si>
  <si>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</si>
  <si>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</si>
  <si>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</si>
  <si>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</si>
  <si>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</si>
  <si>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</si>
  <si>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</si>
  <si>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</si>
  <si>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</si>
  <si>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</si>
  <si>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</si>
  <si>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</si>
  <si>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</si>
  <si>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</si>
  <si>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</si>
  <si>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</si>
  <si>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</si>
  <si>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</si>
  <si>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</si>
  <si>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</si>
  <si>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</si>
  <si>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</si>
  <si>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</si>
  <si>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</si>
  <si>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</si>
  <si>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</si>
  <si>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</si>
  <si>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</si>
  <si>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</si>
  <si>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</si>
  <si>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</si>
  <si>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</si>
  <si>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</si>
  <si>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</si>
  <si>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</si>
  <si>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</si>
  <si>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</si>
  <si>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</si>
  <si>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</si>
  <si>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</si>
  <si>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</si>
  <si>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</si>
  <si>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</si>
  <si>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</si>
  <si>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</si>
  <si>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</si>
  <si>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</si>
  <si>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</si>
  <si>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</si>
  <si>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</si>
  <si>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</si>
  <si>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</si>
  <si>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</si>
  <si>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</si>
  <si>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</si>
  <si>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</si>
  <si>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</si>
  <si>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</si>
  <si>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</si>
  <si>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</si>
  <si>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</si>
  <si>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</si>
  <si>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</si>
  <si>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</si>
  <si>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</si>
  <si>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</si>
  <si>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</si>
  <si>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</si>
  <si>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</si>
  <si>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</si>
  <si>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</si>
  <si>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</si>
  <si>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</si>
  <si>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</si>
  <si>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</si>
  <si>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</si>
  <si>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</si>
  <si>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</si>
  <si>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</si>
  <si>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</si>
  <si>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</si>
  <si>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</si>
  <si>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</si>
  <si>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</si>
  <si>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</si>
  <si>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</si>
  <si>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</si>
  <si>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</si>
  <si>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</si>
  <si>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</si>
  <si>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</si>
  <si>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</si>
  <si>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</si>
  <si>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</si>
  <si>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</si>
  <si>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</si>
  <si>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</si>
  <si>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</si>
  <si>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</si>
  <si>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</si>
  <si>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</si>
  <si>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</si>
  <si>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</si>
  <si>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</si>
  <si>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</si>
  <si>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</si>
  <si>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</si>
  <si>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</si>
  <si>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</si>
  <si>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</si>
  <si>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</si>
  <si>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</si>
  <si>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</si>
  <si>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</si>
  <si>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</si>
  <si>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</si>
  <si>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</si>
  <si>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</si>
  <si>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</si>
  <si>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</si>
  <si>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</si>
  <si>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</si>
  <si>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</si>
  <si>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</si>
  <si>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</si>
  <si>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</si>
  <si>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</si>
  <si>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</si>
  <si>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</si>
  <si>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</si>
  <si>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</si>
  <si>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</si>
  <si>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</si>
  <si>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</si>
  <si>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</si>
  <si>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</si>
  <si>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</si>
  <si>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</si>
  <si>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</si>
  <si>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</si>
  <si>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</si>
  <si>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</si>
  <si>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</si>
  <si>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</si>
  <si>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</si>
  <si>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</si>
  <si>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</si>
  <si>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</si>
  <si>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</si>
  <si>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</si>
  <si>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</si>
  <si>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</si>
  <si>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</si>
  <si>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</si>
  <si>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</si>
  <si>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</si>
  <si>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</si>
  <si>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</si>
  <si>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</si>
  <si>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</si>
  <si>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</si>
  <si>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</si>
  <si>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</si>
  <si>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</si>
  <si>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</si>
  <si>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</si>
  <si>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</si>
  <si>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</si>
  <si>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</si>
  <si>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</si>
  <si>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</si>
  <si>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</si>
  <si>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</si>
  <si>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</si>
  <si>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</si>
  <si>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</si>
  <si>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</si>
  <si>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</si>
  <si>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</si>
  <si>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</si>
  <si>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</si>
  <si>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</si>
  <si>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</si>
  <si>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</si>
  <si>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</si>
  <si>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</si>
  <si>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</si>
  <si>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</si>
  <si>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</si>
  <si>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</si>
  <si>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</si>
  <si>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</si>
  <si>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</si>
  <si>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</si>
  <si>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</si>
  <si>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</si>
  <si>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</si>
  <si>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</si>
  <si>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</si>
  <si>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</si>
  <si>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</si>
  <si>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</si>
  <si>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</si>
  <si>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</si>
  <si>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</si>
  <si>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</si>
  <si>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</si>
  <si>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</si>
  <si>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</si>
  <si>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</si>
  <si>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</si>
  <si>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</si>
  <si>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</si>
  <si>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</si>
  <si>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</si>
  <si>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</si>
  <si>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</si>
  <si>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</si>
  <si>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</si>
  <si>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</si>
  <si>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</si>
  <si>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</si>
  <si>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</si>
  <si>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</si>
  <si>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</si>
  <si>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</si>
  <si>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</si>
  <si>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</si>
  <si>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</si>
  <si>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</si>
  <si>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</si>
  <si>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</si>
  <si>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</si>
  <si>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</si>
  <si>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</si>
  <si>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</si>
  <si>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</si>
  <si>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</si>
  <si>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</si>
  <si>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</si>
  <si>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</si>
  <si>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</si>
  <si>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</si>
  <si>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</si>
  <si>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</si>
  <si>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</si>
  <si>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</si>
  <si>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</si>
  <si>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</si>
  <si>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</si>
  <si>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</si>
  <si>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</si>
  <si>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</si>
  <si>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</si>
  <si>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</si>
  <si>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</si>
  <si>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</si>
  <si>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</si>
  <si>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</si>
  <si>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</si>
  <si>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</si>
  <si>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</si>
  <si>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</si>
  <si>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</si>
  <si>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</si>
  <si>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</si>
  <si>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</si>
  <si>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</si>
  <si>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</si>
  <si>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</si>
  <si>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</si>
  <si>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</si>
  <si>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</si>
  <si>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</si>
  <si>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</si>
  <si>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</si>
  <si>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</si>
  <si>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</si>
  <si>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</si>
  <si>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</si>
  <si>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</si>
  <si>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</si>
  <si>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</si>
  <si>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</si>
  <si>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</si>
  <si>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</si>
  <si>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</si>
  <si>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</si>
  <si>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</si>
  <si>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</si>
  <si>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</si>
  <si>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</si>
  <si>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</si>
  <si>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</si>
  <si>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</si>
  <si>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</si>
  <si>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</si>
  <si>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</si>
  <si>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</si>
  <si>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</si>
  <si>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</si>
  <si>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</si>
  <si>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</si>
  <si>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</si>
  <si>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</si>
  <si>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</si>
  <si>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</si>
  <si>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</si>
  <si>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</si>
  <si>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</si>
  <si>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</si>
  <si>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</si>
  <si>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</si>
  <si>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</si>
  <si>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</si>
  <si>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</si>
  <si>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</si>
  <si>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</si>
  <si>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</si>
  <si>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</si>
  <si>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</si>
  <si>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</si>
  <si>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</si>
  <si>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</si>
  <si>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</si>
  <si>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</si>
  <si>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</si>
  <si>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</si>
  <si>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</si>
  <si>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</si>
  <si>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</si>
  <si>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</si>
  <si>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</si>
  <si>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</si>
  <si>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</si>
  <si>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</si>
  <si>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</si>
  <si>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</si>
  <si>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</si>
  <si>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</si>
  <si>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</si>
  <si>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</si>
  <si>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</si>
  <si>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</si>
  <si>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</si>
  <si>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</si>
  <si>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</si>
  <si>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</si>
  <si>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</si>
  <si>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</si>
  <si>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</si>
  <si>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</si>
  <si>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</si>
  <si>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</si>
  <si>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</si>
  <si>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</si>
  <si>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</si>
  <si>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</si>
  <si>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</si>
  <si>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</si>
  <si>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</si>
  <si>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</si>
  <si>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</si>
  <si>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</si>
  <si>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</si>
  <si>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</si>
  <si>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</si>
  <si>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</si>
  <si>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</si>
  <si>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</si>
  <si>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</si>
  <si>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</si>
  <si>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</si>
  <si>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</si>
  <si>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</si>
  <si>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</si>
  <si>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</si>
  <si>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</si>
  <si>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</si>
  <si>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</si>
  <si>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</si>
  <si>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</si>
  <si>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</si>
  <si>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</si>
  <si>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</si>
  <si>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</si>
  <si>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</si>
  <si>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</si>
  <si>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</si>
  <si>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</si>
  <si>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</si>
  <si>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</si>
  <si>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</si>
  <si>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</si>
  <si>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</si>
  <si>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</si>
  <si>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</si>
  <si>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</si>
  <si>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</si>
  <si>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</si>
  <si>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</si>
  <si>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</si>
  <si>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</si>
  <si>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</si>
  <si>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</si>
  <si>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</si>
  <si>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</si>
  <si>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</si>
  <si>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</si>
  <si>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</si>
  <si>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</si>
  <si>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</si>
  <si>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</si>
  <si>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</si>
  <si>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</si>
  <si>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</si>
  <si>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</si>
  <si>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</si>
  <si>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</si>
  <si>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</si>
  <si>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</si>
  <si>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</si>
  <si>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</si>
  <si>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</si>
  <si>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</si>
  <si>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</si>
  <si>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</si>
  <si>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</si>
  <si>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</si>
  <si>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</si>
  <si>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</si>
  <si>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</si>
  <si>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</si>
  <si>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</si>
  <si>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</si>
  <si>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</si>
  <si>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</si>
  <si>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</si>
  <si>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</si>
  <si>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</si>
  <si>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</si>
  <si>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</si>
  <si>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</si>
  <si>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</si>
  <si>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</si>
  <si>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</si>
  <si>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</si>
  <si>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</si>
  <si>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</si>
  <si>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</si>
  <si>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</si>
  <si>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</si>
  <si>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</si>
  <si>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</si>
  <si>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</si>
  <si>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</si>
  <si>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</si>
  <si>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</si>
  <si>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</si>
  <si>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</si>
  <si>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</si>
  <si>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</si>
  <si>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</si>
  <si>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</si>
  <si>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</si>
  <si>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</si>
  <si>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</si>
  <si>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</si>
  <si>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</si>
  <si>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</si>
  <si>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</si>
  <si>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</si>
  <si>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</si>
  <si>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</si>
  <si>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</si>
  <si>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</si>
  <si>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</si>
  <si>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</si>
  <si>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</si>
  <si>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</si>
  <si>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</si>
  <si>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</si>
  <si>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</si>
  <si>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</si>
  <si>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</si>
  <si>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</si>
  <si>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</si>
  <si>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</si>
  <si>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</si>
  <si>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</si>
  <si>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</si>
  <si>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</si>
  <si>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</si>
  <si>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</si>
  <si>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</si>
  <si>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</si>
  <si>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</si>
  <si>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</si>
  <si>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</si>
  <si>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</si>
  <si>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</si>
  <si>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</si>
  <si>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</si>
  <si>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</si>
  <si>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</si>
  <si>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</si>
  <si>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</si>
  <si>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</si>
  <si>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</si>
  <si>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</si>
  <si>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</si>
  <si>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</si>
  <si>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</si>
  <si>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</si>
  <si>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</si>
  <si>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</si>
  <si>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</si>
  <si>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</si>
  <si>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</si>
  <si>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</si>
  <si>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</si>
  <si>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</si>
  <si>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</si>
  <si>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</si>
  <si>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</si>
  <si>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</si>
  <si>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</si>
  <si>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</si>
  <si>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</si>
  <si>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</si>
  <si>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</si>
  <si>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</si>
  <si>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</si>
  <si>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</si>
  <si>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</si>
  <si>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</si>
  <si>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</si>
  <si>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</si>
  <si>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</si>
  <si>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</si>
  <si>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</si>
  <si>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</si>
  <si>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</si>
  <si>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</si>
  <si>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</si>
  <si>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</si>
  <si>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</si>
  <si>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</si>
  <si>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</si>
  <si>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</si>
  <si>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</si>
  <si>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</si>
  <si>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</si>
  <si>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</si>
  <si>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</si>
  <si>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</si>
  <si>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</si>
  <si>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</si>
  <si>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</si>
  <si>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</si>
  <si>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</si>
  <si>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</si>
  <si>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</si>
  <si>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</si>
  <si>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</si>
  <si>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</si>
  <si>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</si>
  <si>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</si>
  <si>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</si>
  <si>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</si>
  <si>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</si>
  <si>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</si>
  <si>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</si>
  <si>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</si>
  <si>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</si>
  <si>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</si>
  <si>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</si>
  <si>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</si>
  <si>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</si>
  <si>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</si>
  <si>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</si>
  <si>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</si>
  <si>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</si>
  <si>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</si>
  <si>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</si>
  <si>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</si>
  <si>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</si>
  <si>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</si>
  <si>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</si>
  <si>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</si>
  <si>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</si>
  <si>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</si>
  <si>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</si>
  <si>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</si>
  <si>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</si>
  <si>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</si>
  <si>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</si>
  <si>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</si>
  <si>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</si>
  <si>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</si>
  <si>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</si>
  <si>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</si>
  <si>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</si>
  <si>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</si>
  <si>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</si>
  <si>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</si>
  <si>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</si>
  <si>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</si>
  <si>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</si>
  <si>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</si>
  <si>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</si>
  <si>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</si>
  <si>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</si>
  <si>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</si>
  <si>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</si>
  <si>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</si>
  <si>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</si>
  <si>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</si>
  <si>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</si>
  <si>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</si>
  <si>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</si>
  <si>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</si>
  <si>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</si>
  <si>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</si>
  <si>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</si>
  <si>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</si>
  <si>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</si>
  <si>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</si>
  <si>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</si>
  <si>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</si>
  <si>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</si>
  <si>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</si>
  <si>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</si>
  <si>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</si>
  <si>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</si>
  <si>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</si>
  <si>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</si>
  <si>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</si>
  <si>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</si>
  <si>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</si>
  <si>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</si>
  <si>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</si>
  <si>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</si>
  <si>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</si>
  <si>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</si>
  <si>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</si>
  <si>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</si>
  <si>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</si>
  <si>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</si>
  <si>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</si>
  <si>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</si>
  <si>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</si>
  <si>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</si>
  <si>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</si>
  <si>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</si>
  <si>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</si>
  <si>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</si>
  <si>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</si>
  <si>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</si>
  <si>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</si>
  <si>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</si>
  <si>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</si>
  <si>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</si>
  <si>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</si>
  <si>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</si>
  <si>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</si>
  <si>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</si>
  <si>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</si>
  <si>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</si>
  <si>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</si>
  <si>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</si>
  <si>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</si>
  <si>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</si>
  <si>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</si>
  <si>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</si>
  <si>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</si>
  <si>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</si>
  <si>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</si>
  <si>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</si>
  <si>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</si>
  <si>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</si>
  <si>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</si>
  <si>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</si>
  <si>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</si>
  <si>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</si>
  <si>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</si>
  <si>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</si>
  <si>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</si>
  <si>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</si>
  <si>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</si>
  <si>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</si>
  <si>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</si>
  <si>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</si>
  <si>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</si>
  <si>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</si>
  <si>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</si>
  <si>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</si>
  <si>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</si>
  <si>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</si>
  <si>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</si>
  <si>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</si>
  <si>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</si>
  <si>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</si>
  <si>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</si>
  <si>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</si>
  <si>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</si>
  <si>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</si>
  <si>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</si>
  <si>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</si>
  <si>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</si>
  <si>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</si>
  <si>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</si>
  <si>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</si>
  <si>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</si>
  <si>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</si>
  <si>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</si>
  <si>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</si>
  <si>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</si>
  <si>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</si>
  <si>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</si>
  <si>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</si>
  <si>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</si>
  <si>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</si>
  <si>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</si>
  <si>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</si>
  <si>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</si>
  <si>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</si>
  <si>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</si>
  <si>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</si>
  <si>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</si>
  <si>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</si>
  <si>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</si>
  <si>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</si>
  <si>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</si>
  <si>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</si>
  <si>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</si>
  <si>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</si>
  <si>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</si>
  <si>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</si>
  <si>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</si>
  <si>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</si>
  <si>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</si>
  <si>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</si>
  <si>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</si>
  <si>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</si>
  <si>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</si>
  <si>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</si>
  <si>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</si>
  <si>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</si>
  <si>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</si>
  <si>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</si>
  <si>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</si>
  <si>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</si>
  <si>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</si>
  <si>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</si>
  <si>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</si>
  <si>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</si>
  <si>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</si>
  <si>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</si>
  <si>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</si>
  <si>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</si>
  <si>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</si>
  <si>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</si>
  <si>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</si>
  <si>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</si>
  <si>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</si>
  <si>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</si>
  <si>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</si>
  <si>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</si>
  <si>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</si>
  <si>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</si>
  <si>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</si>
  <si>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</si>
  <si>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</si>
  <si>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</si>
  <si>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</si>
  <si>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</si>
  <si>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</si>
  <si>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</si>
  <si>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</si>
  <si>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</si>
  <si>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</si>
  <si>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</si>
  <si>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</si>
  <si>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</si>
  <si>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</si>
  <si>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</si>
  <si>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</si>
  <si>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</si>
  <si>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</si>
  <si>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</si>
  <si>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</si>
  <si>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</si>
  <si>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</si>
  <si>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</si>
  <si>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</si>
  <si>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</si>
  <si>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</si>
  <si>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</si>
  <si>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</si>
  <si>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</si>
  <si>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</si>
  <si>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</si>
  <si>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</si>
  <si>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</si>
  <si>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</si>
  <si>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</si>
  <si>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</si>
  <si>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</si>
  <si>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</si>
  <si>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</si>
  <si>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</si>
  <si>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</si>
  <si>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</si>
  <si>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</si>
  <si>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</si>
  <si>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</si>
  <si>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</si>
  <si>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</si>
  <si>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</si>
  <si>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</si>
  <si>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</si>
  <si>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</si>
  <si>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</si>
  <si>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</si>
  <si>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</si>
  <si>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</si>
  <si>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</si>
  <si>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</si>
  <si>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</si>
  <si>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</si>
  <si>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</si>
  <si>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</si>
  <si>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</si>
  <si>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</si>
  <si>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</si>
  <si>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</si>
  <si>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</si>
  <si>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</si>
  <si>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</si>
  <si>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</si>
  <si>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</si>
  <si>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</si>
  <si>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</si>
  <si>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</si>
  <si>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</si>
  <si>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</si>
  <si>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</si>
  <si>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</si>
  <si>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</si>
  <si>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</si>
  <si>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</si>
  <si>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</si>
  <si>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</si>
  <si>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</si>
  <si>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</si>
  <si>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</si>
  <si>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</si>
  <si>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</si>
  <si>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</si>
  <si>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</si>
  <si>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</si>
  <si>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</si>
  <si>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</si>
  <si>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</si>
  <si>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</si>
  <si>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</si>
  <si>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</si>
  <si>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</si>
  <si>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</si>
  <si>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</si>
  <si>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</si>
  <si>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</si>
  <si>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</si>
  <si>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</si>
  <si>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</si>
  <si>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</si>
  <si>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</si>
  <si>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</si>
  <si>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</si>
  <si>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</si>
  <si>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</si>
  <si>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</si>
  <si>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</si>
  <si>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</si>
  <si>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</si>
  <si>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</si>
  <si>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</si>
  <si>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</si>
  <si>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</si>
  <si>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</si>
  <si>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</si>
  <si>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</si>
  <si>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</si>
  <si>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</si>
  <si>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</si>
  <si>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</si>
  <si>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</si>
  <si>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</si>
  <si>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</si>
  <si>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</si>
  <si>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</si>
  <si>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</si>
  <si>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</si>
  <si>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</si>
  <si>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</si>
  <si>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</si>
  <si>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</si>
  <si>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</si>
  <si>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</si>
  <si>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</si>
  <si>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</si>
  <si>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</si>
  <si>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</si>
  <si>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</si>
  <si>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</si>
  <si>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</si>
  <si>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</si>
  <si>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</si>
  <si>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</si>
  <si>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</si>
  <si>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</si>
  <si>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</si>
  <si>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</si>
  <si>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</si>
  <si>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</si>
  <si>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</si>
  <si>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</si>
  <si>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</si>
  <si>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</si>
  <si>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</si>
  <si>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</si>
  <si>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</si>
  <si>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</si>
  <si>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</si>
  <si>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</si>
  <si>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</si>
  <si>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</si>
  <si>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</si>
  <si>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</si>
  <si>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</si>
  <si>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</si>
  <si>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</si>
  <si>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</si>
  <si>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</si>
  <si>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</si>
  <si>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</si>
  <si>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</si>
  <si>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</si>
  <si>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</si>
  <si>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</si>
  <si>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</si>
  <si>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</si>
  <si>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</si>
  <si>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</si>
  <si>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</si>
  <si>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</si>
  <si>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</si>
  <si>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</si>
  <si>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</si>
  <si>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</si>
  <si>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</si>
  <si>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</si>
  <si>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</si>
  <si>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</si>
  <si>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</si>
  <si>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</si>
  <si>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</si>
  <si>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</si>
  <si>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</si>
  <si>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</si>
  <si>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</si>
  <si>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</si>
  <si>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</si>
  <si>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</si>
  <si>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</si>
  <si>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</si>
  <si>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</si>
  <si>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</si>
  <si>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</si>
  <si>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</si>
  <si>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</si>
  <si>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</si>
  <si>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</si>
  <si>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</si>
  <si>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</si>
  <si>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</si>
  <si>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</si>
  <si>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</si>
  <si>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</si>
  <si>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</si>
  <si>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</si>
  <si>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</si>
  <si>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</si>
  <si>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</si>
  <si>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</si>
  <si>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</si>
  <si>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</si>
  <si>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</si>
  <si>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</si>
  <si>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</si>
  <si>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</si>
  <si>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</si>
  <si>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</si>
  <si>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</si>
  <si>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</si>
  <si>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</si>
  <si>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</si>
  <si>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</si>
  <si>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</si>
  <si>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</si>
  <si>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</si>
  <si>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</si>
  <si>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</si>
  <si>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</si>
  <si>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</si>
  <si>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</si>
  <si>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</si>
  <si>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</si>
  <si>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</si>
  <si>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</si>
  <si>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</si>
  <si>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</si>
  <si>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</si>
  <si>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</si>
  <si>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</si>
  <si>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</si>
  <si>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</si>
  <si>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</si>
  <si>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</si>
  <si>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</si>
  <si>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</si>
  <si>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</si>
  <si>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</si>
  <si>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</si>
  <si>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</si>
  <si>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</si>
  <si>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</si>
  <si>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</si>
  <si>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</si>
  <si>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</si>
  <si>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</si>
  <si>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</si>
  <si>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</si>
  <si>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</si>
  <si>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</si>
  <si>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</si>
  <si>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</si>
  <si>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</si>
  <si>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</si>
  <si>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</si>
  <si>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</si>
  <si>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</si>
  <si>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</si>
  <si>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</si>
  <si>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</si>
  <si>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</si>
  <si>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</si>
  <si>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</si>
  <si>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</si>
  <si>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</si>
  <si>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</si>
  <si>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</si>
  <si>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</si>
  <si>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</si>
  <si>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</si>
  <si>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</si>
  <si>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</si>
  <si>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</si>
  <si>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</si>
  <si>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</si>
  <si>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</si>
  <si>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</si>
  <si>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</si>
  <si>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</si>
  <si>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</si>
  <si>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</si>
  <si>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</si>
  <si>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</si>
  <si>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</si>
  <si>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</si>
  <si>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</si>
  <si>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</si>
  <si>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</si>
  <si>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</si>
  <si>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</si>
  <si>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</si>
  <si>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</si>
  <si>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</si>
  <si>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</si>
  <si>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</si>
  <si>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</si>
  <si>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</si>
  <si>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</si>
  <si>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</si>
  <si>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</si>
  <si>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</si>
  <si>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</si>
  <si>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</si>
  <si>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</si>
  <si>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</si>
  <si>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</si>
  <si>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</si>
  <si>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</si>
  <si>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</si>
  <si>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</si>
  <si>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</si>
  <si>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</si>
  <si>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</si>
  <si>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</si>
  <si>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</si>
  <si>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</si>
  <si>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</si>
  <si>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</si>
  <si>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</si>
  <si>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</si>
  <si>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</si>
  <si>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</si>
  <si>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</si>
  <si>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</si>
  <si>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</si>
  <si>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</si>
  <si>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</si>
  <si>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</si>
  <si>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</si>
  <si>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</si>
  <si>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</si>
  <si>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</si>
  <si>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</si>
  <si>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</si>
  <si>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</si>
  <si>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</si>
  <si>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</si>
  <si>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</si>
  <si>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</si>
  <si>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</si>
  <si>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</si>
  <si>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</si>
  <si>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</si>
  <si>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</si>
  <si>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</si>
  <si>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</si>
  <si>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</si>
  <si>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</si>
  <si>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</si>
  <si>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</si>
  <si>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</si>
  <si>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</si>
  <si>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</si>
  <si>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</si>
  <si>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</si>
  <si>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</si>
  <si>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</si>
  <si>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</si>
  <si>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</si>
  <si>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</si>
  <si>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</si>
  <si>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</si>
  <si>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</si>
  <si>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</si>
  <si>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</si>
  <si>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</si>
  <si>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</si>
  <si>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</si>
  <si>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</si>
  <si>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</si>
  <si>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</si>
  <si>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</si>
  <si>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</si>
  <si>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</si>
  <si>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</si>
  <si>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</si>
  <si>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</si>
  <si>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</si>
  <si>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</si>
  <si>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</si>
  <si>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</si>
  <si>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</si>
  <si>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</si>
  <si>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</si>
  <si>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</si>
  <si>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</si>
  <si>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</si>
  <si>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</si>
  <si>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</si>
  <si>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</si>
  <si>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</si>
  <si>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</si>
  <si>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</si>
  <si>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</si>
  <si>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</si>
  <si>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</si>
  <si>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</si>
  <si>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</si>
  <si>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</si>
  <si>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</si>
  <si>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</si>
  <si>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</si>
  <si>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</si>
  <si>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</si>
  <si>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</si>
  <si>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</si>
  <si>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</si>
  <si>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</si>
  <si>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</si>
  <si>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</si>
  <si>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</si>
  <si>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</si>
  <si>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</si>
  <si>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</si>
  <si>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</si>
  <si>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</si>
  <si>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</si>
  <si>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</si>
  <si>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</si>
  <si>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</si>
  <si>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</si>
  <si>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</si>
  <si>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</si>
  <si>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</si>
  <si>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</si>
  <si>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</si>
  <si>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</si>
  <si>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</si>
  <si>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</si>
  <si>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</si>
  <si>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</si>
  <si>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</si>
  <si>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</si>
  <si>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</si>
  <si>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</si>
  <si>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</si>
  <si>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</si>
  <si>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</si>
  <si>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</si>
  <si>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</si>
  <si>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</si>
  <si>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</si>
  <si>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</si>
  <si>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</si>
  <si>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</si>
  <si>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</si>
  <si>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</si>
  <si>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</si>
  <si>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</si>
  <si>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</si>
  <si>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</si>
  <si>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</si>
  <si>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</si>
  <si>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</si>
  <si>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</si>
  <si>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</si>
  <si>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</si>
  <si>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</si>
  <si>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</si>
  <si>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</si>
  <si>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</si>
  <si>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</si>
  <si>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</si>
  <si>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</si>
  <si>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</si>
  <si>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</si>
  <si>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</si>
  <si>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</si>
  <si>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</si>
  <si>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</si>
  <si>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</si>
  <si>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</si>
  <si>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</si>
  <si>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</si>
  <si>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</si>
  <si>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</si>
  <si>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</si>
  <si>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</si>
  <si>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</si>
  <si>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</si>
  <si>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</si>
  <si>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</si>
  <si>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</si>
  <si>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</si>
  <si>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</si>
  <si>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</si>
  <si>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</si>
  <si>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</si>
  <si>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</si>
  <si>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</si>
  <si>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</si>
  <si>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</si>
  <si>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</si>
  <si>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</si>
  <si>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</si>
  <si>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</si>
  <si>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</si>
  <si>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</si>
  <si>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</si>
  <si>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</si>
  <si>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</si>
  <si>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</si>
  <si>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</si>
  <si>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</si>
  <si>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</si>
  <si>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</si>
  <si>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</si>
  <si>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</si>
  <si>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</si>
  <si>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</si>
  <si>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</si>
  <si>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</si>
  <si>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</si>
  <si>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</si>
  <si>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</si>
  <si>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</si>
  <si>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</si>
  <si>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</si>
  <si>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</si>
  <si>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</si>
  <si>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</si>
  <si>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</si>
  <si>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</si>
  <si>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</si>
  <si>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</si>
  <si>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</si>
  <si>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</si>
  <si>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</si>
  <si>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</si>
  <si>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</si>
  <si>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</si>
  <si>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</si>
  <si>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</si>
  <si>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</si>
  <si>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</si>
  <si>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</si>
  <si>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</si>
  <si>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</si>
  <si>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</si>
  <si>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</si>
  <si>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</si>
  <si>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</si>
  <si>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</si>
  <si>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</si>
  <si>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</si>
  <si>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</si>
  <si>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</si>
  <si>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</si>
  <si>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</si>
  <si>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</si>
  <si>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</si>
  <si>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</si>
  <si>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</si>
  <si>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</si>
  <si>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</si>
  <si>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</si>
  <si>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</si>
  <si>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</si>
  <si>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</si>
  <si>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</si>
  <si>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</si>
  <si>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</si>
  <si>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</si>
  <si>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</si>
  <si>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</si>
  <si>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</si>
  <si>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</si>
  <si>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</si>
  <si>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</si>
  <si>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</si>
  <si>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</si>
  <si>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</si>
  <si>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</si>
  <si>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</si>
  <si>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</si>
  <si>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</si>
  <si>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</si>
  <si>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</si>
  <si>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</si>
  <si>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</si>
  <si>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</si>
  <si>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</si>
  <si>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</si>
  <si>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</si>
  <si>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</si>
  <si>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</si>
  <si>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</si>
  <si>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</si>
  <si>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</si>
  <si>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</si>
  <si>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</si>
  <si>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</si>
  <si>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</si>
  <si>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</si>
  <si>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</si>
  <si>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</si>
  <si>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</si>
  <si>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</si>
  <si>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</si>
  <si>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</si>
  <si>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</si>
  <si>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</si>
  <si>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</si>
  <si>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</si>
  <si>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</si>
  <si>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</si>
  <si>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</si>
  <si>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</si>
  <si>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</si>
  <si>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</si>
  <si>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</si>
  <si>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</si>
  <si>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</si>
  <si>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</si>
  <si>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</si>
  <si>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</si>
  <si>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</si>
  <si>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</si>
  <si>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</si>
  <si>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</si>
  <si>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</si>
  <si>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</si>
  <si>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</si>
  <si>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</si>
  <si>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</si>
  <si>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</si>
  <si>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</si>
  <si>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</si>
  <si>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</si>
  <si>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</si>
  <si>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</si>
  <si>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</si>
  <si>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</si>
  <si>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</si>
  <si>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</si>
  <si>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</si>
  <si>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</si>
  <si>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</si>
  <si>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</si>
  <si>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</si>
  <si>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</si>
  <si>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</si>
  <si>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</si>
  <si>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</si>
  <si>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</si>
  <si>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</si>
  <si>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</si>
  <si>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</si>
  <si>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</si>
  <si>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</si>
  <si>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</si>
  <si>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</si>
  <si>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</si>
  <si>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</si>
  <si>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</si>
  <si>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</si>
  <si>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</si>
  <si>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</si>
  <si>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</si>
  <si>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</si>
  <si>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</si>
  <si>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</si>
  <si>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</si>
  <si>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</si>
  <si>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</si>
  <si>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</si>
  <si>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</si>
  <si>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</si>
  <si>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</si>
  <si>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</si>
  <si>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</si>
  <si>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</si>
  <si>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</si>
  <si>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</si>
  <si>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</si>
  <si>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</si>
  <si>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</si>
  <si>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</si>
  <si>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</si>
  <si>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</si>
  <si>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</si>
  <si>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</si>
  <si>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</si>
  <si>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</si>
  <si>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</si>
  <si>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</si>
  <si>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</si>
  <si>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</si>
  <si>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</si>
  <si>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</si>
  <si>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</si>
  <si>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</si>
  <si>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</si>
  <si>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</si>
  <si>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</si>
  <si>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</si>
  <si>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</si>
  <si>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</si>
  <si>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</si>
  <si>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</si>
  <si>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</si>
  <si>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</si>
  <si>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</si>
  <si>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</si>
  <si>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</si>
  <si>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</si>
  <si>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</si>
  <si>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</si>
  <si>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</si>
  <si>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</si>
  <si>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</si>
  <si>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</si>
  <si>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</si>
  <si>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</si>
  <si>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</si>
  <si>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</si>
  <si>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</si>
  <si>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</si>
  <si>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</si>
  <si>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</si>
  <si>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</si>
  <si>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</si>
  <si>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</si>
  <si>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</si>
  <si>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</si>
  <si>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</si>
  <si>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</si>
  <si>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</si>
  <si>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</si>
  <si>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</si>
  <si>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</si>
  <si>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</si>
  <si>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</si>
  <si>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</si>
  <si>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</si>
  <si>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</si>
  <si>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</si>
  <si>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</si>
  <si>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</si>
  <si>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</si>
  <si>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</si>
  <si>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</si>
  <si>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</si>
  <si>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</si>
  <si>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</si>
  <si>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</si>
  <si>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</si>
  <si>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</si>
  <si>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</si>
  <si>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</si>
  <si>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</si>
  <si>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</si>
  <si>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</si>
  <si>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</si>
  <si>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</si>
  <si>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</si>
  <si>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</si>
  <si>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</si>
  <si>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</si>
  <si>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</si>
  <si>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</si>
  <si>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</si>
  <si>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</si>
  <si>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</si>
  <si>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</si>
  <si>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</si>
  <si>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</si>
  <si>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</si>
  <si>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</si>
  <si>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</si>
  <si>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</si>
  <si>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</si>
  <si>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</si>
  <si>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</si>
  <si>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</si>
  <si>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</si>
  <si>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</si>
  <si>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</si>
  <si>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</si>
  <si>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</si>
  <si>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</si>
  <si>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</si>
  <si>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</si>
  <si>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</si>
  <si>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</si>
  <si>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</si>
  <si>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</si>
  <si>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</si>
  <si>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</si>
  <si>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</si>
  <si>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</si>
  <si>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</si>
  <si>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</si>
  <si>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</si>
  <si>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</si>
  <si>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</si>
  <si>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</si>
  <si>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</si>
  <si>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</si>
  <si>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</si>
  <si>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</si>
  <si>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</si>
  <si>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</si>
  <si>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</si>
  <si>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</si>
  <si>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</si>
  <si>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</si>
  <si>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</si>
  <si>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</si>
  <si>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</si>
  <si>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</si>
  <si>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</si>
  <si>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</si>
  <si>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</si>
  <si>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</si>
  <si>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</si>
  <si>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</si>
  <si>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</si>
  <si>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</si>
  <si>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</si>
  <si>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</si>
  <si>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</si>
  <si>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</si>
  <si>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</si>
  <si>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</si>
  <si>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</si>
  <si>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</si>
  <si>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</si>
  <si>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</si>
  <si>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</si>
  <si>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</si>
  <si>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</si>
  <si>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</si>
  <si>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</si>
  <si>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</si>
  <si>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</si>
  <si>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</si>
  <si>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</si>
  <si>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</si>
  <si>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</si>
  <si>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</si>
  <si>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</si>
  <si>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</si>
  <si>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</si>
  <si>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</si>
  <si>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</si>
  <si>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</si>
  <si>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</si>
  <si>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</si>
  <si>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</si>
  <si>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</si>
  <si>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</si>
  <si>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</si>
  <si>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</si>
  <si>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</si>
  <si>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</si>
  <si>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</si>
  <si>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</si>
  <si>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</si>
  <si>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</si>
  <si>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</si>
  <si>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</si>
  <si>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</si>
  <si>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</si>
  <si>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</si>
  <si>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</si>
  <si>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</si>
  <si>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</si>
  <si>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</si>
  <si>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</si>
  <si>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</si>
  <si>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</si>
  <si>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</si>
  <si>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</si>
  <si>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</si>
  <si>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</si>
  <si>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</si>
  <si>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</si>
  <si>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</si>
  <si>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</si>
  <si>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</si>
  <si>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</si>
  <si>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</si>
  <si>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</si>
  <si>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</si>
  <si>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</si>
  <si>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</si>
  <si>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</si>
  <si>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</si>
  <si>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</si>
  <si>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</si>
  <si>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</si>
  <si>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</si>
  <si>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</si>
  <si>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</si>
  <si>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</si>
  <si>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</si>
  <si>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</si>
  <si>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</si>
  <si>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</si>
  <si>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</si>
  <si>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</si>
  <si>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</si>
  <si>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</si>
  <si>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</si>
  <si>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</si>
  <si>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</si>
  <si>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</si>
  <si>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</si>
  <si>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</si>
  <si>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</si>
  <si>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</si>
  <si>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</si>
  <si>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</si>
  <si>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</si>
  <si>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</si>
  <si>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</si>
  <si>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</si>
  <si>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</si>
  <si>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</si>
  <si>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</si>
  <si>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</si>
  <si>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</si>
  <si>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</si>
  <si>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</si>
  <si>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</si>
  <si>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</si>
  <si>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</si>
  <si>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</si>
  <si>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</si>
  <si>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</si>
  <si>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</si>
  <si>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</si>
  <si>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</si>
  <si>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</si>
  <si>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</si>
  <si>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</si>
  <si>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</si>
  <si>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</si>
  <si>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</si>
  <si>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</si>
  <si>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</si>
  <si>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</si>
  <si>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</si>
  <si>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</si>
  <si>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</si>
  <si>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</si>
  <si>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</si>
  <si>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</si>
  <si>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</si>
  <si>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</si>
  <si>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</si>
  <si>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</si>
  <si>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</si>
  <si>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</si>
  <si>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</si>
  <si>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</si>
  <si>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</si>
  <si>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</si>
  <si>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</si>
  <si>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</si>
  <si>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</si>
  <si>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</si>
  <si>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</si>
  <si>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</si>
  <si>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</si>
  <si>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</si>
  <si>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</si>
  <si>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</si>
  <si>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</si>
  <si>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</si>
  <si>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</si>
  <si>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</si>
  <si>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</si>
  <si>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</si>
  <si>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</si>
  <si>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</si>
  <si>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</si>
  <si>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</si>
  <si>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</si>
  <si>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</si>
  <si>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</si>
  <si>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</si>
  <si>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</si>
  <si>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</si>
  <si>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</si>
  <si>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</si>
  <si>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</si>
  <si>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</si>
  <si>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</si>
  <si>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</si>
  <si>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</si>
  <si>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</si>
  <si>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</si>
  <si>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</si>
  <si>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</si>
  <si>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</si>
  <si>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</si>
  <si>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</si>
  <si>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</si>
  <si>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</si>
  <si>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</si>
  <si>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</si>
  <si>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</si>
  <si>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</si>
  <si>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</si>
  <si>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</si>
  <si>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</si>
  <si>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</si>
  <si>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</si>
  <si>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</si>
  <si>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</si>
  <si>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</si>
  <si>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</si>
  <si>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</si>
  <si>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</si>
  <si>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</si>
  <si>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</si>
  <si>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</si>
  <si>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</si>
  <si>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</si>
  <si>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</si>
  <si>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</si>
  <si>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</si>
  <si>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</si>
  <si>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</si>
  <si>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</si>
  <si>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</si>
  <si>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</si>
  <si>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</si>
  <si>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</si>
  <si>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</si>
  <si>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</si>
  <si>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</si>
  <si>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</si>
  <si>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</si>
  <si>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</si>
  <si>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</si>
  <si>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</si>
  <si>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</si>
  <si>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</si>
  <si>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</si>
  <si>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</si>
  <si>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</si>
  <si>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</si>
  <si>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</si>
  <si>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</si>
  <si>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</si>
  <si>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</si>
  <si>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</si>
  <si>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</si>
  <si>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</si>
  <si>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</si>
  <si>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</si>
  <si>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</si>
  <si>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</si>
  <si>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</si>
  <si>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</si>
  <si>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</si>
  <si>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</si>
  <si>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</si>
  <si>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</si>
  <si>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</si>
  <si>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</si>
  <si>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</si>
  <si>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</si>
  <si>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</si>
  <si>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</si>
  <si>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</si>
  <si>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</si>
  <si>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</si>
  <si>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</si>
  <si>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</si>
  <si>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</si>
  <si>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</si>
  <si>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</si>
  <si>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</si>
  <si>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</si>
  <si>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</si>
  <si>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</si>
  <si>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</si>
  <si>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</si>
  <si>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</si>
  <si>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</si>
  <si>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</si>
  <si>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</si>
  <si>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</si>
  <si>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</si>
  <si>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</si>
  <si>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</si>
  <si>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</si>
  <si>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</si>
  <si>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</si>
  <si>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</si>
  <si>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</si>
  <si>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</si>
  <si>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</si>
  <si>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</si>
  <si>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</si>
  <si>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</si>
  <si>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</si>
  <si>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</si>
  <si>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</si>
  <si>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</si>
  <si>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</si>
  <si>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</si>
  <si>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</si>
  <si>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</si>
  <si>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</si>
  <si>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</si>
  <si>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</si>
  <si>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</si>
  <si>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</si>
  <si>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</si>
  <si>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</si>
  <si>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</si>
  <si>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</si>
  <si>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</si>
  <si>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</si>
  <si>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</si>
  <si>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</si>
  <si>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</si>
  <si>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</si>
  <si>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</si>
  <si>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</si>
  <si>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</si>
  <si>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</si>
  <si>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</si>
  <si>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</si>
  <si>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</si>
  <si>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</si>
  <si>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</si>
  <si>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</si>
  <si>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</si>
  <si>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</si>
  <si>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</si>
  <si>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</si>
  <si>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</si>
  <si>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</si>
  <si>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</si>
  <si>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</si>
  <si>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</si>
  <si>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</si>
  <si>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</si>
  <si>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</si>
  <si>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</si>
  <si>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</si>
  <si>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</si>
  <si>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</si>
  <si>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</si>
  <si>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</si>
  <si>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</si>
  <si>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</si>
  <si>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</si>
  <si>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</si>
  <si>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</si>
  <si>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</si>
  <si>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</si>
  <si>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</si>
  <si>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</si>
  <si>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</si>
  <si>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</si>
  <si>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</si>
  <si>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</si>
  <si>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</si>
  <si>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</si>
  <si>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</si>
  <si>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</si>
  <si>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</si>
  <si>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</si>
  <si>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</si>
  <si>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</si>
  <si>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</si>
  <si>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</si>
  <si>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</si>
  <si>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</si>
  <si>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</si>
  <si>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</si>
  <si>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</si>
  <si>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</si>
  <si>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</si>
  <si>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</si>
  <si>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</si>
  <si>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</si>
  <si>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</si>
  <si>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</si>
  <si>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</si>
  <si>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</si>
  <si>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</si>
  <si>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</si>
  <si>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</si>
  <si>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</si>
  <si>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</si>
  <si>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</si>
  <si>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</si>
  <si>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</si>
  <si>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</si>
  <si>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</si>
  <si>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</si>
  <si>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</si>
  <si>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</si>
  <si>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</si>
  <si>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</si>
  <si>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</si>
  <si>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</si>
  <si>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</si>
  <si>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</si>
  <si>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</si>
  <si>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</si>
  <si>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</si>
  <si>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</si>
  <si>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</si>
  <si>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</si>
  <si>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</si>
  <si>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</si>
  <si>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</si>
  <si>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</si>
  <si>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</si>
  <si>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</si>
  <si>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</si>
  <si>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</si>
  <si>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</si>
  <si>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</si>
  <si>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</si>
  <si>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</si>
  <si>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</si>
  <si>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</si>
  <si>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</si>
  <si>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</si>
  <si>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</si>
  <si>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</si>
  <si>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</si>
  <si>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</si>
  <si>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</si>
  <si>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</si>
  <si>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</si>
  <si>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</si>
  <si>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</si>
  <si>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</si>
  <si>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</si>
  <si>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</si>
  <si>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</si>
  <si>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</si>
  <si>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</si>
  <si>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</si>
  <si>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</si>
  <si>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</si>
  <si>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</si>
  <si>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</si>
  <si>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</si>
  <si>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</si>
  <si>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</si>
  <si>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</si>
  <si>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</si>
  <si>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</si>
  <si>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</si>
  <si>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</si>
  <si>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</si>
  <si>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</si>
  <si>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</si>
  <si>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</si>
  <si>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</si>
  <si>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</si>
  <si>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</si>
  <si>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</si>
  <si>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</si>
  <si>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</si>
  <si>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</si>
  <si>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</si>
  <si>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</si>
  <si>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</si>
  <si>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</si>
  <si>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</si>
  <si>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</si>
  <si>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</si>
  <si>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</si>
  <si>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</si>
  <si>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</si>
  <si>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</si>
  <si>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</si>
  <si>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</si>
  <si>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</si>
  <si>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</si>
  <si>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</si>
  <si>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</si>
  <si>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</si>
  <si>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</si>
  <si>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</si>
  <si>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</si>
  <si>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</si>
  <si>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</si>
  <si>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</si>
  <si>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</si>
  <si>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</si>
  <si>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</si>
  <si>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</si>
  <si>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</si>
  <si>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</si>
  <si>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</si>
  <si>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</si>
  <si>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</si>
  <si>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</si>
  <si>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</si>
  <si>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</si>
  <si>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</si>
  <si>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</si>
  <si>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</si>
  <si>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</si>
  <si>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</si>
  <si>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</si>
  <si>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</si>
  <si>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</si>
  <si>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</si>
  <si>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</si>
  <si>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</si>
  <si>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</si>
  <si>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</si>
  <si>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</si>
  <si>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</si>
  <si>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</si>
  <si>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</si>
  <si>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</si>
  <si>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</si>
  <si>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</si>
  <si>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</si>
  <si>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</si>
  <si>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</si>
  <si>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</si>
  <si>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</si>
  <si>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</si>
  <si>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</si>
  <si>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</si>
  <si>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</si>
  <si>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</si>
  <si>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</si>
  <si>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</si>
  <si>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</si>
  <si>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</si>
  <si>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</si>
  <si>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</si>
  <si>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</si>
  <si>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</si>
  <si>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</si>
  <si>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</si>
  <si>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</si>
  <si>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</si>
  <si>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</si>
  <si>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</si>
  <si>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</si>
  <si>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</si>
  <si>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</si>
  <si>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</si>
  <si>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</si>
  <si>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</si>
  <si>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</si>
  <si>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</si>
  <si>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</si>
  <si>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</si>
  <si>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</si>
  <si>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</si>
  <si>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</si>
  <si>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</si>
  <si>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</si>
  <si>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</si>
  <si>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</si>
  <si>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</si>
  <si>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</si>
  <si>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</si>
  <si>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</si>
  <si>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</si>
  <si>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</si>
  <si>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</si>
  <si>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</si>
  <si>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</si>
  <si>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</si>
  <si>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</si>
  <si>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</si>
  <si>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</si>
  <si>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</si>
  <si>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</si>
  <si>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</si>
  <si>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</si>
  <si>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</si>
  <si>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</si>
  <si>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</si>
  <si>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</si>
  <si>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</si>
  <si>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</si>
  <si>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</si>
  <si>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</si>
  <si>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</si>
  <si>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</si>
  <si>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</si>
  <si>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</si>
  <si>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</si>
  <si>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</si>
  <si>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</si>
  <si>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</si>
  <si>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</si>
  <si>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</si>
  <si>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</si>
  <si>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</si>
  <si>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</si>
  <si>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</si>
  <si>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</si>
  <si>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</si>
  <si>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</si>
  <si>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</si>
  <si>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</si>
  <si>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</si>
  <si>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</si>
  <si>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</si>
  <si>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</si>
  <si>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</si>
  <si>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</si>
  <si>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</si>
  <si>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</si>
  <si>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</si>
  <si>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</si>
  <si>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</si>
  <si>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</si>
  <si>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</si>
  <si>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</si>
  <si>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</si>
  <si>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</si>
  <si>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</si>
  <si>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</si>
  <si>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</si>
  <si>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</si>
  <si>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</si>
  <si>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</si>
  <si>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</si>
  <si>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</si>
  <si>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</si>
  <si>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</si>
  <si>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</si>
  <si>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</si>
  <si>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</si>
  <si>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</si>
  <si>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</si>
  <si>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</si>
  <si>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</si>
  <si>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</si>
  <si>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</si>
  <si>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</si>
  <si>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</si>
  <si>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</si>
  <si>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</si>
  <si>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</si>
  <si>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</si>
  <si>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</si>
  <si>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</si>
  <si>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</si>
  <si>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</si>
  <si>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</si>
  <si>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</si>
  <si>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</si>
  <si>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</si>
  <si>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</si>
  <si>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</si>
  <si>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</si>
  <si>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</si>
  <si>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</si>
  <si>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</si>
  <si>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</si>
  <si>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</si>
  <si>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</si>
  <si>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</si>
  <si>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</si>
  <si>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</si>
  <si>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</si>
  <si>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</si>
  <si>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</si>
  <si>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</si>
  <si>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</si>
  <si>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</si>
  <si>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</si>
  <si>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</si>
  <si>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</si>
  <si>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</si>
  <si>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</si>
  <si>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</si>
  <si>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</si>
  <si>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</si>
  <si>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</si>
  <si>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</si>
  <si>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</si>
  <si>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</si>
  <si>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</si>
  <si>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</si>
  <si>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</si>
  <si>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</si>
  <si>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</si>
  <si>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</si>
  <si>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</si>
  <si>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</si>
  <si>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</si>
  <si>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</si>
  <si>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</si>
  <si>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</si>
  <si>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</si>
  <si>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</si>
  <si>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</si>
  <si>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</si>
  <si>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</si>
  <si>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</si>
  <si>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</si>
  <si>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</si>
  <si>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</si>
  <si>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</si>
  <si>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</si>
  <si>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</si>
  <si>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</si>
  <si>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</si>
  <si>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</si>
  <si>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</si>
  <si>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</si>
  <si>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</si>
  <si>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</si>
  <si>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</si>
  <si>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</si>
  <si>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</si>
  <si>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</si>
  <si>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</si>
  <si>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</si>
  <si>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</si>
  <si>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</si>
  <si>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</si>
  <si>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</si>
  <si>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</si>
  <si>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</si>
  <si>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</si>
  <si>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</si>
  <si>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</si>
  <si>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</si>
  <si>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</si>
  <si>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</si>
  <si>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</si>
  <si>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</si>
  <si>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</si>
  <si>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</si>
  <si>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</si>
  <si>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</si>
  <si>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</si>
  <si>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</si>
  <si>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</si>
  <si>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</si>
  <si>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</si>
  <si>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</si>
  <si>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</si>
  <si>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</si>
  <si>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</si>
  <si>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</si>
  <si>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</si>
  <si>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</si>
  <si>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</si>
  <si>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</si>
  <si>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</si>
  <si>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</si>
  <si>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</si>
  <si>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</si>
  <si>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</si>
  <si>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</si>
  <si>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</si>
  <si>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</si>
  <si>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</si>
  <si>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</si>
  <si>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</si>
  <si>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</si>
  <si>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</si>
  <si>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</si>
  <si>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</si>
  <si>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</si>
  <si>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</si>
  <si>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</si>
  <si>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</si>
  <si>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</si>
  <si>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</si>
  <si>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</si>
  <si>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</si>
  <si>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</si>
  <si>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</si>
  <si>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</si>
  <si>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</si>
  <si>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</si>
  <si>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</si>
  <si>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</si>
  <si>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</si>
  <si>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</si>
  <si>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</si>
  <si>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</si>
  <si>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</si>
  <si>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</si>
  <si>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</si>
  <si>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</si>
  <si>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</si>
  <si>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</si>
  <si>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</si>
  <si>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</si>
  <si>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</si>
  <si>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</si>
  <si>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</si>
  <si>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</si>
  <si>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</si>
  <si>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</si>
  <si>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</si>
  <si>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</si>
  <si>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</si>
  <si>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</si>
  <si>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</si>
  <si>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</si>
  <si>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</si>
  <si>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</si>
  <si>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</si>
  <si>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</si>
  <si>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</si>
  <si>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</si>
  <si>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</si>
  <si>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</si>
  <si>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</si>
  <si>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</si>
  <si>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</si>
  <si>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</si>
  <si>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</si>
  <si>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</si>
  <si>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</si>
  <si>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</si>
  <si>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</si>
  <si>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</si>
  <si>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</si>
  <si>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</si>
  <si>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</si>
  <si>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</si>
  <si>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</si>
  <si>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</si>
  <si>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</si>
  <si>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</si>
  <si>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</si>
  <si>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</si>
  <si>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</si>
  <si>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</si>
  <si>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</si>
  <si>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</si>
  <si>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</si>
  <si>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</si>
  <si>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</si>
  <si>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</si>
  <si>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</si>
  <si>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</si>
  <si>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</si>
  <si>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</si>
  <si>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</si>
  <si>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</si>
  <si>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</si>
  <si>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</si>
  <si>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</si>
  <si>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</si>
  <si>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</si>
  <si>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</si>
  <si>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</si>
  <si>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</si>
  <si>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</si>
  <si>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</si>
  <si>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</si>
  <si>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</si>
  <si>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</si>
  <si>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</si>
  <si>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</si>
  <si>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</si>
  <si>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</si>
  <si>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</si>
  <si>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</si>
  <si>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</si>
  <si>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</si>
  <si>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</si>
  <si>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</si>
  <si>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</si>
  <si>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</si>
  <si>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</si>
  <si>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</si>
  <si>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</si>
  <si>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</si>
  <si>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</si>
  <si>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</si>
  <si>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</si>
  <si>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</si>
  <si>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</si>
  <si>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</si>
  <si>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</si>
  <si>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</si>
  <si>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</si>
  <si>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</si>
  <si>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</si>
  <si>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</si>
  <si>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</si>
  <si>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</si>
  <si>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</si>
  <si>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</si>
  <si>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</si>
  <si>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</si>
  <si>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</si>
  <si>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</si>
  <si>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</si>
  <si>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</si>
  <si>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</si>
  <si>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</si>
  <si>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</si>
  <si>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</si>
  <si>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</si>
  <si>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</si>
  <si>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</si>
  <si>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</si>
  <si>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</si>
  <si>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</si>
  <si>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</si>
  <si>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</si>
  <si>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</si>
  <si>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</si>
  <si>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</si>
  <si>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</si>
  <si>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</si>
  <si>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</si>
  <si>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</si>
  <si>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</si>
  <si>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</si>
  <si>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</si>
  <si>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</si>
  <si>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</si>
  <si>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</si>
  <si>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</si>
  <si>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</si>
  <si>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</si>
  <si>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</si>
  <si>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</si>
  <si>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</si>
  <si>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</si>
  <si>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</si>
  <si>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</si>
  <si>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</si>
  <si>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</si>
  <si>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</si>
  <si>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</si>
  <si>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</si>
  <si>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</si>
  <si>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</si>
  <si>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</si>
  <si>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</si>
  <si>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</si>
  <si>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</si>
  <si>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</si>
  <si>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</si>
  <si>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</si>
  <si>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</si>
  <si>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</si>
  <si>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</si>
  <si>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</si>
  <si>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</si>
  <si>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</si>
  <si>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</si>
  <si>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</si>
  <si>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</si>
  <si>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</si>
  <si>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</si>
  <si>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</si>
  <si>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</si>
  <si>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</si>
  <si>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</si>
  <si>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</si>
  <si>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</si>
  <si>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</si>
  <si>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</si>
  <si>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</si>
  <si>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</si>
  <si>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</si>
  <si>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</si>
  <si>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</si>
  <si>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</si>
  <si>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</si>
  <si>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</si>
  <si>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</si>
  <si>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</si>
  <si>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</si>
  <si>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</si>
  <si>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</si>
  <si>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</si>
  <si>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</si>
  <si>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</si>
  <si>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</si>
  <si>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</si>
  <si>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</si>
  <si>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</si>
  <si>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</si>
  <si>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</si>
  <si>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</si>
  <si>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</si>
  <si>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</si>
  <si>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</si>
  <si>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</si>
  <si>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</si>
  <si>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</si>
  <si>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</si>
  <si>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</si>
  <si>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</si>
  <si>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</si>
  <si>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</si>
  <si>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</si>
  <si>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</si>
  <si>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</si>
  <si>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</si>
  <si>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</si>
  <si>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</si>
  <si>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</si>
  <si>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</si>
  <si>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</si>
  <si>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</si>
  <si>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</si>
  <si>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</si>
  <si>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</si>
  <si>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</si>
  <si>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</si>
  <si>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</si>
  <si>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</si>
  <si>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</si>
  <si>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</si>
  <si>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</si>
  <si>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</si>
  <si>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</si>
  <si>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</si>
  <si>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</si>
  <si>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</si>
  <si>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</si>
  <si>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</si>
  <si>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</si>
  <si>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</si>
  <si>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</si>
  <si>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</si>
  <si>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</si>
  <si>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</si>
  <si>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</si>
  <si>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</si>
  <si>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</si>
  <si>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</si>
  <si>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</si>
  <si>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</si>
  <si>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</si>
  <si>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</si>
  <si>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</si>
  <si>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</si>
  <si>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</si>
  <si>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</si>
  <si>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</si>
  <si>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</si>
  <si>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</si>
  <si>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</si>
  <si>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</si>
  <si>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</si>
  <si>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</si>
  <si>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</si>
  <si>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</si>
  <si>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</si>
  <si>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</si>
  <si>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</si>
  <si>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</si>
  <si>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</si>
  <si>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</si>
  <si>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</si>
  <si>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</si>
  <si>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</si>
  <si>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</si>
  <si>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</si>
  <si>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</si>
  <si>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</si>
  <si>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</si>
  <si>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</si>
  <si>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</si>
  <si>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</si>
  <si>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</si>
  <si>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</si>
  <si>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</si>
  <si>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</si>
  <si>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</si>
  <si>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</si>
  <si>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</si>
  <si>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</si>
  <si>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</si>
  <si>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</si>
  <si>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</si>
  <si>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</si>
  <si>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</si>
  <si>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</si>
  <si>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</si>
  <si>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</si>
  <si>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</si>
  <si>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</si>
  <si>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</si>
  <si>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</si>
  <si>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</si>
  <si>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</si>
  <si>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</si>
  <si>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</si>
  <si>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</si>
  <si>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</si>
  <si>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</si>
  <si>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</si>
  <si>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</si>
  <si>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</si>
  <si>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</si>
  <si>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</si>
  <si>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</si>
  <si>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</si>
  <si>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</si>
  <si>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</si>
  <si>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</si>
  <si>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</si>
  <si>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</si>
  <si>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</si>
  <si>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</si>
  <si>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</si>
  <si>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</si>
  <si>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</si>
  <si>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</si>
  <si>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</si>
  <si>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</si>
  <si>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</si>
  <si>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</si>
  <si>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</si>
  <si>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</si>
  <si>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</si>
  <si>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</si>
  <si>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</si>
  <si>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</si>
  <si>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</si>
  <si>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</si>
  <si>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</si>
  <si>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</si>
  <si>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</si>
  <si>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</si>
  <si>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</si>
  <si>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</si>
  <si>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</si>
  <si>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</si>
  <si>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</si>
  <si>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</si>
  <si>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</si>
  <si>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</si>
  <si>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</si>
  <si>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</si>
  <si>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</si>
  <si>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</si>
  <si>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</si>
  <si>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</si>
  <si>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</si>
  <si>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</si>
  <si>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</si>
  <si>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</si>
  <si>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</si>
  <si>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</si>
  <si>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</si>
  <si>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</si>
  <si>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</si>
  <si>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</si>
  <si>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</si>
  <si>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</si>
  <si>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</si>
  <si>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</si>
  <si>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</si>
  <si>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</si>
  <si>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</si>
  <si>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</si>
  <si>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</si>
  <si>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</si>
  <si>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</si>
  <si>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</si>
  <si>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</si>
  <si>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</si>
  <si>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</si>
  <si>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</si>
  <si>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</si>
  <si>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</si>
  <si>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</si>
  <si>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</si>
  <si>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</si>
  <si>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</si>
  <si>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</si>
  <si>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</si>
  <si>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</si>
  <si>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</si>
  <si>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</si>
  <si>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</si>
  <si>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</si>
  <si>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</si>
  <si>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</si>
  <si>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</si>
  <si>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</si>
  <si>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</si>
  <si>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</si>
  <si>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</si>
  <si>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</si>
  <si>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</si>
  <si>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</si>
  <si>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</si>
  <si>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</si>
  <si>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</si>
  <si>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</si>
  <si>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</si>
  <si>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</si>
  <si>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</si>
  <si>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</si>
  <si>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</si>
  <si>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</si>
  <si>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</si>
  <si>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</si>
  <si>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</si>
  <si>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</si>
  <si>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</si>
  <si>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</si>
  <si>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</si>
  <si>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</si>
  <si>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</si>
  <si>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</si>
  <si>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</si>
  <si>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</si>
  <si>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</si>
  <si>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</si>
  <si>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</si>
  <si>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</si>
  <si>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</si>
  <si>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</si>
  <si>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</si>
  <si>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</si>
  <si>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</si>
  <si>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</si>
  <si>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</si>
  <si>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</si>
  <si>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</si>
  <si>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</si>
  <si>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</si>
  <si>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</si>
  <si>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</si>
  <si>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</si>
  <si>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</si>
  <si>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</si>
  <si>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</si>
  <si>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</si>
  <si>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</si>
  <si>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</si>
  <si>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</si>
  <si>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</si>
  <si>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</si>
  <si>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</si>
  <si>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</si>
  <si>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</si>
  <si>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</si>
  <si>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</si>
  <si>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</si>
  <si>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</si>
  <si>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</si>
  <si>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</si>
  <si>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</si>
  <si>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</si>
  <si>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</si>
  <si>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</si>
  <si>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</si>
  <si>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</si>
  <si>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</si>
  <si>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</si>
  <si>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</si>
  <si>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</si>
  <si>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</si>
  <si>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</si>
  <si>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</si>
  <si>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</si>
  <si>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</si>
  <si>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</si>
  <si>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</si>
  <si>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</si>
  <si>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</si>
  <si>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</si>
  <si>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</si>
  <si>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</si>
  <si>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</si>
  <si>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</si>
  <si>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</si>
  <si>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</si>
  <si>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</si>
  <si>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</si>
  <si>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</si>
  <si>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</si>
  <si>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</si>
  <si>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</si>
  <si>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</si>
  <si>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</si>
  <si>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</si>
  <si>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</si>
  <si>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</si>
  <si>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</si>
  <si>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</si>
  <si>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</si>
  <si>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</si>
  <si>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</si>
  <si>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</si>
  <si>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</si>
  <si>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</si>
  <si>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</si>
  <si>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</si>
  <si>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</si>
  <si>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</si>
  <si>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</si>
  <si>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</si>
  <si>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</si>
  <si>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</si>
  <si>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</si>
  <si>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</si>
  <si>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</si>
  <si>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</si>
  <si>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</si>
  <si>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</si>
  <si>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</si>
  <si>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</si>
  <si>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</si>
  <si>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</si>
  <si>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</si>
  <si>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</si>
  <si>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</si>
  <si>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</si>
  <si>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</si>
  <si>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</si>
  <si>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</si>
  <si>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</si>
  <si>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</si>
  <si>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</si>
  <si>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</si>
  <si>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</si>
  <si>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</si>
  <si>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</si>
  <si>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</si>
  <si>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</si>
  <si>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</si>
  <si>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</si>
  <si>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</si>
  <si>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</si>
  <si>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</si>
  <si>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</si>
  <si>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</si>
  <si>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</si>
  <si>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</si>
  <si>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</si>
  <si>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</si>
  <si>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</si>
  <si>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</si>
  <si>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</si>
  <si>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</si>
  <si>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</si>
  <si>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</si>
  <si>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</si>
  <si>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</si>
  <si>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</si>
  <si>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</si>
  <si>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</si>
  <si>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</si>
  <si>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</si>
  <si>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</si>
  <si>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</si>
  <si>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</si>
  <si>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</si>
  <si>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</si>
  <si>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</si>
  <si>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</si>
  <si>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</si>
  <si>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</si>
  <si>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</si>
  <si>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</si>
  <si>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</si>
  <si>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</si>
  <si>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</si>
  <si>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</si>
  <si>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</si>
  <si>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</si>
  <si>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</si>
  <si>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</si>
  <si>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</si>
  <si>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</si>
  <si>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</si>
  <si>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</si>
  <si>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</si>
  <si>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</si>
  <si>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</si>
  <si>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</si>
  <si>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</si>
  <si>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</si>
  <si>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</si>
  <si>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</si>
  <si>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</si>
  <si>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</si>
  <si>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</si>
  <si>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</si>
  <si>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</si>
  <si>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</si>
  <si>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</si>
  <si>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</si>
  <si>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</si>
  <si>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</si>
  <si>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</si>
  <si>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</si>
  <si>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</si>
  <si>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</si>
  <si>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</si>
  <si>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</si>
  <si>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</si>
  <si>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</si>
  <si>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</si>
  <si>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</si>
  <si>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</si>
  <si>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</si>
  <si>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</si>
  <si>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</si>
  <si>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</si>
  <si>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</si>
  <si>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</si>
  <si>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</si>
  <si>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</si>
  <si>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</si>
  <si>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</si>
  <si>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</si>
  <si>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</si>
  <si>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</si>
  <si>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</si>
  <si>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</si>
  <si>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</si>
  <si>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</si>
  <si>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</si>
  <si>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</si>
  <si>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</si>
  <si>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</si>
  <si>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</si>
  <si>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</si>
  <si>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</si>
  <si>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</si>
  <si>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</si>
  <si>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</si>
  <si>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</si>
  <si>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</si>
  <si>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</si>
  <si>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</si>
  <si>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</si>
  <si>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</si>
  <si>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</si>
  <si>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</si>
  <si>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</si>
  <si>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</si>
  <si>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</si>
  <si>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</si>
  <si>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</si>
  <si>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</si>
  <si>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</si>
  <si>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</si>
  <si>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</si>
  <si>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</si>
  <si>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</si>
  <si>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</si>
  <si>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</si>
  <si>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</si>
  <si>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</si>
  <si>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</si>
  <si>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</si>
  <si>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</si>
  <si>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</si>
  <si>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</si>
  <si>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</si>
  <si>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</si>
  <si>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</si>
  <si>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</si>
  <si>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</si>
  <si>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</si>
  <si>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</si>
  <si>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</si>
  <si>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</si>
  <si>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</si>
  <si>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</si>
  <si>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</si>
  <si>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</si>
  <si>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</si>
  <si>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</si>
  <si>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</si>
  <si>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</si>
  <si>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</si>
  <si>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</si>
  <si>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</si>
  <si>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</si>
  <si>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</si>
  <si>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</si>
  <si>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</si>
  <si>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</si>
  <si>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</si>
  <si>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</si>
  <si>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</si>
  <si>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</si>
  <si>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</si>
  <si>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</si>
  <si>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</si>
  <si>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</si>
  <si>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</si>
  <si>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</si>
  <si>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</si>
  <si>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</si>
  <si>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</si>
  <si>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</si>
  <si>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</si>
  <si>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</si>
  <si>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</si>
  <si>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</si>
  <si>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</si>
  <si>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</si>
  <si>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</si>
  <si>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</si>
  <si>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</si>
  <si>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</si>
  <si>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</si>
  <si>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</si>
  <si>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</si>
  <si>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</si>
  <si>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</si>
  <si>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</si>
  <si>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</si>
  <si>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</si>
  <si>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</si>
  <si>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</si>
  <si>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</si>
  <si>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</si>
  <si>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</si>
  <si>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</si>
  <si>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</si>
  <si>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</si>
  <si>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</si>
  <si>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</si>
  <si>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</si>
  <si>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</si>
  <si>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</si>
  <si>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</si>
  <si>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</si>
  <si>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</si>
  <si>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</si>
  <si>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</si>
  <si>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</si>
  <si>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</si>
  <si>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</si>
  <si>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</si>
  <si>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</si>
  <si>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</si>
  <si>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</si>
  <si>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</si>
  <si>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</si>
  <si>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</si>
  <si>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</si>
  <si>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</si>
  <si>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</si>
  <si>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</si>
  <si>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</si>
  <si>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</si>
  <si>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</si>
  <si>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</si>
  <si>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</si>
  <si>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</si>
  <si>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</si>
  <si>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</si>
  <si>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</si>
  <si>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</si>
  <si>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</si>
  <si>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</si>
  <si>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</si>
  <si>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</si>
  <si>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</si>
  <si>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</si>
  <si>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</si>
  <si>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</si>
  <si>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</si>
  <si>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</si>
  <si>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</si>
  <si>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</si>
  <si>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</si>
  <si>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</si>
  <si>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</si>
  <si>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</si>
  <si>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</si>
  <si>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</si>
  <si>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</si>
  <si>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</si>
  <si>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</si>
  <si>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</si>
  <si>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</si>
  <si>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</si>
  <si>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</si>
  <si>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</si>
  <si>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</si>
  <si>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</si>
  <si>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</si>
  <si>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</si>
  <si>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</si>
  <si>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</si>
  <si>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</si>
  <si>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</si>
  <si>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</si>
  <si>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</si>
  <si>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</si>
  <si>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</si>
  <si>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</si>
  <si>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</si>
  <si>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</si>
  <si>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</si>
  <si>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</si>
  <si>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</si>
  <si>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</si>
  <si>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</si>
  <si>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</si>
  <si>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</si>
  <si>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</si>
  <si>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</si>
  <si>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</si>
  <si>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</si>
  <si>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</si>
  <si>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</si>
  <si>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</si>
  <si>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</si>
  <si>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</si>
  <si>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</si>
  <si>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</si>
  <si>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</si>
  <si>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</si>
  <si>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</si>
  <si>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</si>
  <si>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</si>
  <si>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</si>
  <si>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</si>
  <si>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</si>
  <si>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</si>
  <si>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</si>
  <si>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</si>
  <si>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</si>
  <si>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</si>
  <si>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</si>
  <si>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</si>
  <si>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</si>
  <si>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</si>
  <si>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</si>
  <si>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</si>
  <si>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</si>
  <si>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</si>
  <si>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</si>
  <si>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</si>
  <si>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</si>
  <si>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</si>
  <si>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</si>
  <si>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</si>
  <si>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</si>
  <si>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</si>
  <si>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</si>
  <si>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</si>
  <si>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</si>
  <si>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</si>
  <si>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</si>
  <si>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</si>
  <si>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</si>
  <si>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</si>
  <si>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</si>
  <si>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</si>
  <si>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</si>
  <si>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</si>
  <si>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</si>
  <si>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</si>
  <si>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</si>
  <si>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</si>
  <si>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</si>
  <si>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</si>
  <si>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</si>
  <si>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</si>
  <si>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</si>
  <si>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</si>
  <si>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</si>
  <si>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</si>
  <si>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</si>
  <si>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</si>
  <si>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</si>
  <si>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</si>
  <si>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</si>
  <si>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</si>
  <si>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</si>
  <si>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</si>
  <si>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</si>
  <si>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</si>
  <si>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</si>
  <si>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</si>
  <si>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</si>
  <si>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</si>
  <si>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</si>
  <si>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</si>
  <si>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</si>
  <si>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</si>
  <si>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</si>
  <si>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</si>
  <si>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</si>
  <si>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</si>
  <si>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</si>
  <si>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</si>
  <si>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</si>
  <si>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</si>
  <si>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</si>
  <si>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</si>
  <si>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</si>
  <si>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</si>
  <si>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</si>
  <si>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</si>
  <si>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</si>
  <si>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</si>
  <si>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</si>
  <si>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</si>
  <si>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</si>
  <si>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</si>
  <si>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</si>
  <si>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</si>
  <si>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</si>
  <si>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</si>
  <si>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</si>
  <si>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</si>
  <si>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</si>
  <si>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</si>
  <si>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</si>
  <si>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</si>
  <si>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</si>
  <si>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</si>
  <si>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</si>
  <si>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</si>
  <si>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</si>
  <si>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</si>
  <si>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</si>
  <si>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</si>
  <si>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</si>
  <si>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</si>
  <si>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</si>
  <si>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</si>
  <si>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</si>
  <si>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</si>
  <si>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</si>
  <si>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</si>
  <si>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</si>
  <si>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</si>
  <si>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</si>
  <si>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</si>
  <si>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</si>
  <si>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</si>
  <si>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</si>
  <si>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</si>
  <si>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</si>
  <si>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</si>
  <si>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</si>
  <si>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</si>
  <si>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</si>
  <si>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</si>
  <si>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</si>
  <si>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</si>
  <si>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</si>
  <si>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</si>
  <si>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</si>
  <si>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</si>
  <si>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</si>
  <si>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</si>
  <si>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</si>
  <si>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</si>
  <si>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</si>
  <si>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</si>
  <si>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</si>
  <si>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</si>
  <si>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</si>
  <si>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</si>
  <si>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</si>
  <si>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</si>
  <si>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</si>
  <si>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</si>
  <si>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</si>
  <si>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</si>
  <si>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</si>
  <si>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</si>
  <si>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</si>
  <si>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</si>
  <si>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</si>
  <si>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</si>
  <si>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</si>
  <si>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</si>
  <si>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</si>
  <si>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</si>
  <si>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</si>
  <si>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</si>
  <si>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</si>
  <si>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</si>
  <si>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</si>
  <si>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</si>
  <si>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</si>
  <si>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</si>
  <si>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</si>
  <si>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</si>
  <si>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</si>
  <si>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</si>
  <si>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</si>
  <si>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</si>
  <si>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</si>
  <si>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</si>
  <si>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</si>
  <si>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</si>
  <si>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</si>
  <si>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</si>
  <si>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</si>
  <si>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</si>
  <si>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</si>
  <si>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</si>
  <si>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</si>
  <si>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</si>
  <si>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</si>
  <si>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</si>
  <si>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</si>
  <si>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</si>
  <si>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</si>
  <si>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</si>
  <si>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</si>
  <si>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</si>
  <si>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</si>
  <si>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</si>
  <si>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</si>
  <si>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</si>
  <si>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</si>
  <si>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</si>
  <si>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</si>
  <si>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</si>
  <si>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</si>
  <si>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</si>
  <si>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</si>
  <si>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</si>
  <si>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</si>
  <si>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</si>
  <si>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</si>
  <si>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</si>
  <si>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</si>
  <si>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</si>
  <si>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</si>
  <si>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</si>
  <si>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</si>
  <si>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</si>
  <si>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</si>
  <si>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</si>
  <si>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</si>
  <si>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</si>
  <si>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</si>
  <si>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</si>
  <si>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</si>
  <si>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</si>
  <si>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</si>
  <si>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</si>
  <si>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</si>
  <si>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</si>
  <si>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</si>
  <si>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</si>
  <si>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</si>
  <si>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</si>
  <si>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</si>
  <si>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</si>
  <si>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</si>
  <si>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</si>
  <si>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</si>
  <si>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</si>
  <si>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</si>
  <si>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</si>
  <si>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</si>
  <si>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</si>
  <si>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</si>
  <si>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</si>
  <si>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</si>
  <si>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</si>
  <si>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</si>
  <si>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</si>
  <si>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</si>
  <si>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</si>
  <si>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</si>
  <si>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</si>
  <si>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</si>
  <si>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</si>
  <si>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</si>
  <si>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</si>
  <si>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</si>
  <si>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</si>
  <si>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</si>
  <si>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</si>
  <si>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</si>
  <si>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</si>
  <si>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</si>
  <si>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</si>
  <si>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</si>
  <si>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</si>
  <si>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</si>
  <si>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</si>
  <si>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</si>
  <si>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</si>
  <si>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</si>
  <si>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</si>
  <si>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</si>
  <si>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</si>
  <si>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</si>
  <si>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</si>
  <si>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</si>
  <si>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</si>
  <si>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</si>
  <si>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</si>
  <si>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</si>
  <si>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</si>
  <si>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</si>
  <si>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</si>
  <si>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</si>
  <si>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</si>
  <si>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</si>
  <si>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</si>
  <si>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</si>
  <si>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</si>
  <si>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</si>
  <si>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</si>
  <si>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</si>
  <si>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</si>
  <si>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</si>
  <si>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</si>
  <si>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</si>
  <si>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</si>
  <si>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</si>
  <si>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</si>
  <si>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</si>
  <si>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</si>
  <si>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</si>
  <si>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</si>
  <si>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</si>
  <si>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</si>
  <si>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</si>
  <si>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</si>
  <si>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</si>
  <si>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</si>
  <si>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</si>
  <si>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</si>
  <si>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</si>
  <si>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</si>
  <si>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</si>
  <si>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</si>
  <si>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</si>
  <si>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</si>
  <si>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</si>
  <si>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</si>
  <si>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</si>
  <si>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</si>
  <si>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</si>
  <si>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</si>
  <si>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</si>
  <si>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</si>
  <si>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</si>
  <si>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</si>
  <si>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</si>
  <si>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</si>
  <si>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</si>
  <si>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</si>
  <si>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</si>
  <si>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</si>
  <si>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</si>
  <si>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</si>
  <si>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</si>
  <si>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</si>
  <si>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</si>
  <si>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</si>
  <si>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</si>
  <si>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</si>
  <si>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</si>
  <si>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</si>
  <si>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</si>
  <si>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</si>
  <si>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</si>
  <si>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</si>
  <si>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</si>
  <si>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</si>
  <si>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</si>
  <si>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</si>
  <si>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</si>
  <si>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</si>
  <si>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</si>
  <si>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</si>
  <si>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</si>
  <si>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</si>
  <si>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</si>
  <si>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</si>
  <si>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</si>
  <si>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</si>
  <si>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</si>
  <si>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</si>
  <si>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</si>
  <si>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</si>
  <si>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</si>
  <si>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</si>
  <si>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</si>
  <si>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</si>
  <si>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</si>
  <si>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</si>
  <si>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</si>
  <si>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</si>
  <si>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</si>
  <si>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</si>
  <si>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</si>
  <si>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</si>
  <si>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</si>
  <si>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</si>
  <si>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</si>
  <si>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</si>
  <si>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</si>
  <si>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</si>
  <si>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</si>
  <si>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</si>
  <si>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</si>
  <si>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</si>
  <si>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</si>
  <si>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</si>
  <si>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</si>
  <si>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</si>
  <si>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</si>
  <si>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</si>
  <si>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</si>
  <si>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</si>
  <si>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</si>
  <si>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</si>
  <si>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</si>
  <si>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</si>
  <si>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</si>
  <si>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</si>
  <si>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</si>
  <si>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</si>
  <si>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</si>
  <si>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</si>
  <si>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</si>
  <si>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</si>
  <si>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</si>
  <si>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</si>
  <si>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</si>
  <si>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</si>
  <si>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</si>
  <si>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</si>
  <si>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</si>
  <si>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</si>
  <si>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</si>
  <si>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</si>
  <si>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</si>
  <si>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</si>
  <si>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</si>
  <si>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</si>
  <si>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</si>
  <si>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</si>
  <si>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</si>
  <si>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</si>
  <si>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</si>
  <si>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</si>
  <si>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</si>
  <si>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</si>
  <si>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</si>
  <si>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</si>
  <si>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</si>
  <si>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</si>
  <si>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</si>
  <si>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</si>
  <si>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</si>
  <si>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</si>
  <si>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</si>
  <si>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</si>
  <si>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</si>
  <si>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</si>
  <si>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</si>
  <si>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</si>
  <si>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</si>
  <si>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</si>
  <si>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</si>
  <si>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</si>
  <si>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</si>
  <si>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</si>
  <si>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</si>
  <si>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</si>
  <si>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</si>
  <si>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</si>
  <si>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</si>
  <si>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</si>
  <si>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</si>
  <si>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</si>
  <si>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</si>
  <si>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</si>
  <si>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</si>
  <si>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</si>
  <si>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</si>
  <si>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</si>
  <si>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</si>
  <si>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</si>
  <si>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</si>
  <si>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</si>
  <si>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</si>
  <si>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</si>
  <si>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</si>
  <si>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</si>
  <si>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</si>
  <si>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</si>
  <si>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</si>
  <si>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</si>
  <si>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</si>
  <si>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</si>
  <si>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</si>
  <si>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</si>
  <si>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</si>
  <si>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</si>
  <si>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</si>
  <si>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</si>
  <si>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</si>
  <si>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</si>
  <si>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</si>
  <si>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</si>
  <si>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</si>
  <si>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</si>
  <si>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</si>
  <si>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</si>
  <si>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</si>
  <si>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</si>
  <si>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</si>
  <si>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</si>
  <si>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</si>
  <si>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</si>
  <si>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</si>
  <si>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</si>
  <si>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</si>
  <si>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</si>
  <si>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</si>
  <si>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</si>
  <si>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</si>
  <si>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</si>
  <si>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</si>
  <si>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</si>
  <si>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</si>
  <si>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</si>
  <si>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</si>
  <si>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</si>
  <si>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</si>
  <si>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</si>
  <si>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</si>
  <si>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</si>
  <si>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</si>
  <si>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</si>
  <si>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</si>
  <si>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</si>
  <si>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</si>
  <si>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</si>
  <si>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</si>
  <si>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</si>
  <si>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</si>
  <si>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</si>
  <si>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</si>
  <si>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</si>
  <si>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</si>
  <si>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</si>
  <si>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</si>
  <si>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</si>
  <si>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</si>
  <si>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</si>
  <si>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</si>
  <si>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</si>
  <si>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</si>
  <si>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</si>
  <si>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</si>
  <si>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</si>
  <si>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</si>
  <si>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</si>
  <si>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</si>
  <si>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</si>
  <si>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</si>
  <si>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</si>
  <si>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</si>
  <si>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</si>
  <si>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</si>
  <si>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</si>
  <si>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</si>
  <si>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</si>
  <si>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</si>
  <si>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</si>
  <si>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</si>
  <si>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</si>
  <si>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</si>
  <si>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</si>
  <si>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</si>
  <si>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</si>
  <si>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</si>
  <si>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</si>
  <si>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</si>
  <si>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</si>
  <si>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</si>
  <si>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</si>
  <si>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</si>
  <si>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</si>
  <si>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</si>
  <si>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</si>
  <si>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</si>
  <si>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</si>
  <si>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</si>
  <si>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</si>
  <si>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</si>
  <si>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</si>
  <si>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</si>
  <si>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</si>
  <si>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</si>
  <si>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</si>
  <si>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</si>
  <si>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</si>
  <si>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</si>
  <si>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</si>
  <si>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</si>
  <si>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</si>
  <si>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</si>
  <si>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</si>
  <si>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</si>
  <si>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</si>
  <si>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</si>
  <si>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</si>
  <si>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</si>
  <si>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</si>
  <si>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</si>
  <si>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</si>
  <si>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</si>
  <si>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</si>
  <si>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</si>
  <si>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</si>
  <si>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</si>
  <si>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</si>
  <si>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</si>
  <si>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</si>
  <si>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</si>
  <si>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</si>
  <si>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</si>
  <si>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</si>
  <si>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</si>
  <si>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</si>
  <si>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</si>
  <si>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</si>
  <si>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</si>
  <si>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</si>
  <si>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</si>
  <si>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</si>
  <si>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</si>
  <si>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</si>
  <si>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</si>
  <si>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</si>
  <si>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</si>
  <si>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</si>
  <si>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</si>
  <si>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</si>
  <si>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</si>
  <si>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</si>
  <si>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</si>
  <si>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</si>
  <si>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</si>
  <si>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</si>
  <si>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</si>
  <si>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</si>
  <si>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</si>
  <si>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</si>
  <si>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</si>
  <si>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</si>
  <si>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</si>
  <si>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</si>
  <si>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</si>
  <si>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</si>
  <si>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</si>
  <si>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</si>
  <si>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</si>
  <si>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</si>
  <si>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</si>
  <si>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</si>
  <si>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</si>
  <si>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</si>
  <si>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</si>
  <si>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</si>
  <si>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</si>
  <si>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</si>
  <si>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</si>
  <si>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</si>
  <si>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</si>
  <si>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</si>
  <si>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</si>
  <si>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</si>
  <si>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</si>
  <si>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</si>
  <si>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</si>
  <si>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</si>
  <si>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</si>
  <si>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</si>
  <si>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</si>
  <si>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</si>
  <si>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</si>
  <si>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</si>
  <si>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</si>
  <si>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</si>
  <si>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</si>
  <si>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</si>
  <si>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</si>
  <si>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</si>
  <si>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</si>
  <si>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</si>
  <si>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</si>
  <si>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</si>
  <si>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</si>
  <si>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</si>
  <si>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</si>
  <si>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</si>
  <si>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</si>
  <si>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</si>
  <si>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</si>
  <si>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</si>
  <si>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</si>
  <si>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</si>
  <si>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</si>
  <si>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</si>
  <si>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</si>
  <si>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</si>
  <si>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</si>
  <si>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</si>
  <si>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</si>
  <si>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</si>
  <si>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</si>
  <si>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</si>
  <si>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</si>
  <si>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</si>
  <si>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</si>
  <si>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</si>
  <si>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</si>
  <si>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</si>
  <si>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</si>
  <si>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</si>
  <si>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</si>
  <si>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</si>
  <si>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</si>
  <si>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</si>
  <si>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</si>
  <si>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</si>
  <si>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</si>
  <si>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</si>
  <si>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</si>
  <si>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</si>
  <si>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</si>
  <si>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</si>
  <si>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</si>
  <si>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</si>
  <si>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</si>
  <si>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</si>
  <si>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</si>
  <si>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</si>
  <si>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</si>
  <si>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</si>
  <si>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</si>
  <si>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</si>
  <si>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</si>
  <si>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</si>
  <si>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</si>
  <si>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</si>
  <si>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</si>
  <si>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</si>
  <si>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</si>
  <si>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</si>
  <si>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</si>
  <si>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</si>
  <si>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</si>
  <si>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</si>
  <si>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</si>
  <si>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</si>
  <si>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</si>
  <si>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</si>
  <si>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</si>
  <si>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</si>
  <si>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</si>
  <si>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</si>
  <si>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</si>
  <si>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</si>
  <si>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</si>
  <si>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</si>
  <si>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</si>
  <si>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</si>
  <si>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</si>
  <si>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</si>
  <si>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</si>
  <si>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</si>
  <si>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</si>
  <si>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</si>
  <si>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</si>
  <si>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</si>
  <si>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</si>
  <si>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</si>
  <si>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</si>
  <si>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</si>
  <si>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</si>
  <si>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</si>
  <si>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</si>
  <si>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</si>
  <si>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</si>
  <si>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</si>
  <si>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</si>
  <si>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</si>
  <si>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</si>
  <si>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</si>
  <si>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</si>
  <si>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</si>
  <si>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</si>
  <si>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</si>
  <si>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</si>
  <si>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</si>
  <si>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</si>
  <si>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</si>
  <si>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</si>
  <si>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</si>
  <si>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</si>
  <si>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</si>
  <si>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</si>
  <si>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</si>
  <si>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</si>
  <si>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</si>
  <si>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</si>
  <si>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</si>
  <si>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</si>
  <si>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</si>
  <si>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</si>
  <si>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</si>
  <si>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</si>
  <si>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</si>
  <si>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</si>
  <si>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</si>
  <si>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</si>
  <si>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</si>
  <si>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</si>
  <si>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</si>
  <si>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</si>
  <si>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</si>
  <si>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</si>
  <si>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</si>
  <si>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</si>
  <si>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</si>
  <si>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</si>
  <si>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</si>
  <si>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</si>
  <si>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</si>
  <si>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</si>
  <si>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</si>
  <si>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</si>
  <si>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</si>
  <si>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</si>
  <si>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</si>
  <si>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</si>
  <si>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</si>
  <si>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</si>
  <si>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</si>
  <si>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</si>
  <si>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</si>
  <si>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</si>
  <si>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</si>
  <si>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</si>
  <si>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</si>
  <si>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</si>
  <si>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</si>
  <si>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</si>
  <si>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</si>
  <si>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</si>
  <si>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</si>
  <si>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</si>
  <si>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</si>
  <si>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</si>
  <si>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</si>
  <si>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</si>
  <si>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</si>
  <si>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</si>
  <si>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</si>
  <si>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</si>
  <si>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</si>
  <si>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</si>
  <si>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</si>
  <si>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</si>
  <si>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</si>
  <si>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</si>
  <si>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</si>
  <si>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</si>
  <si>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</si>
  <si>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</si>
  <si>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</si>
  <si>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</si>
  <si>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</si>
  <si>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</si>
  <si>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</si>
  <si>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</si>
  <si>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</si>
  <si>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</si>
  <si>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</si>
  <si>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</si>
  <si>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</si>
  <si>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</si>
  <si>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</si>
  <si>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</si>
  <si>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</si>
  <si>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</si>
  <si>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</si>
  <si>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</si>
  <si>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</si>
  <si>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</si>
  <si>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</si>
  <si>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</si>
  <si>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</si>
  <si>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</si>
  <si>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</si>
  <si>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</si>
  <si>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</si>
  <si>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</si>
  <si>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</si>
  <si>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</si>
  <si>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</si>
  <si>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</si>
  <si>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</si>
  <si>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</si>
  <si>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</si>
  <si>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</si>
  <si>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</si>
  <si>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</si>
  <si>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</si>
  <si>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</si>
  <si>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</si>
  <si>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</si>
  <si>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</si>
  <si>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</si>
  <si>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</si>
  <si>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</si>
  <si>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</si>
  <si>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</si>
  <si>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</si>
  <si>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</si>
  <si>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</si>
  <si>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</si>
  <si>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</si>
  <si>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</si>
  <si>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</si>
  <si>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</si>
  <si>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</si>
  <si>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</si>
  <si>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</si>
  <si>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</si>
  <si>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</si>
  <si>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</si>
  <si>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</si>
  <si>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</si>
  <si>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</si>
  <si>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</si>
  <si>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</si>
  <si>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</si>
  <si>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</si>
  <si>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</si>
  <si>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</si>
  <si>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</si>
  <si>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</si>
  <si>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</si>
  <si>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</si>
  <si>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</si>
  <si>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</si>
  <si>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</si>
  <si>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</si>
  <si>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</si>
  <si>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</si>
  <si>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</si>
  <si>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</si>
  <si>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</si>
  <si>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</si>
  <si>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</si>
  <si>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</si>
  <si>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</si>
  <si>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</si>
  <si>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</si>
  <si>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</si>
  <si>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</si>
  <si>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</si>
  <si>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</si>
  <si>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</si>
  <si>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</si>
  <si>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</si>
  <si>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</si>
  <si>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</si>
  <si>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</si>
  <si>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</si>
  <si>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</si>
  <si>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</si>
  <si>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</si>
  <si>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</si>
  <si>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</si>
  <si>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</si>
  <si>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</si>
  <si>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</si>
  <si>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</si>
  <si>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</si>
  <si>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</si>
  <si>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</si>
  <si>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</si>
  <si>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</si>
  <si>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</si>
  <si>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</si>
  <si>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</si>
  <si>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</si>
  <si>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</si>
  <si>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</si>
  <si>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</si>
  <si>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</si>
  <si>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</si>
  <si>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</si>
  <si>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</si>
  <si>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</si>
  <si>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</si>
  <si>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</si>
  <si>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</si>
  <si>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</si>
  <si>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</si>
  <si>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</si>
  <si>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</si>
  <si>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</si>
  <si>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</si>
  <si>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</si>
  <si>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</si>
  <si>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</si>
  <si>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</si>
  <si>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</si>
  <si>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</si>
  <si>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</si>
  <si>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</si>
  <si>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</si>
  <si>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</si>
  <si>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</si>
  <si>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</si>
  <si>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</si>
  <si>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</si>
  <si>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</si>
  <si>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</si>
  <si>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</si>
  <si>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</si>
  <si>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</si>
  <si>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</si>
  <si>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</si>
  <si>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</si>
  <si>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</si>
  <si>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</si>
  <si>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</si>
  <si>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</si>
  <si>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</si>
  <si>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</si>
  <si>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</si>
  <si>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</si>
  <si>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</si>
  <si>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</si>
  <si>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</si>
  <si>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</si>
  <si>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</si>
  <si>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</si>
  <si>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</si>
  <si>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</si>
  <si>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</si>
  <si>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</si>
  <si>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</si>
  <si>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</si>
  <si>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</si>
  <si>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</si>
  <si>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</si>
  <si>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</si>
  <si>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</si>
  <si>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</si>
  <si>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</si>
  <si>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</si>
  <si>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</si>
  <si>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</si>
  <si>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</si>
  <si>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</si>
  <si>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</si>
  <si>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</si>
  <si>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</si>
  <si>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</si>
  <si>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</si>
  <si>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</si>
  <si>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</si>
  <si>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</si>
  <si>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</si>
  <si>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</si>
  <si>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</si>
  <si>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</si>
  <si>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</si>
  <si>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</si>
  <si>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</si>
  <si>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</si>
  <si>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</si>
  <si>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</si>
  <si>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</si>
  <si>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</si>
  <si>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</si>
  <si>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</si>
  <si>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</si>
  <si>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</si>
  <si>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</si>
  <si>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</si>
  <si>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</si>
  <si>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</si>
  <si>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</si>
  <si>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</si>
  <si>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</si>
  <si>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</si>
  <si>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</si>
  <si>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</si>
  <si>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</si>
  <si>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</si>
  <si>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</si>
  <si>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</si>
  <si>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</si>
  <si>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</si>
  <si>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</si>
  <si>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</si>
  <si>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</si>
  <si>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</si>
  <si>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</si>
  <si>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</si>
  <si>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</si>
  <si>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</si>
  <si>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</si>
  <si>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</si>
  <si>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</si>
  <si>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</si>
  <si>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</si>
  <si>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</si>
  <si>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</si>
  <si>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</si>
  <si>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</si>
  <si>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</si>
  <si>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</si>
  <si>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</si>
  <si>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</si>
  <si>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</si>
  <si>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</si>
  <si>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</si>
  <si>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</si>
  <si>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</si>
  <si>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</si>
  <si>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</si>
  <si>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</si>
  <si>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</si>
  <si>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</si>
  <si>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</si>
  <si>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</si>
  <si>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</si>
  <si>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</si>
  <si>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</si>
  <si>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</si>
  <si>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</si>
  <si>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</si>
  <si>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</si>
  <si>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</si>
  <si>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</si>
  <si>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</si>
  <si>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</si>
  <si>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</si>
  <si>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</si>
  <si>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</si>
  <si>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</si>
  <si>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</si>
  <si>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</si>
  <si>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</si>
  <si>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</si>
  <si>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</si>
  <si>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</si>
  <si>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</si>
  <si>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</si>
  <si>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</si>
  <si>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</si>
  <si>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</si>
  <si>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</si>
  <si>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</si>
  <si>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</si>
  <si>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</si>
  <si>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</si>
  <si>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</si>
  <si>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</si>
  <si>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</si>
  <si>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</si>
  <si>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</si>
  <si>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</si>
  <si>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</si>
  <si>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</si>
  <si>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</si>
  <si>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</si>
  <si>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</si>
  <si>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</si>
  <si>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</si>
  <si>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</si>
  <si>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</si>
  <si>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</si>
  <si>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</si>
  <si>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</si>
  <si>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</si>
  <si>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</si>
  <si>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</si>
  <si>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</si>
  <si>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</si>
  <si>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</si>
  <si>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</si>
  <si>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</si>
  <si>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</si>
  <si>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</si>
  <si>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</si>
  <si>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</si>
  <si>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</si>
  <si>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</si>
  <si>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</si>
  <si>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</si>
  <si>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</si>
  <si>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</si>
  <si>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</si>
  <si>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</si>
  <si>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</si>
  <si>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</si>
  <si>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</si>
  <si>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</si>
  <si>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</si>
  <si>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</si>
  <si>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</si>
  <si>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</si>
  <si>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</si>
  <si>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</si>
  <si>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</si>
  <si>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</si>
  <si>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</si>
  <si>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</si>
  <si>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</si>
  <si>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</si>
  <si>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</si>
  <si>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</si>
  <si>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</si>
  <si>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</si>
  <si>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</si>
  <si>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</si>
  <si>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</si>
  <si>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</si>
  <si>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</si>
  <si>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</si>
  <si>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</si>
  <si>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</si>
  <si>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</si>
  <si>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</si>
  <si>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</si>
  <si>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</si>
  <si>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</si>
  <si>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</si>
  <si>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</si>
  <si>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</si>
  <si>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</si>
  <si>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</si>
  <si>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</si>
  <si>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</si>
  <si>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</si>
  <si>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</si>
  <si>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</si>
  <si>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</si>
  <si>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</si>
  <si>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</si>
  <si>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</si>
  <si>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</si>
  <si>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</si>
  <si>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</si>
  <si>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</si>
  <si>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</si>
  <si>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</si>
  <si>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</si>
  <si>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</si>
  <si>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</si>
  <si>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</si>
  <si>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</si>
  <si>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</si>
  <si>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</si>
  <si>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</si>
  <si>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</si>
  <si>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</si>
  <si>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</si>
  <si>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</si>
  <si>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</si>
  <si>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</si>
  <si>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</si>
  <si>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</si>
  <si>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</si>
  <si>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</si>
  <si>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</si>
  <si>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</si>
  <si>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</si>
  <si>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</si>
  <si>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</si>
  <si>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</si>
  <si>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</si>
  <si>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</si>
  <si>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</si>
  <si>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</si>
  <si>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</si>
  <si>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</si>
  <si>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</si>
  <si>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</si>
  <si>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</si>
  <si>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</si>
  <si>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</si>
  <si>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</si>
  <si>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</si>
  <si>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</si>
  <si>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</si>
  <si>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</si>
  <si>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</si>
  <si>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</si>
  <si>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</si>
  <si>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</si>
  <si>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</si>
  <si>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</si>
  <si>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</si>
  <si>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</si>
  <si>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</si>
  <si>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</si>
  <si>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</si>
  <si>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</si>
  <si>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</si>
  <si>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</si>
  <si>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</si>
  <si>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</si>
  <si>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</si>
  <si>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</si>
  <si>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</si>
  <si>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</si>
  <si>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</si>
  <si>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</si>
  <si>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</si>
  <si>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</si>
  <si>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</si>
  <si>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</si>
  <si>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</si>
  <si>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</si>
  <si>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</si>
  <si>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</si>
  <si>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</si>
  <si>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</si>
  <si>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</si>
  <si>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</si>
  <si>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</si>
  <si>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</si>
  <si>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</si>
  <si>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</si>
  <si>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</si>
  <si>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</si>
  <si>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</si>
  <si>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</si>
  <si>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</si>
  <si>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</si>
  <si>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</si>
  <si>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</si>
  <si>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</si>
  <si>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</si>
  <si>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</si>
  <si>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</si>
  <si>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</si>
  <si>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</si>
  <si>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</si>
  <si>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</si>
  <si>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</si>
  <si>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</si>
  <si>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</si>
  <si>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</si>
  <si>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</si>
  <si>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</si>
  <si>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</si>
  <si>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</si>
  <si>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</si>
  <si>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</si>
  <si>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</si>
  <si>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</si>
  <si>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</si>
  <si>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</si>
  <si>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</si>
  <si>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</si>
  <si>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</si>
  <si>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</si>
  <si>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</si>
  <si>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</si>
  <si>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</si>
  <si>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</si>
  <si>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</si>
  <si>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</si>
  <si>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</si>
  <si>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</si>
  <si>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</si>
  <si>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</si>
  <si>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</si>
  <si>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</si>
  <si>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</si>
  <si>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</si>
  <si>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</si>
  <si>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</si>
  <si>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</si>
  <si>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</si>
  <si>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</si>
  <si>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</si>
  <si>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</si>
  <si>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</si>
  <si>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</si>
  <si>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</si>
  <si>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</si>
  <si>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</si>
  <si>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</si>
  <si>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</si>
  <si>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</si>
  <si>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</si>
  <si>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</si>
  <si>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</si>
  <si>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</si>
  <si>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</si>
  <si>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</si>
  <si>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</si>
  <si>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</si>
  <si>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</si>
  <si>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</si>
  <si>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</si>
  <si>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</si>
  <si>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</si>
  <si>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</si>
  <si>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</si>
  <si>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</si>
  <si>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</si>
  <si>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</si>
  <si>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</si>
  <si>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</si>
  <si>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</si>
  <si>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</si>
  <si>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</si>
  <si>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</si>
  <si>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</si>
  <si>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</si>
  <si>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</si>
  <si>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</si>
  <si>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</si>
  <si>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</si>
  <si>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</si>
  <si>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</si>
  <si>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</si>
  <si>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</si>
  <si>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</si>
  <si>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</si>
  <si>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</si>
  <si>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</si>
  <si>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</si>
  <si>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</si>
  <si>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</si>
  <si>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</si>
  <si>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</si>
  <si>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</si>
  <si>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</si>
  <si>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</si>
  <si>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</si>
  <si>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</si>
  <si>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</si>
  <si>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</si>
  <si>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</si>
  <si>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</si>
  <si>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</si>
  <si>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</si>
  <si>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</si>
  <si>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</si>
  <si>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</si>
  <si>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</si>
  <si>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</si>
  <si>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</si>
  <si>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</si>
  <si>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</si>
  <si>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</si>
  <si>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</si>
  <si>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</si>
  <si>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</si>
  <si>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</si>
  <si>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</si>
  <si>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</si>
  <si>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</si>
  <si>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</si>
  <si>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</si>
  <si>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</si>
  <si>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</si>
  <si>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</si>
  <si>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</si>
  <si>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</si>
  <si>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</si>
  <si>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</si>
  <si>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</si>
  <si>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</si>
  <si>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</si>
  <si>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</si>
  <si>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</si>
  <si>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</si>
  <si>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</si>
  <si>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</si>
  <si>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</si>
  <si>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</si>
  <si>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</si>
  <si>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</si>
  <si>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</si>
  <si>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</si>
  <si>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</si>
  <si>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</si>
  <si>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</si>
  <si>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</si>
  <si>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</si>
  <si>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</si>
  <si>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</si>
  <si>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</si>
  <si>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</si>
  <si>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</si>
  <si>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</si>
  <si>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</si>
  <si>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</si>
  <si>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</si>
  <si>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</si>
  <si>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</si>
  <si>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</si>
  <si>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</si>
  <si>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</si>
  <si>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</si>
  <si>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</si>
  <si>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</si>
  <si>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</si>
  <si>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</si>
  <si>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</si>
  <si>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</si>
  <si>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</si>
  <si>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</si>
  <si>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</si>
  <si>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</si>
  <si>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</si>
  <si>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</si>
  <si>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</si>
  <si>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</si>
  <si>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</si>
  <si>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</si>
  <si>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</si>
  <si>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</si>
  <si>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</si>
  <si>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</si>
  <si>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</si>
  <si>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</si>
  <si>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</si>
  <si>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</si>
  <si>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</si>
  <si>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</si>
  <si>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</si>
  <si>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</si>
  <si>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</si>
  <si>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</si>
  <si>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</si>
  <si>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</si>
  <si>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</si>
  <si>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</si>
  <si>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</si>
  <si>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</si>
  <si>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</si>
  <si>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</si>
  <si>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</si>
  <si>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</si>
  <si>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</si>
  <si>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</si>
  <si>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</si>
  <si>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</si>
  <si>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</si>
  <si>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</si>
  <si>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</si>
  <si>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</si>
  <si>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</si>
  <si>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</si>
  <si>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</si>
  <si>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</si>
  <si>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</si>
  <si>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</si>
  <si>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</si>
  <si>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</si>
  <si>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</si>
  <si>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</si>
  <si>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</si>
  <si>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</si>
  <si>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</si>
  <si>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</si>
  <si>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</si>
  <si>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</si>
  <si>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</si>
  <si>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</si>
  <si>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</si>
  <si>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</si>
  <si>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</si>
  <si>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</si>
  <si>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</si>
  <si>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</si>
  <si>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</si>
  <si>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</si>
  <si>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</si>
  <si>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</si>
  <si>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</si>
  <si>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</si>
  <si>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</si>
  <si>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</si>
  <si>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</si>
  <si>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</si>
  <si>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</si>
  <si>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</si>
  <si>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</si>
  <si>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</si>
  <si>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</si>
  <si>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</si>
  <si>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</si>
  <si>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</si>
  <si>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</si>
  <si>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</si>
  <si>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</si>
  <si>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</si>
  <si>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</si>
  <si>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</si>
  <si>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</si>
  <si>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</si>
  <si>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</si>
  <si>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</si>
  <si>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</si>
  <si>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</si>
  <si>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</si>
  <si>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</si>
  <si>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</si>
  <si>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</si>
  <si>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</si>
  <si>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</si>
  <si>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</si>
  <si>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</si>
  <si>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</si>
  <si>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</si>
  <si>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</si>
  <si>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</si>
  <si>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</si>
  <si>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</si>
  <si>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</si>
  <si>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</si>
  <si>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</si>
  <si>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</si>
  <si>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</si>
  <si>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</si>
  <si>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</si>
  <si>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</si>
  <si>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</si>
  <si>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</si>
  <si>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</si>
  <si>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</si>
  <si>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</si>
  <si>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</si>
  <si>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</si>
  <si>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</si>
  <si>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</si>
  <si>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</si>
  <si>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</si>
  <si>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</si>
  <si>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</si>
  <si>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</si>
  <si>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</si>
  <si>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</si>
  <si>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</si>
  <si>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</si>
  <si>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</si>
  <si>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</si>
  <si>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</si>
  <si>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</si>
  <si>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</si>
  <si>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</si>
  <si>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</si>
  <si>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</si>
  <si>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</si>
  <si>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</si>
  <si>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</si>
  <si>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</si>
  <si>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</si>
  <si>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</si>
  <si>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</si>
  <si>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</si>
  <si>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</si>
  <si>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</si>
  <si>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</si>
  <si>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</si>
  <si>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</si>
  <si>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</si>
  <si>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</si>
  <si>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</si>
  <si>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</si>
  <si>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</si>
  <si>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</si>
  <si>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</si>
  <si>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</si>
  <si>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</si>
  <si>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</si>
  <si>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</si>
  <si>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</si>
  <si>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</si>
  <si>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</si>
  <si>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</si>
  <si>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</si>
  <si>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</si>
  <si>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</si>
  <si>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</si>
  <si>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</si>
  <si>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</si>
  <si>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</si>
  <si>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</si>
  <si>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</si>
  <si>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</si>
  <si>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</si>
  <si>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</si>
  <si>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</si>
  <si>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</si>
  <si>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</si>
  <si>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</si>
  <si>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</si>
  <si>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</si>
  <si>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</si>
  <si>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</si>
  <si>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</si>
  <si>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</si>
  <si>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</si>
  <si>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</si>
  <si>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</si>
  <si>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</si>
  <si>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</si>
  <si>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</si>
  <si>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</si>
  <si>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</si>
  <si>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</si>
  <si>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</si>
  <si>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</si>
  <si>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</si>
  <si>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</si>
  <si>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</si>
  <si>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</si>
  <si>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</si>
  <si>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</si>
  <si>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</si>
  <si>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</si>
  <si>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</si>
  <si>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</si>
  <si>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</si>
  <si>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</si>
  <si>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</si>
  <si>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</si>
  <si>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</si>
  <si>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</si>
  <si>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</si>
  <si>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</si>
  <si>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</si>
  <si>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</si>
  <si>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</si>
  <si>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</si>
  <si>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</si>
  <si>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</si>
  <si>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</si>
  <si>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</si>
  <si>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</si>
  <si>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</si>
  <si>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</si>
  <si>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</si>
  <si>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</si>
  <si>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</si>
  <si>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</si>
  <si>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</si>
  <si>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</si>
  <si>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</si>
  <si>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</si>
  <si>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</si>
  <si>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</si>
  <si>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</si>
  <si>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</si>
  <si>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</si>
  <si>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</si>
  <si>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</si>
  <si>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</si>
  <si>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</si>
  <si>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</si>
  <si>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</si>
  <si>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</si>
  <si>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</si>
  <si>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</si>
  <si>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</si>
  <si>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</si>
  <si>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</si>
  <si>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</si>
  <si>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</si>
  <si>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</si>
  <si>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</si>
  <si>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</si>
  <si>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</si>
  <si>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</si>
  <si>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</si>
  <si>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</si>
  <si>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</si>
  <si>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</si>
  <si>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</si>
  <si>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</si>
  <si>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</si>
  <si>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</si>
  <si>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</si>
  <si>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</si>
  <si>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</si>
  <si>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</si>
  <si>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</si>
  <si>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</si>
  <si>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</si>
  <si>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</si>
  <si>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</si>
  <si>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</si>
  <si>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</si>
  <si>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</si>
  <si>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</si>
  <si>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</si>
  <si>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</si>
  <si>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</si>
  <si>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</si>
  <si>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</si>
  <si>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</si>
  <si>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</si>
  <si>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</si>
  <si>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</si>
  <si>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</si>
  <si>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</si>
  <si>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</si>
  <si>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</si>
  <si>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</si>
  <si>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</si>
  <si>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</si>
  <si>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</si>
  <si>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</si>
  <si>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</si>
  <si>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</si>
  <si>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</si>
  <si>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</si>
  <si>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</si>
  <si>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</si>
  <si>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</si>
  <si>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</si>
  <si>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</si>
  <si>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</si>
  <si>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</si>
  <si>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</si>
  <si>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</si>
  <si>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</si>
  <si>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</si>
  <si>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</si>
  <si>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</si>
  <si>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</si>
  <si>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</si>
  <si>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</si>
  <si>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</si>
  <si>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</si>
  <si>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</si>
  <si>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</si>
  <si>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</si>
  <si>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</si>
  <si>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</si>
  <si>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</si>
  <si>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</si>
  <si>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</si>
  <si>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</si>
  <si>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</si>
  <si>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</si>
  <si>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</si>
  <si>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</si>
  <si>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</si>
  <si>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</si>
  <si>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</si>
  <si>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</si>
  <si>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</si>
  <si>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</si>
  <si>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</si>
  <si>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</si>
  <si>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</si>
  <si>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</si>
  <si>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</si>
  <si>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</si>
  <si>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</si>
  <si>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</si>
  <si>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</si>
  <si>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</si>
  <si>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</si>
  <si>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</si>
  <si>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</si>
  <si>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</si>
  <si>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</si>
  <si>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</si>
  <si>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</si>
  <si>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</si>
  <si>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</si>
  <si>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</si>
  <si>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</si>
  <si>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</si>
  <si>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</si>
  <si>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</si>
  <si>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</si>
  <si>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</si>
  <si>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</si>
  <si>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</si>
  <si>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</si>
  <si>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</si>
  <si>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</si>
  <si>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</si>
  <si>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</si>
  <si>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</si>
  <si>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</si>
  <si>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</si>
  <si>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</si>
  <si>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</si>
  <si>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</si>
  <si>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</si>
  <si>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</si>
  <si>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</si>
  <si>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</si>
  <si>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</si>
  <si>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</si>
  <si>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</si>
  <si>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</si>
  <si>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</si>
  <si>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</si>
  <si>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</si>
  <si>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</si>
  <si>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</si>
  <si>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</si>
  <si>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</si>
  <si>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</si>
  <si>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</si>
  <si>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</si>
  <si>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</si>
  <si>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</si>
  <si>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</si>
  <si>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</si>
  <si>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</si>
  <si>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</si>
  <si>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</si>
  <si>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</si>
  <si>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</si>
  <si>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</si>
  <si>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</si>
  <si>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</si>
  <si>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</si>
  <si>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</si>
  <si>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</si>
  <si>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</si>
  <si>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</si>
  <si>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</si>
  <si>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</si>
  <si>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</si>
  <si>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</si>
  <si>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</si>
  <si>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</si>
  <si>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</si>
  <si>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</si>
  <si>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</si>
  <si>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</si>
  <si>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</si>
  <si>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</si>
  <si>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</si>
  <si>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</si>
  <si>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</si>
  <si>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</si>
  <si>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</si>
  <si>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</si>
  <si>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</si>
  <si>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</si>
  <si>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</si>
  <si>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</si>
  <si>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</si>
  <si>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</si>
  <si>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</si>
  <si>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</si>
  <si>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</si>
  <si>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</si>
  <si>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</si>
  <si>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</si>
  <si>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</si>
  <si>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</si>
  <si>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</si>
  <si>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</si>
  <si>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</si>
  <si>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</si>
  <si>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</si>
  <si>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</si>
  <si>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</si>
  <si>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</si>
  <si>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</si>
  <si>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</si>
  <si>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</si>
  <si>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</si>
  <si>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</si>
  <si>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</si>
  <si>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</si>
  <si>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</si>
  <si>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</si>
  <si>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</si>
  <si>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</si>
  <si>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</si>
  <si>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</si>
  <si>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</si>
  <si>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</si>
  <si>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</si>
  <si>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</si>
  <si>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</si>
  <si>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</si>
  <si>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</si>
  <si>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</si>
  <si>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</si>
  <si>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</si>
  <si>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</si>
  <si>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</si>
  <si>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</si>
  <si>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</si>
  <si>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</si>
  <si>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</si>
  <si>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</si>
  <si>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</si>
  <si>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</si>
  <si>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</si>
  <si>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</si>
  <si>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</si>
  <si>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</si>
  <si>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</si>
  <si>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</si>
  <si>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</si>
  <si>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</si>
  <si>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</si>
  <si>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</si>
  <si>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</si>
  <si>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</si>
  <si>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</si>
  <si>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</si>
  <si>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</si>
  <si>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</si>
  <si>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</si>
  <si>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</si>
  <si>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</si>
  <si>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</si>
  <si>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</si>
  <si>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</si>
  <si>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</si>
  <si>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</si>
  <si>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</si>
  <si>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</si>
  <si>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</si>
  <si>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</si>
  <si>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</si>
  <si>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</si>
  <si>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</si>
  <si>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</si>
  <si>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</si>
  <si>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</si>
  <si>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</si>
  <si>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</si>
  <si>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</si>
  <si>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</si>
  <si>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</si>
  <si>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</si>
  <si>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</si>
  <si>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</si>
  <si>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</si>
  <si>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</si>
  <si>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</si>
  <si>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</si>
  <si>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</si>
  <si>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</si>
  <si>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</si>
  <si>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</si>
  <si>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</si>
  <si>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</si>
  <si>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</si>
  <si>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</si>
  <si>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</si>
  <si>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</si>
  <si>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</si>
  <si>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</si>
  <si>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</si>
  <si>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</si>
  <si>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</si>
  <si>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</si>
  <si>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</si>
  <si>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</si>
  <si>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</si>
  <si>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</si>
  <si>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</si>
  <si>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</si>
  <si>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</si>
  <si>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</si>
  <si>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</si>
  <si>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</si>
  <si>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</si>
  <si>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</si>
  <si>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</si>
  <si>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</si>
  <si>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</si>
  <si>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</si>
  <si>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</si>
  <si>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</si>
  <si>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</si>
  <si>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</si>
  <si>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</si>
  <si>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</si>
  <si>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</si>
  <si>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</si>
  <si>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</si>
  <si>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</si>
  <si>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</si>
  <si>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</si>
  <si>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</si>
  <si>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</si>
  <si>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</si>
  <si>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</si>
  <si>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</si>
  <si>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</si>
  <si>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</si>
  <si>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</si>
  <si>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</si>
  <si>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</si>
  <si>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</si>
  <si>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</si>
  <si>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</si>
  <si>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</si>
  <si>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</si>
  <si>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</si>
  <si>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</si>
  <si>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</si>
  <si>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</si>
  <si>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</si>
  <si>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</si>
  <si>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</si>
  <si>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</si>
  <si>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</si>
  <si>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</si>
  <si>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</si>
  <si>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</si>
  <si>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</si>
  <si>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</si>
  <si>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</si>
  <si>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</si>
  <si>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</si>
  <si>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</si>
  <si>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</si>
  <si>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</si>
  <si>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</si>
  <si>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</si>
  <si>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</si>
  <si>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</si>
  <si>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</si>
  <si>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</si>
  <si>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</si>
  <si>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</si>
  <si>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</si>
  <si>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</si>
  <si>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</si>
  <si>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</si>
  <si>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</si>
  <si>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</si>
  <si>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</si>
  <si>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</si>
  <si>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</si>
  <si>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</si>
  <si>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</si>
  <si>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</si>
  <si>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</si>
  <si>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</si>
  <si>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</si>
  <si>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</si>
  <si>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</si>
  <si>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</si>
  <si>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</si>
  <si>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</si>
  <si>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</si>
  <si>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</si>
  <si>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</si>
  <si>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</si>
  <si>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</si>
  <si>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</si>
  <si>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</si>
  <si>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</si>
  <si>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</si>
  <si>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</si>
  <si>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</si>
  <si>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</si>
  <si>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</si>
  <si>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</si>
  <si>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</si>
  <si>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</si>
  <si>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</si>
  <si>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</si>
  <si>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</si>
  <si>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</si>
  <si>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</si>
  <si>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</si>
  <si>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</si>
  <si>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</si>
  <si>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</si>
  <si>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</si>
  <si>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</si>
  <si>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</si>
  <si>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</si>
  <si>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</si>
  <si>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</si>
  <si>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</si>
  <si>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</si>
  <si>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</si>
  <si>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</si>
  <si>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</si>
  <si>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</si>
  <si>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</si>
  <si>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</si>
  <si>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</si>
  <si>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</si>
  <si>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</si>
  <si>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</si>
  <si>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</si>
  <si>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</si>
  <si>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</si>
  <si>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</si>
  <si>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</si>
  <si>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</si>
  <si>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</si>
  <si>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</si>
  <si>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</si>
  <si>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</si>
  <si>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</si>
  <si>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</si>
  <si>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</si>
  <si>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</si>
  <si>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</si>
  <si>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</si>
  <si>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</si>
  <si>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</si>
  <si>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</si>
  <si>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</si>
  <si>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</si>
  <si>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</si>
  <si>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</si>
  <si>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</si>
  <si>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</si>
  <si>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</si>
  <si>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</si>
  <si>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</si>
  <si>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</si>
  <si>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</si>
  <si>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</si>
  <si>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</si>
  <si>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</si>
  <si>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</si>
  <si>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</si>
  <si>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</si>
  <si>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</si>
  <si>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</si>
  <si>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</si>
  <si>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</si>
  <si>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</si>
  <si>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</si>
  <si>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</si>
  <si>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</si>
  <si>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</si>
  <si>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</si>
  <si>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</si>
  <si>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</si>
  <si>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</si>
  <si>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</si>
  <si>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</si>
  <si>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</si>
  <si>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</si>
  <si>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</si>
  <si>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</si>
  <si>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</si>
  <si>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</si>
  <si>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</si>
  <si>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</si>
  <si>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</si>
  <si>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</si>
  <si>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</si>
  <si>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</si>
  <si>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</si>
  <si>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</si>
  <si>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</si>
  <si>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</si>
  <si>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</si>
  <si>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</si>
  <si>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</si>
  <si>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</si>
  <si>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</si>
  <si>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</si>
  <si>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</si>
  <si>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</si>
  <si>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</si>
  <si>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</si>
  <si>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</si>
  <si>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</si>
  <si>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</si>
  <si>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</si>
  <si>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</si>
  <si>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</si>
  <si>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</si>
  <si>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</si>
  <si>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</si>
  <si>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</si>
  <si>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</si>
  <si>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</si>
  <si>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</si>
  <si>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</si>
  <si>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</si>
  <si>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</si>
  <si>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</si>
  <si>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</si>
  <si>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</si>
  <si>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</si>
  <si>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</si>
  <si>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</si>
  <si>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</si>
  <si>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</si>
  <si>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</si>
  <si>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</si>
  <si>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</si>
  <si>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</si>
  <si>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</si>
  <si>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</si>
  <si>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</si>
  <si>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</si>
  <si>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</si>
  <si>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</si>
  <si>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</si>
  <si>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</si>
  <si>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</si>
  <si>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</si>
  <si>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</si>
  <si>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</si>
  <si>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</si>
  <si>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</si>
  <si>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</si>
  <si>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</si>
  <si>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</si>
  <si>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</si>
  <si>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</si>
  <si>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</si>
  <si>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</si>
  <si>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</si>
  <si>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</si>
  <si>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</si>
  <si>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</si>
  <si>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</si>
  <si>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</si>
  <si>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</si>
  <si>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</si>
  <si>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</si>
  <si>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</si>
  <si>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</si>
  <si>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</si>
  <si>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</si>
  <si>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</si>
  <si>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</si>
  <si>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</si>
  <si>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</si>
  <si>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</si>
  <si>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</si>
  <si>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</si>
  <si>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</si>
  <si>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</si>
  <si>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</si>
  <si>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</si>
  <si>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</si>
  <si>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</si>
  <si>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</si>
  <si>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</si>
  <si>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</si>
  <si>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</si>
  <si>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</si>
  <si>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</si>
  <si>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</si>
  <si>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</si>
  <si>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</si>
  <si>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</si>
  <si>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</si>
  <si>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</si>
  <si>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</si>
  <si>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</si>
  <si>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</si>
  <si>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</si>
  <si>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</si>
  <si>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</si>
  <si>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</si>
  <si>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</si>
  <si>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</si>
  <si>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</si>
  <si>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</si>
  <si>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</si>
  <si>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</si>
  <si>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</si>
  <si>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</si>
  <si>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</si>
  <si>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</si>
  <si>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</si>
  <si>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</si>
  <si>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</si>
  <si>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</si>
  <si>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</si>
  <si>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</si>
  <si>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</si>
  <si>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</si>
  <si>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</si>
  <si>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</si>
  <si>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</si>
  <si>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</si>
  <si>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</si>
  <si>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</si>
  <si>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</si>
  <si>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</si>
  <si>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</si>
  <si>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</si>
  <si>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</si>
  <si>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</si>
  <si>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</si>
  <si>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</si>
  <si>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</si>
  <si>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</si>
  <si>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</si>
  <si>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</si>
  <si>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</si>
  <si>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</si>
  <si>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</si>
  <si>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</si>
  <si>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</si>
  <si>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</si>
  <si>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</si>
  <si>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</si>
  <si>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</si>
  <si>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</si>
  <si>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</si>
  <si>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</si>
  <si>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</si>
  <si>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</si>
  <si>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</si>
  <si>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</si>
  <si>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</si>
  <si>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</si>
  <si>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</si>
  <si>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</si>
  <si>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</si>
  <si>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</si>
  <si>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</si>
  <si>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</si>
  <si>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</si>
  <si>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</si>
  <si>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</si>
  <si>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</si>
  <si>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</si>
  <si>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</si>
  <si>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</si>
  <si>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</si>
  <si>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</si>
  <si>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</si>
  <si>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</si>
  <si>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</si>
  <si>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</si>
  <si>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</si>
  <si>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</si>
  <si>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</si>
  <si>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</si>
  <si>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</si>
  <si>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</si>
  <si>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</si>
  <si>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</si>
  <si>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</si>
  <si>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</si>
  <si>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</si>
  <si>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</si>
  <si>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</si>
  <si>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</si>
  <si>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</si>
  <si>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</si>
  <si>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</si>
  <si>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</si>
  <si>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</si>
  <si>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</si>
  <si>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</si>
  <si>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</si>
  <si>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</si>
  <si>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</si>
  <si>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</si>
  <si>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</si>
  <si>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</si>
  <si>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</si>
  <si>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</si>
  <si>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</si>
  <si>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</si>
  <si>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</si>
  <si>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</si>
  <si>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</si>
  <si>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</si>
  <si>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</si>
  <si>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</si>
  <si>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</si>
  <si>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</si>
  <si>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</si>
  <si>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</si>
  <si>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</si>
  <si>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</si>
  <si>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</si>
  <si>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</si>
  <si>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</si>
  <si>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</si>
  <si>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</si>
  <si>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</si>
  <si>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</si>
  <si>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</si>
  <si>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</si>
  <si>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</si>
  <si>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</si>
  <si>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</si>
  <si>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</si>
  <si>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</si>
  <si>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</si>
  <si>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</si>
  <si>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</si>
  <si>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</si>
  <si>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</si>
  <si>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</si>
  <si>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</si>
  <si>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</si>
  <si>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</si>
  <si>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</si>
  <si>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</si>
  <si>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</si>
  <si>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</si>
  <si>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</si>
  <si>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</si>
  <si>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</si>
  <si>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</si>
  <si>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</si>
  <si>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</si>
  <si>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</si>
  <si>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</si>
  <si>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</si>
  <si>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</si>
  <si>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</si>
  <si>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</si>
  <si>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</si>
  <si>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</si>
  <si>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</si>
  <si>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</si>
  <si>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</si>
  <si>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</si>
  <si>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</si>
  <si>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</si>
  <si>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</si>
  <si>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</si>
  <si>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</si>
  <si>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</si>
  <si>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</si>
  <si>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</si>
  <si>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</si>
  <si>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</si>
  <si>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</si>
  <si>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</si>
  <si>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</si>
  <si>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</si>
  <si>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</si>
  <si>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</si>
  <si>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</si>
  <si>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</si>
  <si>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</si>
  <si>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</si>
  <si>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</si>
  <si>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</si>
  <si>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</si>
  <si>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</si>
  <si>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</si>
  <si>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</si>
  <si>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</si>
  <si>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</si>
  <si>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</si>
  <si>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</si>
  <si>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</si>
  <si>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</si>
  <si>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</si>
  <si>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</si>
  <si>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</si>
  <si>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</si>
  <si>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</si>
  <si>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</si>
  <si>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</si>
  <si>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</si>
  <si>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</si>
  <si>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</si>
  <si>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</si>
  <si>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</si>
  <si>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</si>
  <si>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</si>
  <si>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</si>
  <si>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</si>
  <si>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</si>
  <si>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</si>
  <si>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</si>
  <si>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</si>
  <si>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</si>
  <si>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</si>
  <si>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</si>
  <si>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</si>
  <si>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</si>
  <si>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</si>
  <si>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</si>
  <si>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</si>
  <si>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</si>
  <si>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</si>
  <si>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</si>
  <si>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</si>
  <si>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</si>
  <si>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</si>
  <si>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</si>
  <si>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</si>
  <si>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</si>
  <si>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</si>
  <si>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</si>
  <si>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</si>
  <si>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</si>
  <si>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</si>
  <si>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</si>
  <si>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</si>
  <si>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</si>
  <si>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</si>
  <si>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</si>
  <si>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</si>
  <si>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</si>
  <si>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</si>
  <si>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</si>
  <si>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</si>
  <si>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</si>
  <si>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</si>
  <si>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</si>
  <si>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</si>
  <si>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</si>
  <si>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</si>
  <si>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</si>
  <si>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</si>
  <si>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</si>
  <si>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</si>
  <si>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</si>
  <si>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</si>
  <si>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</si>
  <si>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</si>
  <si>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</si>
  <si>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</si>
  <si>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</si>
  <si>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</si>
  <si>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</si>
  <si>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</si>
  <si>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</si>
  <si>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</si>
  <si>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</si>
  <si>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</si>
  <si>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</si>
  <si>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</si>
  <si>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</si>
  <si>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</si>
  <si>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</si>
  <si>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</si>
  <si>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</si>
  <si>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</si>
  <si>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</si>
  <si>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</si>
  <si>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</si>
  <si>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</si>
  <si>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</si>
  <si>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</si>
  <si>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</si>
  <si>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</si>
  <si>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</si>
  <si>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</si>
  <si>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</si>
  <si>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</si>
  <si>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</si>
  <si>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</si>
  <si>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</si>
  <si>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</si>
  <si>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</si>
  <si>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</si>
  <si>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</si>
  <si>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</si>
  <si>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</si>
  <si>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</si>
  <si>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</si>
  <si>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</si>
  <si>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</si>
  <si>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</si>
  <si>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</si>
  <si>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</si>
  <si>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</si>
  <si>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</si>
  <si>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</si>
  <si>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</si>
  <si>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</si>
  <si>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</si>
  <si>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</si>
  <si>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</si>
  <si>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</si>
  <si>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</si>
  <si>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</si>
  <si>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</si>
  <si>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</si>
  <si>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</si>
  <si>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</si>
  <si>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</si>
  <si>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</si>
  <si>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</si>
  <si>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</si>
  <si>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</si>
  <si>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</si>
  <si>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</si>
  <si>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</si>
  <si>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</si>
  <si>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</si>
  <si>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</si>
  <si>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</si>
  <si>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</si>
  <si>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</si>
  <si>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</si>
  <si>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</si>
  <si>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</si>
  <si>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</si>
  <si>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</si>
  <si>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</si>
  <si>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</si>
  <si>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</si>
  <si>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</si>
  <si>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</si>
  <si>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</si>
  <si>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</si>
  <si>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</si>
  <si>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</si>
  <si>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</si>
  <si>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</si>
  <si>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</si>
  <si>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</si>
  <si>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</si>
  <si>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</si>
  <si>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</si>
  <si>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</si>
  <si>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</si>
  <si>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</si>
  <si>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</si>
  <si>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</si>
  <si>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</si>
  <si>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</si>
  <si>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</si>
  <si>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</si>
  <si>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</si>
  <si>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</si>
  <si>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</si>
  <si>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</si>
  <si>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</si>
  <si>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</si>
  <si>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</si>
  <si>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</si>
  <si>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</si>
  <si>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</si>
  <si>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</si>
  <si>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</si>
  <si>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</si>
  <si>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</si>
  <si>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</si>
  <si>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</si>
  <si>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</si>
  <si>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</si>
  <si>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</si>
  <si>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</si>
  <si>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</si>
  <si>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</si>
  <si>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</si>
  <si>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</si>
  <si>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</si>
  <si>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</si>
  <si>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</si>
  <si>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</si>
  <si>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</si>
  <si>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</si>
  <si>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</si>
  <si>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</si>
  <si>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</si>
  <si>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</si>
  <si>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</si>
  <si>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</si>
  <si>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</si>
  <si>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</si>
  <si>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</si>
  <si>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</si>
  <si>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</si>
  <si>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</si>
  <si>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</si>
  <si>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</si>
  <si>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</si>
  <si>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</si>
  <si>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</si>
  <si>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</si>
  <si>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</si>
  <si>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</si>
  <si>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</si>
  <si>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</si>
  <si>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</si>
  <si>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</si>
  <si>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</si>
  <si>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</si>
  <si>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</si>
  <si>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</si>
  <si>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</si>
  <si>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</si>
  <si>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</si>
  <si>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</si>
  <si>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</si>
  <si>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</si>
  <si>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</si>
  <si>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</si>
  <si>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</si>
  <si>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</si>
  <si>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</si>
  <si>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</si>
  <si>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</si>
  <si>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</si>
  <si>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</si>
  <si>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</si>
  <si>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</si>
  <si>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</si>
  <si>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</si>
  <si>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</si>
  <si>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</si>
  <si>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</si>
  <si>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</si>
  <si>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</si>
  <si>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</si>
  <si>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</si>
  <si>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</si>
  <si>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</si>
  <si>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</si>
  <si>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</si>
  <si>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</si>
  <si>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</si>
  <si>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</si>
  <si>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</si>
  <si>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</si>
  <si>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</si>
  <si>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</si>
  <si>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</si>
  <si>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</si>
  <si>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</si>
  <si>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</si>
  <si>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</si>
  <si>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</si>
  <si>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</si>
  <si>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</si>
  <si>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</si>
  <si>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</si>
  <si>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</si>
  <si>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</si>
  <si>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</si>
  <si>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</si>
  <si>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</si>
  <si>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</si>
  <si>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</si>
  <si>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</si>
  <si>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</si>
  <si>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</si>
  <si>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</si>
  <si>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</si>
  <si>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</si>
  <si>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</si>
  <si>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</si>
  <si>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</si>
  <si>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</si>
  <si>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</si>
  <si>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</si>
  <si>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</si>
  <si>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</si>
  <si>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</si>
  <si>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</si>
  <si>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</si>
  <si>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</si>
  <si>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</si>
  <si>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</si>
  <si>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</si>
  <si>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</si>
  <si>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</si>
  <si>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</si>
  <si>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</si>
  <si>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</si>
  <si>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</si>
  <si>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</si>
  <si>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</si>
  <si>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</si>
  <si>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</si>
  <si>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</si>
  <si>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</si>
  <si>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</si>
  <si>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</si>
  <si>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</si>
  <si>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</si>
  <si>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</si>
  <si>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</si>
  <si>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</si>
  <si>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</si>
  <si>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</si>
  <si>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</si>
  <si>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</si>
  <si>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</si>
  <si>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</si>
  <si>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</si>
  <si>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</si>
  <si>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</si>
  <si>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</si>
  <si>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</si>
  <si>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</si>
  <si>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</si>
  <si>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</si>
  <si>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</si>
  <si>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</si>
  <si>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</si>
  <si>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</si>
  <si>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</si>
  <si>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</si>
  <si>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</si>
  <si>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</si>
  <si>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</si>
  <si>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</si>
  <si>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</si>
  <si>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</si>
  <si>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</si>
  <si>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</si>
  <si>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</si>
  <si>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</si>
  <si>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</si>
  <si>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</si>
  <si>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</si>
  <si>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</si>
  <si>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</si>
  <si>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</si>
  <si>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</si>
  <si>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</si>
  <si>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</si>
  <si>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</si>
  <si>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</si>
  <si>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</si>
  <si>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</si>
  <si>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</si>
  <si>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</si>
  <si>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</si>
  <si>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</si>
  <si>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</si>
  <si>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</si>
  <si>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</si>
  <si>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</si>
  <si>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</si>
  <si>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</si>
  <si>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</si>
  <si>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</si>
  <si>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</si>
  <si>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</si>
  <si>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</si>
  <si>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</si>
  <si>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</si>
  <si>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</si>
  <si>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</si>
  <si>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</si>
  <si>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</si>
  <si>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</si>
  <si>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</si>
  <si>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</si>
  <si>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</si>
  <si>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</si>
  <si>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</si>
  <si>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</si>
  <si>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</si>
  <si>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</si>
  <si>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</si>
  <si>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</si>
  <si>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</si>
  <si>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</si>
  <si>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</si>
  <si>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</si>
  <si>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</si>
  <si>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</si>
  <si>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</si>
  <si>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</si>
  <si>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</si>
  <si>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</si>
  <si>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</si>
  <si>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</si>
  <si>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</si>
  <si>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</si>
  <si>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</si>
  <si>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</si>
  <si>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</si>
  <si>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</si>
  <si>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</si>
  <si>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</si>
  <si>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</si>
  <si>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</si>
  <si>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</si>
  <si>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</si>
  <si>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</si>
  <si>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</si>
  <si>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</si>
  <si>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</si>
  <si>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</si>
  <si>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</si>
  <si>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</si>
  <si>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</si>
  <si>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</si>
  <si>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</si>
  <si>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</si>
  <si>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</si>
  <si>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</si>
  <si>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</si>
  <si>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</si>
  <si>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</si>
  <si>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</si>
  <si>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</si>
  <si>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</si>
  <si>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</si>
  <si>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</si>
  <si>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</si>
  <si>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</si>
  <si>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</si>
  <si>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</si>
  <si>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</si>
  <si>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</si>
  <si>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</si>
  <si>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</si>
  <si>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</si>
  <si>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</si>
  <si>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</si>
  <si>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</si>
  <si>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</si>
  <si>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</si>
  <si>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</si>
  <si>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</si>
  <si>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</si>
  <si>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</si>
  <si>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</si>
  <si>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</si>
  <si>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</si>
  <si>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</si>
  <si>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</si>
  <si>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</si>
  <si>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</si>
  <si>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</si>
  <si>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</si>
  <si>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</si>
  <si>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</si>
  <si>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</si>
  <si>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</si>
  <si>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</si>
  <si>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</si>
  <si>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</si>
  <si>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</si>
  <si>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</si>
  <si>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</si>
  <si>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</si>
  <si>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</si>
  <si>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</si>
  <si>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</si>
  <si>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</si>
  <si>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</si>
  <si>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</si>
  <si>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</si>
  <si>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</si>
  <si>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</si>
  <si>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</si>
  <si>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</si>
  <si>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</si>
  <si>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</si>
  <si>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</si>
  <si>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</si>
  <si>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</si>
  <si>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</si>
  <si>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</si>
  <si>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</si>
  <si>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</si>
  <si>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</si>
  <si>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</si>
  <si>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</si>
  <si>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</si>
  <si>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</si>
  <si>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</si>
  <si>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</si>
  <si>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</si>
  <si>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</si>
  <si>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</si>
  <si>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</si>
  <si>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</si>
  <si>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</si>
  <si>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</si>
  <si>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</si>
  <si>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</si>
  <si>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</si>
  <si>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</si>
  <si>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</si>
  <si>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</si>
  <si>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</si>
  <si>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</si>
  <si>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</si>
  <si>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</si>
  <si>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</si>
  <si>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</si>
  <si>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</si>
  <si>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</si>
  <si>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</si>
  <si>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</si>
  <si>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</si>
  <si>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</si>
  <si>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</si>
  <si>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</si>
  <si>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</si>
  <si>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</si>
  <si>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</si>
  <si>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</si>
  <si>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</si>
  <si>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</si>
  <si>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</si>
  <si>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</si>
  <si>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</si>
  <si>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</si>
  <si>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</si>
  <si>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</si>
  <si>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</si>
  <si>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</si>
  <si>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</si>
  <si>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</si>
  <si>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</si>
  <si>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</si>
  <si>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</si>
  <si>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</si>
  <si>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</si>
  <si>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</si>
  <si>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</si>
  <si>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</si>
  <si>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</si>
  <si>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</si>
  <si>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</si>
  <si>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</si>
  <si>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</si>
  <si>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</si>
  <si>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</si>
  <si>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</si>
  <si>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</si>
  <si>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</si>
  <si>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</si>
  <si>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</si>
  <si>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</si>
  <si>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</si>
  <si>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</si>
  <si>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</si>
  <si>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</si>
  <si>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</si>
  <si>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</si>
  <si>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</si>
  <si>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</si>
  <si>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</si>
  <si>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</si>
  <si>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</si>
  <si>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</si>
  <si>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</si>
  <si>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</si>
  <si>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</si>
  <si>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</si>
  <si>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</si>
  <si>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</si>
  <si>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</si>
  <si>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</si>
  <si>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</si>
  <si>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</si>
  <si>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</si>
  <si>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</si>
  <si>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</si>
  <si>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</si>
  <si>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</si>
  <si>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</si>
  <si>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</si>
  <si>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</si>
  <si>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</si>
  <si>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</si>
  <si>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</si>
  <si>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</si>
  <si>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</si>
  <si>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</si>
  <si>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</si>
  <si>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</si>
  <si>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</si>
  <si>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</si>
  <si>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</si>
  <si>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</si>
  <si>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</si>
  <si>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</si>
  <si>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</si>
  <si>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</si>
  <si>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</si>
  <si>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</si>
  <si>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</si>
  <si>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</si>
  <si>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</si>
  <si>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</si>
  <si>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</si>
  <si>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</si>
  <si>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</si>
  <si>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</si>
  <si>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</si>
  <si>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</si>
  <si>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</si>
  <si>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</si>
  <si>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</si>
  <si>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</si>
  <si>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</si>
  <si>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</si>
  <si>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</si>
  <si>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</si>
  <si>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</si>
  <si>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</si>
  <si>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</si>
  <si>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</si>
  <si>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</si>
  <si>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</si>
  <si>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</si>
  <si>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</si>
  <si>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</si>
  <si>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</si>
  <si>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</si>
  <si>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</si>
  <si>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</si>
  <si>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</si>
  <si>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</si>
  <si>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</si>
  <si>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</si>
  <si>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</si>
  <si>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</si>
  <si>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</si>
  <si>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</si>
  <si>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</si>
  <si>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</si>
  <si>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</si>
  <si>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</si>
  <si>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</si>
  <si>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</si>
  <si>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</si>
  <si>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</si>
  <si>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</si>
  <si>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</si>
  <si>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</si>
  <si>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</si>
  <si>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</si>
  <si>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</si>
  <si>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</si>
  <si>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</si>
  <si>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</si>
  <si>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</si>
  <si>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</si>
  <si>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</si>
  <si>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</si>
  <si>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</si>
  <si>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</si>
  <si>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</si>
  <si>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</si>
  <si>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</si>
  <si>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</si>
  <si>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</si>
  <si>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</si>
  <si>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</si>
  <si>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</si>
  <si>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</si>
  <si>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</si>
  <si>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</si>
  <si>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</si>
  <si>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</si>
  <si>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</si>
  <si>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</si>
  <si>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</si>
  <si>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</si>
  <si>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</si>
  <si>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</si>
  <si>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</si>
  <si>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</si>
  <si>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</si>
  <si>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</si>
  <si>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</si>
  <si>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</si>
  <si>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</si>
  <si>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</si>
  <si>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</si>
  <si>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</si>
  <si>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</si>
  <si>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</si>
  <si>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</si>
  <si>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</si>
  <si>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</si>
  <si>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</si>
  <si>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</si>
  <si>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</si>
  <si>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</si>
  <si>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</si>
  <si>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</si>
  <si>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</si>
  <si>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</si>
  <si>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</si>
  <si>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</si>
  <si>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</si>
  <si>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</si>
  <si>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</si>
  <si>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</si>
  <si>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</si>
  <si>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</si>
  <si>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</si>
  <si>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</si>
  <si>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</si>
  <si>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</si>
  <si>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</si>
  <si>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</si>
  <si>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</si>
  <si>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</si>
  <si>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</si>
  <si>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</si>
  <si>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</si>
  <si>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</si>
  <si>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</si>
  <si>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</si>
  <si>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</si>
  <si>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</si>
  <si>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</si>
  <si>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</si>
  <si>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</si>
  <si>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</si>
  <si>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</si>
  <si>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</si>
  <si>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</si>
  <si>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</si>
  <si>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</si>
  <si>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</si>
  <si>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</si>
  <si>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</si>
  <si>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</si>
  <si>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</si>
  <si>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</si>
  <si>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</si>
  <si>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</si>
  <si>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</si>
  <si>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</si>
  <si>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</si>
  <si>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</si>
  <si>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</si>
  <si>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</si>
  <si>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</si>
  <si>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</si>
  <si>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</si>
  <si>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</si>
  <si>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</si>
  <si>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</si>
  <si>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</si>
  <si>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</si>
  <si>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</si>
  <si>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</si>
  <si>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</si>
  <si>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</si>
  <si>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</si>
  <si>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</si>
  <si>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</si>
  <si>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</si>
  <si>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</si>
  <si>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</si>
  <si>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</si>
  <si>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</si>
  <si>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</si>
  <si>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</si>
  <si>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</si>
  <si>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</si>
  <si>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</si>
  <si>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</si>
  <si>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</si>
  <si>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</si>
  <si>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</si>
  <si>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</si>
  <si>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</si>
  <si>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</si>
  <si>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</si>
  <si>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</si>
  <si>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</si>
  <si>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</si>
  <si>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</si>
  <si>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</si>
  <si>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</si>
  <si>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</si>
  <si>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</si>
  <si>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</si>
  <si>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</si>
  <si>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</si>
  <si>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</si>
  <si>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</si>
  <si>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</si>
  <si>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</si>
  <si>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</si>
  <si>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</si>
  <si>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</si>
  <si>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</si>
  <si>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</si>
  <si>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</si>
  <si>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</si>
  <si>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</si>
  <si>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</si>
  <si>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</si>
  <si>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</si>
  <si>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</si>
  <si>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</si>
  <si>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</si>
  <si>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</si>
  <si>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</si>
  <si>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</si>
  <si>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</si>
  <si>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</si>
  <si>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</si>
  <si>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</si>
  <si>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</si>
  <si>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</si>
  <si>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</si>
  <si>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</si>
  <si>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</si>
  <si>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</si>
  <si>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</si>
  <si>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</si>
  <si>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</si>
  <si>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</si>
  <si>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</si>
  <si>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</si>
  <si>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</si>
  <si>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</si>
  <si>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</si>
  <si>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</si>
  <si>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</si>
  <si>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</si>
  <si>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</si>
  <si>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</si>
  <si>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</si>
  <si>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</si>
  <si>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</si>
  <si>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</si>
  <si>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</si>
  <si>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</si>
  <si>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</si>
  <si>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</si>
  <si>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</si>
  <si>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</si>
  <si>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</si>
  <si>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</si>
  <si>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</si>
  <si>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</si>
  <si>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</si>
  <si>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</si>
  <si>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</si>
  <si>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</si>
  <si>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</si>
  <si>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</si>
  <si>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</si>
  <si>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</si>
  <si>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</si>
  <si>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</si>
  <si>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</si>
  <si>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</si>
  <si>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</si>
  <si>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</si>
  <si>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</si>
  <si>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</si>
  <si>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</si>
  <si>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</si>
  <si>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</si>
  <si>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</si>
  <si>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</si>
  <si>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</si>
  <si>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</si>
  <si>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</si>
  <si>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</si>
  <si>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</si>
  <si>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</si>
  <si>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</si>
  <si>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</si>
  <si>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</si>
  <si>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</si>
  <si>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</si>
  <si>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</si>
  <si>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</si>
  <si>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</si>
  <si>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</si>
  <si>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</si>
  <si>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</si>
  <si>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</si>
  <si>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</si>
  <si>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</si>
  <si>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</si>
  <si>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</si>
  <si>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</si>
  <si>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</si>
  <si>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</si>
  <si>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</si>
  <si>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</si>
  <si>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</si>
  <si>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</si>
  <si>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</si>
  <si>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</si>
  <si>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</si>
  <si>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</si>
  <si>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</si>
  <si>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</si>
  <si>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</si>
  <si>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</si>
  <si>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</si>
  <si>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</si>
  <si>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</si>
  <si>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</si>
  <si>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</si>
  <si>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</si>
  <si>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</si>
  <si>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</si>
  <si>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</si>
  <si>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</si>
  <si>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</si>
  <si>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</si>
  <si>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</si>
  <si>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</si>
  <si>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</si>
  <si>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</si>
  <si>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</si>
  <si>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</si>
  <si>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</si>
  <si>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</si>
  <si>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</si>
  <si>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</si>
  <si>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</si>
  <si>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</si>
  <si>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</si>
  <si>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</si>
  <si>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</si>
  <si>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</si>
  <si>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</si>
  <si>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</si>
  <si>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</si>
  <si>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</si>
  <si>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</si>
  <si>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</si>
  <si>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</si>
  <si>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</si>
  <si>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</si>
  <si>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</si>
  <si>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</si>
  <si>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</si>
  <si>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</si>
  <si>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</si>
  <si>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</si>
  <si>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</si>
  <si>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</si>
  <si>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</si>
  <si>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</si>
  <si>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</si>
  <si>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</si>
  <si>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</si>
  <si>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</si>
  <si>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</si>
  <si>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</si>
  <si>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</si>
  <si>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</si>
  <si>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</si>
  <si>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</si>
  <si>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</si>
  <si>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</si>
  <si>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</si>
  <si>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</si>
  <si>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</si>
  <si>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</si>
  <si>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</si>
  <si>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</si>
  <si>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</si>
  <si>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</si>
  <si>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</si>
  <si>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</si>
  <si>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</si>
  <si>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</si>
  <si>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</si>
  <si>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</si>
  <si>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</si>
  <si>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</si>
  <si>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</si>
  <si>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</si>
  <si>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</si>
  <si>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</si>
  <si>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</si>
  <si>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</si>
  <si>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</si>
  <si>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</si>
  <si>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</si>
  <si>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</si>
  <si>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</si>
  <si>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</si>
  <si>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</si>
  <si>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</si>
  <si>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</si>
  <si>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</si>
  <si>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</si>
  <si>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</si>
  <si>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</si>
  <si>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</si>
  <si>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</si>
  <si>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</si>
  <si>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</si>
  <si>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</si>
  <si>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</si>
  <si>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</si>
  <si>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</si>
  <si>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</si>
  <si>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</si>
  <si>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</si>
  <si>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</si>
  <si>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</si>
  <si>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</si>
  <si>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</si>
  <si>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</si>
  <si>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</si>
  <si>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</si>
  <si>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</si>
  <si>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</si>
  <si>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</si>
  <si>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</si>
  <si>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</si>
  <si>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</si>
  <si>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</si>
  <si>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</si>
  <si>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</si>
  <si>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</si>
  <si>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</si>
  <si>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</si>
  <si>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</si>
  <si>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</si>
  <si>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</si>
  <si>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</si>
  <si>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</si>
  <si>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</si>
  <si>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</si>
  <si>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</si>
  <si>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</si>
  <si>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</si>
  <si>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</si>
  <si>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</si>
  <si>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</si>
  <si>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</si>
  <si>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</si>
  <si>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</si>
  <si>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</si>
  <si>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</si>
  <si>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</si>
  <si>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</si>
  <si>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</si>
  <si>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</si>
  <si>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</si>
  <si>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</si>
  <si>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</si>
  <si>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</si>
  <si>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</si>
  <si>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</si>
  <si>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</si>
  <si>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</si>
  <si>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</si>
  <si>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</si>
  <si>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</si>
  <si>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</si>
  <si>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</si>
  <si>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</si>
  <si>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</si>
  <si>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</si>
  <si>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</si>
  <si>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</si>
  <si>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</si>
  <si>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</si>
  <si>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</si>
  <si>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</si>
  <si>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</si>
  <si>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</si>
  <si>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</si>
  <si>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</si>
  <si>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</si>
  <si>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</si>
  <si>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</si>
  <si>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</si>
  <si>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</si>
  <si>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</si>
  <si>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</si>
  <si>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</si>
  <si>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</si>
  <si>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</si>
  <si>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</si>
  <si>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</si>
  <si>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</si>
  <si>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</si>
  <si>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</si>
  <si>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</si>
  <si>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</si>
  <si>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</si>
  <si>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</si>
  <si>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</si>
  <si>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</si>
  <si>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</si>
  <si>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</si>
  <si>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</si>
  <si>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</si>
  <si>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</si>
  <si>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</si>
  <si>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</si>
  <si>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</si>
  <si>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</si>
  <si>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</si>
  <si>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</si>
  <si>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</si>
  <si>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</si>
  <si>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</si>
  <si>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</si>
  <si>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</si>
  <si>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</si>
  <si>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</si>
  <si>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</si>
  <si>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</si>
  <si>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</si>
  <si>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</si>
  <si>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</si>
  <si>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</si>
  <si>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</si>
  <si>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</si>
  <si>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</si>
  <si>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</si>
  <si>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</si>
  <si>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</si>
  <si>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</si>
  <si>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</si>
  <si>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</si>
  <si>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</si>
  <si>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</si>
  <si>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</si>
  <si>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</si>
  <si>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</si>
  <si>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</si>
  <si>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</si>
  <si>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</si>
  <si>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</si>
  <si>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</si>
  <si>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</si>
  <si>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</si>
  <si>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</si>
  <si>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</si>
  <si>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</si>
  <si>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</si>
  <si>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</si>
  <si>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</si>
  <si>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</si>
  <si>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</si>
  <si>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</si>
  <si>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</si>
  <si>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</si>
  <si>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</si>
  <si>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</si>
  <si>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</si>
  <si>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</si>
  <si>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</si>
  <si>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</si>
  <si>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</si>
  <si>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</si>
  <si>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</si>
  <si>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</si>
  <si>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</si>
  <si>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</si>
  <si>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</si>
  <si>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</si>
  <si>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</si>
  <si>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</si>
  <si>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</si>
  <si>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</si>
  <si>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</si>
  <si>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</si>
  <si>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</si>
  <si>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</si>
  <si>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</si>
  <si>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</si>
  <si>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</si>
  <si>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</si>
  <si>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</si>
  <si>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</si>
  <si>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</si>
  <si>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</si>
  <si>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</si>
  <si>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</si>
  <si>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</si>
  <si>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</si>
  <si>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</si>
  <si>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</si>
  <si>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</si>
  <si>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</si>
  <si>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</si>
  <si>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</si>
  <si>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</si>
  <si>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</si>
  <si>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</si>
  <si>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</si>
  <si>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</si>
  <si>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</si>
  <si>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</si>
  <si>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</si>
  <si>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</si>
  <si>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</si>
  <si>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</si>
  <si>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</si>
  <si>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</si>
  <si>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</si>
  <si>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</si>
  <si>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</si>
  <si>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</si>
  <si>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</si>
  <si>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</si>
  <si>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</si>
  <si>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</si>
  <si>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</si>
  <si>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</si>
  <si>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</si>
  <si>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</si>
  <si>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</si>
  <si>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</si>
  <si>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</si>
  <si>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</si>
  <si>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</si>
  <si>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</si>
  <si>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</si>
  <si>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</si>
  <si>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</si>
  <si>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</si>
  <si>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</si>
  <si>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</si>
  <si>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</si>
  <si>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</si>
  <si>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</si>
  <si>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</si>
  <si>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</si>
  <si>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</si>
  <si>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</si>
  <si>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</si>
  <si>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</si>
  <si>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</si>
  <si>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</si>
  <si>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</si>
  <si>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</si>
  <si>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</si>
  <si>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</si>
  <si>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</si>
  <si>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</si>
  <si>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</si>
  <si>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</si>
  <si>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</si>
  <si>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</si>
  <si>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</si>
  <si>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</si>
  <si>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</si>
  <si>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</si>
  <si>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</si>
  <si>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</si>
  <si>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</si>
  <si>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</si>
  <si>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</si>
  <si>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</si>
  <si>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</si>
  <si>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</si>
  <si>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</si>
  <si>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</si>
  <si>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</si>
  <si>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</si>
  <si>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</si>
  <si>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</si>
  <si>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</si>
  <si>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</si>
  <si>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</si>
  <si>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</si>
  <si>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</si>
  <si>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</si>
  <si>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</si>
  <si>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</si>
  <si>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</si>
  <si>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</si>
  <si>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</si>
  <si>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</si>
  <si>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</si>
  <si>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</si>
  <si>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</si>
  <si>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</si>
  <si>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</si>
  <si>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</si>
  <si>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</si>
  <si>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</si>
  <si>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</si>
  <si>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</si>
  <si>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</si>
  <si>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</si>
  <si>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</si>
  <si>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</si>
  <si>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</si>
  <si>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</si>
  <si>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</si>
  <si>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</si>
  <si>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</si>
  <si>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</si>
  <si>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</si>
  <si>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</si>
  <si>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</si>
  <si>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</si>
  <si>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</si>
  <si>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</si>
  <si>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</si>
  <si>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</si>
  <si>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</si>
  <si>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</si>
  <si>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</si>
  <si>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</si>
  <si>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</si>
  <si>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</si>
  <si>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</si>
  <si>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</si>
  <si>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</si>
  <si>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</si>
  <si>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</si>
  <si>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</si>
  <si>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</si>
  <si>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</si>
  <si>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</si>
  <si>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</si>
  <si>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</si>
  <si>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</si>
  <si>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</si>
  <si>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</si>
  <si>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</si>
  <si>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</si>
  <si>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</si>
  <si>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</si>
  <si>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</si>
  <si>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</si>
  <si>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</si>
  <si>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</si>
  <si>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</si>
  <si>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</si>
  <si>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</si>
  <si>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</si>
  <si>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</si>
  <si>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</si>
  <si>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</si>
  <si>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</si>
  <si>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</si>
  <si>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</si>
  <si>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</si>
  <si>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</si>
  <si>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</si>
  <si>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</si>
  <si>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</si>
  <si>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</si>
  <si>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</si>
  <si>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</si>
  <si>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</si>
  <si>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</si>
  <si>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</si>
  <si>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</si>
  <si>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</si>
  <si>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</si>
  <si>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</si>
  <si>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</si>
  <si>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</si>
  <si>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</si>
  <si>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</si>
  <si>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</si>
  <si>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</si>
  <si>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</si>
  <si>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</si>
  <si>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</si>
  <si>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</si>
  <si>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</si>
  <si>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</si>
  <si>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</si>
  <si>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</si>
  <si>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</si>
  <si>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</si>
  <si>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</si>
  <si>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</si>
  <si>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</si>
  <si>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</si>
  <si>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</si>
  <si>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</si>
  <si>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</si>
  <si>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</si>
  <si>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</si>
  <si>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</si>
  <si>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</si>
  <si>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</si>
  <si>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</si>
  <si>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</si>
  <si>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</si>
  <si>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</si>
  <si>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</si>
  <si>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</si>
  <si>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</si>
  <si>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</si>
  <si>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</si>
  <si>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</si>
  <si>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</si>
  <si>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</si>
  <si>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</si>
  <si>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</si>
  <si>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</si>
  <si>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</si>
  <si>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</si>
  <si>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</si>
  <si>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</si>
  <si>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</si>
  <si>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</si>
  <si>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</si>
  <si>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</si>
  <si>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</si>
  <si>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</si>
  <si>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</si>
  <si>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</si>
  <si>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</si>
  <si>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</si>
  <si>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</si>
  <si>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</si>
  <si>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</si>
  <si>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</si>
  <si>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</si>
  <si>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</si>
  <si>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</si>
  <si>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</si>
  <si>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</si>
  <si>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</si>
  <si>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</si>
  <si>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</si>
  <si>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</si>
  <si>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</si>
  <si>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</si>
  <si>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</si>
  <si>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</si>
  <si>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</si>
  <si>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</si>
  <si>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</si>
  <si>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</si>
  <si>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</si>
  <si>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</si>
  <si>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</si>
  <si>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</si>
  <si>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</si>
  <si>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</si>
  <si>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</si>
  <si>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</si>
  <si>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</si>
  <si>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</si>
  <si>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</si>
  <si>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</si>
  <si>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</si>
  <si>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</si>
  <si>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</si>
  <si>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</si>
  <si>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</si>
  <si>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</si>
  <si>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</si>
  <si>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</si>
  <si>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</si>
  <si>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</si>
  <si>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</si>
  <si>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</si>
  <si>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</si>
  <si>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</si>
  <si>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</si>
  <si>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</si>
  <si>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</si>
  <si>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</si>
  <si>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</si>
  <si>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</si>
  <si>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</si>
  <si>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</si>
  <si>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</si>
  <si>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</si>
  <si>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</si>
  <si>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</si>
  <si>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</si>
  <si>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</si>
  <si>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</si>
  <si>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</si>
  <si>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</si>
  <si>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</si>
  <si>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</si>
  <si>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</si>
  <si>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</si>
  <si>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</si>
  <si>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</si>
  <si>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</si>
  <si>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</si>
  <si>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</si>
  <si>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</si>
  <si>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</si>
  <si>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</si>
  <si>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</si>
  <si>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</si>
  <si>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</si>
  <si>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</si>
  <si>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</si>
  <si>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</si>
  <si>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</si>
  <si>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</si>
  <si>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</si>
  <si>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</si>
  <si>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</si>
  <si>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</si>
  <si>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</si>
  <si>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</si>
  <si>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</si>
  <si>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</si>
  <si>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</si>
  <si>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</si>
  <si>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</si>
  <si>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</si>
  <si>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</si>
  <si>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</si>
  <si>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</si>
  <si>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</si>
  <si>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</si>
  <si>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</si>
  <si>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</si>
  <si>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</si>
  <si>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</si>
  <si>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</si>
  <si>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</si>
  <si>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</si>
  <si>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</si>
  <si>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</si>
  <si>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</si>
  <si>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</si>
  <si>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</si>
  <si>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</si>
  <si>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</si>
  <si>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</si>
  <si>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</si>
  <si>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</si>
  <si>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</si>
  <si>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</si>
  <si>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</si>
  <si>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</si>
  <si>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</si>
  <si>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</si>
  <si>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</si>
  <si>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</si>
  <si>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</si>
  <si>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</si>
  <si>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</si>
  <si>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</si>
  <si>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</si>
  <si>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</si>
  <si>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</si>
  <si>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</si>
  <si>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</si>
  <si>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</si>
  <si>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</si>
  <si>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</si>
  <si>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</si>
  <si>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</si>
  <si>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</si>
  <si>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</si>
  <si>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</si>
  <si>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</si>
  <si>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</si>
  <si>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</si>
  <si>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</si>
  <si>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</si>
  <si>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</si>
  <si>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</si>
  <si>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</si>
  <si>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</si>
  <si>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</si>
  <si>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</si>
  <si>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</si>
  <si>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</si>
  <si>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</si>
  <si>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</si>
  <si>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</si>
  <si>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</si>
  <si>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</si>
  <si>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</si>
  <si>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</si>
  <si>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</si>
  <si>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</si>
  <si>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</si>
  <si>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</si>
  <si>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</si>
  <si>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</si>
  <si>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</si>
  <si>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</si>
  <si>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</si>
  <si>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</si>
  <si>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</si>
  <si>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</si>
  <si>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</si>
  <si>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</si>
  <si>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</si>
  <si>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</si>
  <si>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</si>
  <si>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</si>
  <si>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</si>
  <si>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</si>
  <si>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</si>
  <si>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</si>
  <si>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</si>
  <si>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</si>
  <si>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</si>
  <si>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</si>
  <si>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</si>
  <si>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</si>
  <si>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</si>
  <si>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</si>
  <si>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</si>
  <si>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</si>
  <si>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</si>
  <si>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</si>
  <si>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</si>
  <si>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</si>
  <si>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</si>
  <si>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</si>
  <si>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</si>
  <si>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</si>
  <si>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</si>
  <si>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</si>
  <si>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</si>
  <si>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</si>
  <si>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</si>
  <si>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</si>
  <si>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</si>
  <si>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</si>
  <si>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</si>
  <si>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</si>
  <si>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</si>
  <si>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</si>
  <si>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</si>
  <si>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</si>
  <si>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</si>
  <si>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</si>
  <si>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</si>
  <si>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</si>
  <si>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</si>
  <si>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</si>
  <si>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</si>
  <si>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</si>
  <si>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</si>
  <si>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</si>
  <si>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</si>
  <si>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</si>
  <si>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</si>
  <si>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</si>
  <si>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</si>
  <si>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</si>
  <si>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</si>
  <si>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</si>
  <si>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</si>
  <si>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</si>
  <si>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</si>
  <si>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</si>
  <si>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</si>
  <si>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</si>
  <si>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</si>
  <si>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</si>
  <si>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</si>
  <si>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</si>
  <si>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</si>
  <si>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</si>
  <si>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</si>
  <si>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</si>
  <si>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</si>
  <si>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</si>
  <si>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</si>
  <si>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</si>
  <si>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</si>
  <si>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</si>
  <si>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</si>
  <si>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</si>
  <si>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</si>
  <si>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</si>
  <si>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</si>
  <si>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</si>
  <si>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</si>
  <si>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</si>
  <si>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</si>
  <si>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</si>
  <si>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</si>
  <si>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</si>
  <si>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</si>
  <si>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</si>
  <si>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</si>
  <si>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</si>
  <si>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</si>
  <si>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</si>
  <si>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</si>
  <si>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</si>
  <si>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</si>
  <si>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</si>
  <si>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</si>
  <si>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</si>
  <si>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</si>
  <si>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</si>
  <si>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</si>
  <si>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</si>
  <si>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</si>
  <si>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</si>
  <si>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</si>
  <si>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</si>
  <si>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</si>
  <si>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</si>
  <si>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</si>
  <si>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</si>
  <si>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</si>
  <si>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</si>
  <si>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</si>
  <si>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</si>
  <si>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</si>
  <si>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</si>
  <si>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</si>
  <si>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</si>
  <si>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</si>
  <si>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</si>
  <si>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</si>
  <si>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</si>
  <si>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</si>
  <si>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</si>
  <si>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</si>
  <si>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</si>
  <si>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</si>
  <si>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</si>
  <si>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</si>
  <si>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</si>
  <si>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</si>
  <si>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</si>
  <si>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</si>
  <si>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</si>
  <si>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</si>
  <si>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</si>
  <si>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</si>
  <si>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</si>
  <si>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</si>
  <si>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</si>
  <si>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</si>
  <si>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</si>
  <si>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</si>
  <si>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</si>
  <si>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</si>
  <si>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</si>
  <si>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</si>
  <si>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</si>
  <si>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</si>
  <si>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</si>
  <si>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</si>
  <si>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</si>
  <si>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</si>
  <si>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</si>
  <si>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</si>
  <si>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</si>
  <si>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</si>
  <si>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</si>
  <si>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</si>
  <si>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</si>
  <si>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</si>
  <si>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</si>
  <si>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</si>
  <si>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</si>
  <si>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</si>
  <si>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</si>
  <si>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</si>
  <si>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</si>
  <si>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</si>
  <si>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</si>
  <si>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</si>
  <si>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</si>
  <si>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</si>
  <si>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</si>
  <si>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</si>
  <si>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</si>
  <si>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</si>
  <si>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</si>
  <si>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</si>
  <si>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</si>
  <si>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</si>
  <si>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</si>
  <si>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</si>
  <si>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</si>
  <si>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</si>
  <si>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</si>
  <si>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</si>
  <si>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</si>
  <si>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</si>
  <si>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</si>
  <si>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</si>
  <si>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</si>
  <si>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</si>
  <si>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</si>
  <si>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</si>
  <si>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</si>
  <si>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</si>
  <si>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</si>
  <si>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</si>
  <si>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</si>
  <si>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</si>
  <si>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</si>
  <si>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</si>
  <si>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</si>
  <si>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</si>
  <si>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</si>
  <si>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</si>
  <si>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</si>
  <si>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</si>
  <si>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</si>
  <si>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</si>
  <si>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</si>
  <si>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</si>
  <si>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</si>
  <si>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</si>
  <si>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</si>
  <si>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</si>
  <si>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</si>
  <si>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</si>
  <si>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</si>
  <si>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</si>
  <si>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</si>
  <si>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</si>
  <si>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</si>
  <si>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</si>
  <si>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</si>
  <si>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</si>
  <si>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</si>
  <si>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</si>
  <si>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</si>
  <si>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</si>
  <si>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</si>
  <si>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</si>
  <si>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</si>
  <si>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</si>
  <si>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</si>
  <si>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</si>
  <si>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</si>
  <si>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</si>
  <si>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</si>
  <si>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</si>
  <si>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</si>
  <si>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</si>
  <si>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</si>
  <si>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</si>
  <si>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</si>
  <si>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</si>
  <si>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</si>
  <si>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</si>
  <si>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</si>
  <si>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</si>
  <si>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</si>
  <si>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</si>
  <si>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</si>
  <si>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</si>
  <si>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</si>
  <si>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</si>
  <si>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</si>
  <si>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</si>
  <si>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</si>
  <si>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</si>
  <si>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</si>
  <si>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</si>
  <si>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</si>
  <si>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</si>
  <si>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</si>
  <si>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</si>
  <si>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</si>
  <si>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</si>
  <si>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</si>
  <si>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</si>
  <si>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</si>
  <si>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</si>
  <si>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</si>
  <si>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</si>
  <si>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</si>
  <si>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</si>
  <si>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</si>
  <si>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</si>
  <si>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</si>
  <si>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</si>
  <si>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</si>
  <si>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</si>
  <si>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</si>
  <si>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</si>
  <si>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</si>
  <si>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</si>
  <si>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</si>
  <si>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</si>
  <si>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</si>
  <si>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</si>
  <si>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</si>
  <si>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</si>
  <si>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</si>
  <si>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</si>
  <si>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</si>
  <si>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</si>
  <si>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</si>
  <si>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</si>
  <si>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</si>
  <si>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</si>
  <si>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</si>
  <si>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</si>
  <si>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</si>
  <si>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</si>
  <si>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</si>
  <si>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</si>
  <si>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</si>
  <si>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</si>
  <si>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</si>
  <si>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</si>
  <si>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</si>
  <si>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</si>
  <si>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</si>
  <si>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</si>
  <si>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</si>
  <si>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</si>
  <si>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</si>
  <si>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</si>
  <si>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</si>
  <si>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</si>
  <si>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</si>
  <si>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</si>
  <si>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</si>
  <si>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</si>
  <si>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</si>
  <si>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</si>
  <si>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</si>
  <si>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</si>
  <si>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</si>
  <si>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</si>
  <si>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</si>
  <si>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</si>
  <si>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</si>
  <si>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</si>
  <si>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</si>
  <si>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</si>
  <si>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</si>
  <si>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</si>
  <si>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</si>
  <si>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</si>
  <si>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</si>
  <si>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</si>
  <si>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</si>
  <si>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</si>
  <si>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</si>
  <si>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</si>
  <si>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</si>
  <si>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</si>
  <si>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</si>
  <si>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</si>
  <si>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</si>
  <si>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</si>
  <si>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</si>
  <si>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</si>
  <si>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</si>
  <si>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</si>
  <si>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</si>
  <si>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</si>
  <si>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</si>
  <si>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</si>
  <si>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</si>
  <si>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</si>
  <si>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</si>
  <si>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</si>
  <si>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</si>
  <si>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</si>
  <si>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</si>
  <si>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</si>
  <si>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</si>
  <si>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</si>
  <si>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</si>
  <si>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</si>
  <si>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</si>
  <si>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</si>
  <si>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</si>
  <si>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</si>
  <si>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</si>
  <si>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</si>
  <si>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</si>
  <si>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</si>
  <si>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</si>
  <si>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</si>
  <si>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</si>
  <si>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</si>
  <si>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</si>
  <si>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</si>
  <si>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</si>
  <si>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</si>
  <si>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</si>
  <si>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</si>
  <si>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</si>
  <si>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</si>
  <si>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</si>
  <si>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</si>
  <si>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</si>
  <si>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</si>
  <si>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</si>
  <si>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</si>
  <si>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</si>
  <si>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</si>
  <si>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</si>
  <si>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</si>
  <si>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</si>
  <si>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</si>
  <si>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</si>
  <si>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</si>
  <si>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</si>
  <si>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</si>
  <si>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</si>
  <si>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</si>
  <si>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</si>
  <si>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</si>
  <si>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</si>
  <si>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</si>
  <si>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</si>
  <si>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</si>
  <si>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</si>
  <si>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</si>
  <si>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</si>
  <si>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</si>
  <si>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</si>
  <si>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</si>
  <si>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</si>
  <si>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</si>
  <si>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</si>
  <si>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</si>
  <si>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</si>
  <si>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</si>
  <si>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</si>
  <si>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</si>
  <si>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</si>
  <si>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</si>
  <si>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</si>
  <si>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</si>
  <si>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</si>
  <si>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</si>
  <si>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</si>
  <si>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</si>
  <si>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</si>
  <si>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</si>
  <si>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</si>
  <si>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</si>
  <si>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</si>
  <si>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</si>
  <si>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</si>
  <si>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</si>
  <si>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</si>
  <si>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</si>
  <si>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</si>
  <si>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</si>
  <si>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</si>
  <si>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</si>
  <si>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</si>
  <si>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</si>
  <si>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</si>
  <si>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</si>
  <si>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</si>
  <si>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</si>
  <si>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</si>
  <si>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</si>
  <si>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</si>
  <si>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</si>
  <si>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</si>
  <si>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</si>
  <si>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</si>
  <si>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</si>
  <si>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</si>
  <si>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</si>
  <si>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</si>
  <si>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</si>
  <si>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</si>
  <si>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</si>
  <si>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</si>
  <si>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</si>
  <si>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</si>
  <si>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</si>
  <si>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</si>
  <si>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</si>
  <si>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</si>
  <si>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</si>
  <si>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</si>
  <si>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</si>
  <si>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</si>
  <si>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</si>
  <si>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</si>
  <si>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</si>
  <si>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</si>
  <si>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</si>
  <si>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</si>
  <si>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</si>
  <si>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</si>
  <si>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</si>
  <si>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</si>
  <si>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</si>
  <si>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</si>
  <si>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</si>
  <si>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</si>
  <si>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</si>
  <si>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</si>
  <si>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</si>
  <si>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</si>
  <si>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</si>
  <si>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</si>
  <si>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</si>
  <si>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</si>
  <si>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</si>
  <si>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</si>
  <si>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</si>
  <si>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</si>
  <si>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</si>
  <si>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</si>
  <si>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</si>
  <si>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</si>
  <si>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</si>
  <si>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</si>
  <si>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</si>
  <si>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</si>
  <si>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</si>
  <si>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</si>
  <si>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</si>
  <si>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</si>
  <si>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</si>
  <si>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</si>
  <si>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</si>
  <si>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</si>
  <si>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</si>
  <si>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</si>
  <si>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</si>
  <si>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</si>
  <si>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</si>
  <si>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</si>
  <si>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</si>
  <si>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</si>
  <si>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</si>
  <si>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</si>
  <si>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</si>
  <si>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</si>
  <si>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</si>
  <si>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</si>
  <si>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</si>
  <si>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</si>
  <si>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</si>
  <si>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</si>
  <si>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</si>
  <si>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</si>
  <si>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</si>
  <si>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</si>
  <si>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</si>
  <si>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</si>
  <si>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</si>
  <si>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</si>
  <si>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</si>
  <si>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</si>
  <si>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</si>
  <si>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</si>
  <si>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</si>
  <si>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</si>
  <si>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</si>
  <si>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</si>
  <si>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</si>
  <si>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</si>
  <si>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</si>
  <si>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</si>
  <si>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</si>
  <si>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</si>
  <si>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</si>
  <si>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</si>
  <si>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</si>
  <si>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</si>
  <si>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</si>
  <si>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</si>
  <si>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</si>
  <si>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</si>
  <si>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</si>
  <si>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</si>
  <si>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</si>
  <si>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</si>
  <si>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</si>
  <si>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</si>
  <si>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</si>
  <si>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</si>
  <si>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</si>
  <si>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</si>
  <si>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</si>
  <si>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</si>
  <si>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</si>
  <si>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</si>
  <si>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</si>
  <si>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</si>
  <si>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</si>
  <si>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</si>
  <si>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</si>
  <si>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</si>
  <si>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</si>
  <si>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</si>
  <si>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</si>
  <si>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</si>
  <si>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</si>
  <si>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</si>
  <si>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</si>
  <si>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</si>
  <si>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</si>
  <si>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</si>
  <si>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</si>
  <si>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</si>
  <si>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</si>
  <si>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</si>
  <si>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</si>
  <si>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</si>
  <si>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</si>
  <si>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</si>
  <si>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</si>
  <si>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</si>
  <si>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</si>
  <si>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</si>
  <si>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</si>
  <si>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</si>
  <si>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</si>
  <si>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</si>
  <si>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</si>
  <si>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</si>
  <si>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</si>
  <si>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</si>
  <si>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</si>
  <si>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</si>
  <si>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</si>
  <si>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</si>
  <si>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</si>
  <si>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</si>
  <si>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</si>
  <si>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</si>
  <si>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</si>
  <si>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</si>
  <si>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</si>
  <si>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</si>
  <si>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</si>
  <si>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</si>
  <si>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</si>
  <si>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</si>
  <si>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</si>
  <si>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</si>
  <si>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</si>
  <si>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</si>
  <si>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</si>
  <si>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</si>
  <si>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</si>
  <si>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</si>
  <si>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</si>
  <si>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</si>
  <si>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</si>
  <si>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</si>
  <si>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</si>
  <si>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</si>
  <si>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</si>
  <si>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</si>
  <si>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</si>
  <si>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</si>
  <si>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</si>
  <si>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</si>
  <si>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</si>
  <si>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</si>
  <si>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</si>
  <si>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</si>
  <si>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</si>
  <si>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</si>
  <si>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</si>
  <si>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</si>
  <si>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</si>
  <si>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</si>
  <si>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</si>
  <si>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</si>
  <si>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</si>
  <si>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</si>
  <si>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</si>
  <si>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</si>
  <si>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</si>
  <si>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</si>
  <si>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</si>
  <si>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</si>
  <si>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</si>
  <si>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</si>
  <si>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</si>
  <si>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</si>
  <si>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</si>
  <si>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</si>
  <si>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</si>
  <si>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</si>
  <si>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</si>
  <si>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</si>
  <si>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</si>
  <si>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</si>
  <si>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</si>
  <si>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</si>
  <si>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</si>
  <si>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</si>
  <si>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</si>
  <si>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</si>
  <si>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</si>
  <si>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</si>
  <si>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</si>
  <si>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</si>
  <si>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</si>
  <si>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</si>
  <si>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</si>
  <si>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</si>
  <si>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</si>
  <si>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</si>
  <si>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</si>
  <si>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</si>
  <si>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</si>
  <si>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</si>
  <si>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</si>
  <si>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</si>
  <si>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</si>
  <si>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</si>
  <si>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</si>
  <si>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</si>
  <si>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</si>
  <si>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</si>
  <si>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</si>
  <si>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</si>
  <si>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</si>
  <si>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</si>
  <si>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</si>
  <si>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</si>
  <si>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</si>
  <si>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</si>
  <si>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</si>
  <si>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</si>
  <si>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</si>
  <si>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</si>
  <si>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</si>
  <si>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</si>
  <si>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</si>
  <si>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</si>
  <si>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</si>
  <si>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</si>
  <si>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</si>
  <si>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</si>
  <si>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</si>
  <si>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</si>
  <si>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</si>
  <si>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</si>
  <si>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</si>
  <si>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</si>
  <si>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</si>
  <si>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</si>
  <si>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</si>
  <si>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</si>
  <si>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</si>
  <si>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</si>
  <si>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</si>
  <si>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</si>
  <si>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</si>
  <si>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</si>
  <si>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</si>
  <si>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</si>
  <si>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</si>
  <si>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</si>
  <si>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</si>
  <si>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</si>
  <si>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</si>
  <si>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</si>
  <si>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</si>
  <si>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</si>
  <si>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</si>
  <si>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</si>
  <si>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</si>
  <si>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</si>
  <si>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</si>
  <si>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</si>
  <si>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</si>
  <si>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</si>
  <si>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</si>
  <si>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</si>
  <si>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</si>
  <si>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</si>
  <si>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</si>
  <si>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</si>
  <si>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</si>
  <si>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</si>
  <si>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</si>
  <si>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</si>
  <si>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</si>
  <si>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</si>
  <si>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</si>
  <si>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</si>
  <si>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</si>
  <si>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</si>
  <si>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</si>
  <si>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</si>
  <si>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</si>
  <si>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</si>
  <si>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</si>
  <si>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</si>
  <si>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</si>
  <si>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</si>
  <si>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</si>
  <si>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</si>
  <si>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</si>
  <si>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</si>
  <si>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</si>
  <si>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</si>
  <si>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</si>
  <si>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</si>
  <si>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</si>
  <si>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</si>
  <si>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</si>
  <si>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</si>
  <si>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</si>
  <si>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</si>
  <si>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</si>
  <si>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</si>
  <si>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</si>
  <si>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</si>
  <si>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</si>
  <si>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</si>
  <si>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</si>
  <si>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</si>
  <si>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</si>
  <si>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</si>
  <si>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</si>
  <si>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</si>
  <si>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</si>
  <si>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</si>
  <si>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</si>
  <si>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</si>
  <si>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</si>
  <si>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</si>
  <si>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</si>
  <si>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</si>
  <si>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</si>
  <si>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</si>
  <si>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</si>
  <si>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</si>
  <si>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</si>
  <si>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</si>
  <si>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</si>
  <si>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</si>
  <si>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</si>
  <si>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</si>
  <si>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</si>
  <si>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</si>
  <si>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</si>
  <si>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</si>
  <si>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</si>
  <si>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</si>
  <si>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</si>
  <si>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</si>
  <si>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</si>
  <si>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</si>
  <si>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</si>
  <si>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</si>
  <si>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</si>
  <si>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</si>
  <si>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</si>
  <si>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</si>
  <si>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</si>
  <si>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</si>
  <si>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</si>
  <si>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</si>
  <si>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</si>
  <si>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</si>
  <si>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</si>
  <si>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</si>
  <si>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</si>
  <si>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</si>
  <si>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</si>
  <si>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</si>
  <si>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</si>
  <si>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</si>
  <si>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</si>
  <si>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</si>
  <si>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</si>
  <si>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</si>
  <si>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</si>
  <si>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</si>
  <si>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</si>
  <si>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</si>
  <si>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</si>
  <si>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</si>
  <si>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</si>
  <si>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</si>
  <si>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</si>
  <si>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</si>
  <si>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</si>
  <si>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</si>
  <si>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</si>
  <si>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</si>
  <si>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</si>
  <si>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</si>
  <si>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</si>
  <si>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</si>
  <si>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</si>
  <si>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</si>
  <si>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</si>
  <si>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</si>
  <si>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</si>
  <si>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</si>
  <si>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</si>
  <si>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</si>
  <si>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</si>
  <si>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</si>
  <si>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</si>
  <si>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</si>
  <si>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</si>
  <si>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</si>
  <si>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</si>
  <si>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</si>
  <si>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</si>
  <si>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</si>
  <si>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</si>
  <si>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</si>
  <si>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</si>
  <si>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</si>
  <si>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</si>
  <si>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</si>
  <si>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</si>
  <si>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</si>
  <si>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</si>
  <si>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</si>
  <si>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</si>
  <si>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</si>
  <si>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</si>
  <si>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</si>
  <si>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</si>
  <si>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</si>
  <si>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</si>
  <si>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</si>
  <si>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</si>
  <si>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</si>
  <si>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</si>
  <si>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</si>
  <si>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</si>
  <si>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</si>
  <si>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</si>
  <si>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</si>
  <si>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</si>
  <si>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</si>
  <si>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</si>
  <si>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</si>
  <si>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</si>
  <si>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</si>
  <si>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</si>
  <si>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</si>
  <si>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</si>
  <si>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</si>
  <si>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</si>
  <si>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</si>
  <si>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</si>
  <si>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</si>
  <si>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</si>
  <si>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</si>
  <si>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</si>
  <si>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</si>
  <si>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</si>
  <si>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</si>
  <si>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</si>
  <si>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</si>
  <si>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</si>
  <si>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</si>
  <si>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</si>
  <si>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</si>
  <si>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</si>
  <si>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</si>
  <si>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</si>
  <si>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</si>
  <si>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</si>
  <si>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</si>
  <si>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</si>
  <si>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</si>
  <si>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</si>
  <si>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</si>
  <si>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</si>
  <si>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</si>
  <si>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</si>
  <si>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</si>
  <si>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</si>
  <si>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</si>
  <si>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</si>
  <si>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</si>
  <si>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</si>
  <si>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</si>
  <si>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</si>
  <si>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</si>
  <si>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</si>
  <si>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</si>
  <si>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</si>
  <si>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</si>
  <si>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</si>
  <si>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</si>
  <si>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</si>
  <si>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</si>
  <si>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</si>
  <si>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</si>
  <si>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</si>
  <si>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</si>
  <si>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</si>
  <si>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</si>
  <si>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</si>
  <si>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</si>
  <si>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</si>
  <si>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</si>
  <si>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</si>
  <si>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</si>
  <si>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</si>
  <si>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</si>
  <si>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</si>
  <si>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</si>
  <si>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</si>
  <si>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</si>
  <si>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</si>
  <si>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</si>
  <si>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</si>
  <si>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</si>
  <si>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</si>
  <si>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</si>
  <si>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</si>
  <si>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</si>
  <si>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</si>
  <si>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</si>
  <si>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</si>
  <si>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</si>
  <si>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</si>
  <si>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</si>
  <si>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</si>
  <si>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</si>
  <si>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</si>
  <si>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</si>
  <si>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</si>
  <si>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</si>
  <si>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</si>
  <si>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</si>
  <si>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</si>
  <si>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</si>
  <si>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</si>
  <si>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</si>
  <si>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</si>
  <si>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</si>
  <si>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</si>
  <si>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</si>
  <si>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</si>
  <si>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</si>
  <si>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</si>
  <si>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</si>
  <si>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</si>
  <si>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</si>
  <si>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</si>
  <si>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</si>
  <si>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</si>
  <si>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</si>
  <si>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</si>
  <si>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</si>
  <si>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</si>
  <si>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</si>
  <si>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</si>
  <si>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</si>
  <si>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</si>
  <si>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</si>
  <si>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</si>
  <si>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</si>
  <si>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</si>
  <si>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</si>
  <si>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</si>
  <si>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</si>
  <si>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</si>
  <si>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</si>
  <si>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</si>
  <si>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</si>
  <si>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</si>
  <si>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</si>
  <si>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</si>
  <si>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</si>
  <si>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</si>
  <si>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</si>
  <si>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</si>
  <si>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</si>
  <si>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</si>
  <si>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</si>
  <si>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</si>
  <si>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</si>
  <si>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</si>
  <si>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</si>
  <si>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</si>
  <si>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</si>
  <si>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</si>
  <si>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</si>
  <si>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</si>
  <si>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</si>
  <si>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</si>
  <si>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</si>
  <si>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</si>
  <si>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</si>
  <si>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</si>
  <si>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</si>
  <si>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</si>
  <si>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</si>
  <si>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</si>
  <si>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</si>
  <si>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</si>
  <si>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</si>
  <si>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</si>
  <si>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</si>
  <si>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</si>
  <si>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</si>
  <si>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</si>
  <si>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</si>
  <si>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</si>
  <si>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</si>
  <si>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</si>
  <si>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</si>
  <si>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</si>
  <si>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</si>
  <si>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</si>
  <si>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</si>
  <si>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</si>
  <si>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</si>
  <si>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</si>
  <si>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</si>
  <si>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</si>
  <si>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</si>
  <si>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</si>
  <si>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</si>
  <si>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</si>
  <si>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</si>
  <si>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</si>
  <si>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</si>
  <si>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</si>
  <si>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</si>
  <si>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</si>
  <si>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</si>
  <si>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</si>
  <si>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</si>
  <si>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</si>
  <si>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</si>
  <si>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</si>
  <si>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</si>
  <si>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</si>
  <si>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</si>
  <si>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</si>
  <si>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</si>
  <si>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</si>
  <si>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</si>
  <si>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</si>
  <si>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</si>
  <si>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</si>
  <si>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</si>
  <si>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</si>
  <si>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</si>
  <si>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</si>
  <si>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</si>
  <si>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</si>
  <si>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</si>
  <si>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</si>
  <si>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</si>
  <si>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</si>
  <si>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</si>
  <si>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</si>
  <si>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</si>
  <si>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</si>
  <si>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</si>
  <si>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</si>
  <si>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</si>
  <si>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</si>
  <si>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</si>
  <si>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</si>
  <si>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</si>
  <si>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</si>
  <si>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</si>
  <si>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</si>
  <si>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</si>
  <si>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</si>
  <si>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</si>
  <si>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</si>
  <si>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</si>
  <si>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</si>
  <si>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</si>
  <si>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</si>
  <si>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</si>
  <si>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</si>
  <si>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</si>
  <si>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</si>
  <si>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</si>
  <si>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</si>
  <si>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</si>
  <si>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</si>
  <si>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</si>
  <si>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</si>
  <si>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</si>
  <si>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</si>
  <si>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</si>
  <si>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</si>
  <si>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</si>
  <si>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</si>
  <si>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</si>
  <si>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</si>
  <si>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</si>
  <si>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</si>
  <si>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</si>
  <si>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</si>
  <si>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</si>
  <si>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</si>
  <si>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</si>
  <si>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</si>
  <si>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</si>
  <si>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</si>
  <si>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</si>
  <si>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</si>
  <si>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</si>
  <si>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</si>
  <si>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</si>
  <si>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</si>
  <si>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</si>
  <si>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</si>
  <si>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</si>
  <si>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</si>
  <si>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</si>
  <si>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</si>
  <si>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</si>
  <si>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</si>
  <si>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</si>
  <si>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</si>
  <si>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</si>
  <si>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</si>
  <si>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</si>
  <si>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</si>
  <si>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</si>
  <si>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</si>
  <si>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</si>
  <si>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</si>
  <si>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</si>
  <si>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</si>
  <si>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</si>
  <si>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</si>
  <si>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</si>
  <si>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</si>
  <si>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</si>
  <si>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</si>
  <si>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</si>
  <si>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</si>
  <si>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</si>
  <si>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</si>
  <si>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</si>
  <si>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</si>
  <si>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</si>
  <si>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</si>
  <si>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</si>
  <si>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</si>
  <si>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</si>
  <si>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</si>
  <si>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</si>
  <si>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</si>
  <si>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</si>
  <si>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</si>
  <si>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</si>
  <si>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</si>
  <si>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</si>
  <si>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</si>
  <si>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</si>
  <si>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</si>
  <si>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</si>
  <si>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</si>
  <si>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</si>
  <si>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</si>
  <si>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</si>
  <si>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</si>
  <si>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</si>
  <si>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</si>
  <si>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</si>
  <si>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</si>
  <si>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</si>
  <si>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</si>
  <si>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</si>
  <si>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</si>
  <si>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</si>
  <si>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</si>
  <si>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</si>
  <si>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</si>
  <si>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</si>
  <si>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</si>
  <si>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</si>
  <si>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</si>
  <si>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</si>
  <si>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</si>
  <si>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</si>
  <si>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</si>
  <si>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</si>
  <si>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</si>
  <si>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</si>
  <si>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</si>
  <si>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</si>
  <si>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</si>
  <si>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</si>
  <si>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</si>
  <si>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</si>
  <si>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</si>
  <si>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</si>
  <si>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</si>
  <si>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</si>
  <si>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</si>
  <si>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</si>
  <si>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</si>
  <si>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</si>
  <si>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</si>
  <si>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</si>
  <si>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</si>
  <si>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</si>
  <si>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</si>
  <si>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</si>
  <si>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</si>
  <si>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</si>
  <si>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</si>
  <si>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</si>
  <si>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</si>
  <si>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</si>
  <si>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</si>
  <si>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</si>
  <si>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</si>
  <si>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</si>
  <si>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</si>
  <si>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</si>
  <si>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</si>
  <si>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</si>
  <si>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</si>
  <si>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</si>
  <si>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</si>
  <si>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</si>
  <si>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</si>
  <si>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</si>
  <si>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</si>
  <si>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</si>
  <si>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</si>
  <si>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</si>
  <si>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</si>
  <si>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</si>
  <si>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</si>
  <si>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</si>
  <si>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</si>
  <si>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</si>
  <si>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</si>
  <si>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</si>
  <si>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</si>
  <si>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</si>
  <si>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</si>
  <si>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</si>
  <si>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</si>
  <si>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</si>
  <si>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</si>
  <si>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</si>
  <si>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</si>
  <si>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</si>
  <si>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</si>
  <si>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</si>
  <si>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</si>
  <si>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</si>
  <si>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</si>
  <si>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</si>
  <si>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</si>
  <si>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</si>
  <si>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</si>
  <si>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</si>
  <si>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</si>
  <si>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</si>
  <si>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</si>
  <si>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</si>
  <si>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</si>
  <si>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</si>
  <si>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</si>
  <si>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</si>
  <si>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</si>
  <si>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</si>
  <si>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</si>
  <si>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</si>
  <si>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</si>
  <si>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</si>
  <si>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</si>
  <si>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</si>
  <si>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</si>
  <si>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</si>
  <si>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</si>
  <si>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</si>
  <si>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</si>
  <si>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</si>
  <si>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</si>
  <si>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</si>
  <si>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</si>
  <si>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</si>
  <si>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</si>
  <si>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</si>
  <si>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</si>
  <si>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</si>
  <si>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</si>
  <si>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</si>
  <si>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</si>
  <si>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</si>
  <si>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</si>
  <si>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</si>
  <si>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</si>
  <si>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</si>
  <si>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</si>
  <si>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</si>
  <si>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</si>
  <si>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</si>
  <si>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</si>
  <si>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</si>
  <si>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</si>
  <si>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</si>
  <si>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</si>
  <si>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</si>
  <si>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</si>
  <si>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</si>
  <si>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</si>
  <si>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</si>
  <si>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</si>
  <si>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</si>
  <si>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</si>
  <si>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</si>
  <si>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</si>
  <si>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</si>
  <si>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</si>
  <si>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</si>
  <si>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</si>
  <si>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</si>
  <si>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</si>
  <si>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</si>
  <si>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</si>
  <si>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</si>
  <si>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</si>
  <si>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</si>
  <si>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</si>
  <si>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</si>
  <si>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</si>
  <si>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</si>
  <si>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</si>
  <si>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</si>
  <si>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</si>
  <si>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</si>
  <si>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</si>
  <si>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</si>
  <si>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</si>
  <si>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</si>
  <si>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</si>
  <si>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</si>
  <si>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</si>
  <si>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</si>
  <si>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</si>
  <si>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</si>
  <si>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</si>
  <si>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</si>
  <si>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</si>
  <si>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</si>
  <si>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</si>
  <si>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</si>
  <si>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</si>
  <si>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</si>
  <si>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</si>
  <si>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</si>
  <si>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</si>
  <si>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</si>
  <si>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</si>
  <si>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</si>
  <si>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</si>
  <si>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</si>
  <si>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</si>
  <si>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</si>
  <si>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</si>
  <si>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</si>
  <si>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</si>
  <si>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</si>
  <si>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</si>
  <si>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</si>
  <si>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</si>
  <si>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</si>
  <si>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</si>
  <si>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</si>
  <si>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</si>
  <si>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</si>
  <si>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</si>
  <si>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</si>
  <si>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</si>
  <si>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</si>
  <si>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</si>
  <si>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</si>
  <si>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</si>
  <si>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</si>
  <si>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</si>
  <si>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</si>
  <si>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</si>
  <si>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</si>
  <si>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</si>
  <si>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</si>
  <si>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</si>
  <si>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</si>
  <si>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</si>
  <si>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</si>
  <si>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</si>
  <si>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</si>
  <si>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</si>
  <si>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</si>
  <si>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</si>
  <si>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</si>
  <si>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</si>
  <si>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</si>
  <si>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</si>
  <si>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</si>
  <si>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</si>
  <si>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</si>
  <si>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</si>
  <si>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</si>
  <si>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</si>
  <si>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</si>
  <si>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</si>
  <si>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</si>
  <si>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</si>
  <si>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</si>
  <si>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</si>
  <si>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</si>
  <si>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</si>
  <si>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</si>
  <si>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</si>
  <si>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</si>
  <si>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</si>
  <si>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</si>
  <si>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</si>
  <si>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</si>
  <si>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</si>
  <si>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</si>
  <si>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</si>
  <si>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</si>
  <si>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</si>
  <si>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</si>
  <si>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</si>
  <si>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</si>
  <si>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</si>
  <si>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</si>
  <si>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</si>
  <si>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</si>
  <si>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</si>
  <si>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</si>
  <si>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</si>
  <si>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</si>
  <si>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</si>
  <si>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</si>
  <si>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</si>
  <si>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</si>
  <si>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</si>
  <si>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</si>
  <si>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</si>
  <si>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</si>
  <si>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</si>
  <si>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</si>
  <si>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</si>
  <si>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</si>
  <si>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</si>
  <si>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</si>
  <si>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</si>
  <si>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</si>
  <si>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</si>
  <si>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</si>
  <si>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</si>
  <si>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</si>
  <si>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</si>
  <si>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</si>
  <si>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</si>
  <si>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</si>
  <si>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</si>
  <si>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</si>
  <si>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</si>
  <si>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</si>
  <si>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</si>
  <si>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</si>
  <si>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</si>
  <si>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</si>
  <si>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</si>
  <si>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</si>
  <si>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</si>
  <si>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</si>
  <si>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</si>
  <si>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</si>
  <si>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</si>
  <si>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</si>
  <si>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</si>
  <si>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</si>
  <si>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</si>
  <si>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</si>
  <si>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</si>
  <si>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</si>
  <si>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</si>
  <si>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</si>
  <si>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</si>
  <si>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</si>
  <si>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</si>
  <si>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</si>
  <si>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</si>
  <si>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</si>
  <si>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</si>
  <si>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</si>
  <si>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</si>
  <si>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</si>
  <si>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</si>
  <si>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</si>
  <si>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</si>
  <si>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</si>
  <si>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</si>
  <si>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</si>
  <si>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</si>
  <si>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</si>
  <si>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</si>
  <si>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</si>
  <si>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</si>
  <si>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</si>
  <si>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</si>
  <si>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</si>
  <si>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</si>
  <si>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</si>
  <si>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</si>
  <si>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</si>
  <si>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</si>
  <si>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</si>
  <si>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</si>
  <si>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</si>
  <si>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</si>
  <si>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</si>
  <si>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</si>
  <si>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</si>
  <si>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</si>
  <si>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</si>
  <si>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</si>
  <si>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</si>
  <si>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</si>
  <si>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</si>
  <si>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</si>
  <si>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</si>
  <si>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</si>
  <si>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</si>
  <si>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</si>
  <si>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</si>
  <si>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</si>
  <si>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</si>
  <si>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</si>
  <si>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</si>
  <si>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</si>
  <si>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</si>
  <si>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</si>
  <si>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</si>
  <si>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</si>
  <si>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</si>
  <si>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</si>
  <si>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</si>
  <si>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</si>
  <si>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</si>
  <si>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</si>
  <si>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</si>
  <si>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</si>
  <si>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</si>
  <si>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</si>
  <si>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</si>
  <si>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</si>
  <si>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</si>
  <si>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</si>
  <si>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</si>
  <si>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</si>
  <si>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</si>
  <si>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</si>
  <si>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</si>
  <si>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</si>
  <si>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</si>
  <si>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</si>
  <si>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</si>
  <si>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</si>
  <si>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</si>
  <si>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</si>
  <si>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</si>
  <si>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</si>
  <si>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</si>
  <si>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</si>
  <si>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</si>
  <si>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</si>
  <si>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</si>
  <si>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</si>
  <si>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</si>
  <si>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</si>
  <si>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</si>
  <si>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</si>
  <si>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</si>
  <si>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</si>
  <si>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</si>
  <si>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</si>
  <si>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</si>
  <si>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</si>
  <si>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</si>
  <si>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</si>
  <si>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</si>
  <si>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</si>
  <si>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</si>
  <si>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</si>
  <si>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</si>
  <si>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</si>
  <si>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</si>
  <si>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</si>
  <si>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</si>
  <si>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</si>
  <si>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</si>
  <si>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</si>
  <si>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</si>
  <si>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</si>
  <si>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</si>
  <si>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</si>
  <si>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</si>
  <si>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</si>
  <si>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</si>
  <si>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</si>
  <si>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</si>
  <si>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</si>
  <si>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</si>
  <si>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</si>
  <si>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</si>
  <si>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</si>
  <si>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</si>
  <si>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</si>
  <si>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</si>
  <si>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</si>
  <si>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</si>
  <si>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</si>
  <si>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</si>
  <si>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</si>
  <si>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</si>
  <si>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</si>
  <si>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</si>
  <si>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</si>
  <si>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</si>
  <si>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</si>
  <si>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</si>
  <si>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</si>
  <si>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</si>
  <si>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</si>
  <si>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</si>
  <si>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</si>
  <si>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</si>
  <si>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</si>
  <si>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</si>
  <si>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</si>
  <si>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</si>
  <si>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</si>
  <si>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</si>
  <si>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</si>
  <si>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</si>
  <si>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</si>
  <si>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</si>
  <si>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</si>
  <si>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</si>
  <si>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</si>
  <si>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</si>
  <si>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</si>
  <si>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</si>
  <si>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</si>
  <si>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</si>
  <si>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</si>
  <si>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</si>
  <si>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</si>
  <si>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</si>
  <si>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</si>
  <si>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</si>
  <si>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</si>
  <si>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</si>
  <si>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</si>
  <si>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</si>
  <si>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</si>
  <si>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</si>
  <si>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</si>
  <si>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</si>
  <si>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</si>
  <si>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</si>
  <si>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</si>
  <si>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</si>
  <si>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</si>
  <si>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</si>
  <si>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</si>
  <si>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</si>
  <si>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</si>
  <si>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</si>
  <si>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</si>
  <si>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</si>
  <si>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</si>
  <si>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</si>
  <si>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</si>
  <si>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</si>
  <si>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</si>
  <si>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</si>
  <si>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</si>
  <si>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</si>
  <si>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</si>
  <si>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</si>
  <si>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</si>
  <si>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</si>
  <si>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</si>
  <si>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</si>
  <si>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</si>
  <si>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</si>
  <si>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</si>
  <si>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</si>
  <si>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</si>
  <si>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</si>
  <si>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</si>
  <si>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</si>
  <si>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</si>
  <si>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</si>
  <si>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</si>
  <si>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</si>
  <si>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</si>
  <si>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</si>
  <si>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</si>
  <si>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</si>
  <si>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</si>
  <si>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</si>
  <si>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</si>
  <si>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</si>
  <si>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</si>
  <si>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</si>
  <si>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</si>
  <si>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</si>
  <si>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</si>
  <si>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</si>
  <si>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</si>
  <si>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</si>
  <si>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</si>
  <si>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</si>
  <si>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</si>
  <si>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</si>
  <si>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</si>
  <si>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</si>
  <si>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</si>
  <si>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</si>
  <si>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</si>
  <si>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</si>
  <si>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</si>
  <si>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</si>
  <si>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</si>
  <si>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</si>
  <si>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</si>
  <si>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</si>
  <si>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</si>
  <si>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</si>
  <si>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</si>
  <si>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</si>
  <si>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</si>
  <si>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</si>
  <si>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</si>
  <si>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</si>
  <si>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</si>
  <si>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</si>
  <si>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</si>
  <si>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</si>
  <si>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</si>
  <si>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</si>
  <si>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</si>
  <si>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</si>
  <si>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</si>
  <si>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</si>
  <si>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</si>
  <si>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</si>
  <si>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</si>
  <si>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</si>
  <si>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</si>
  <si>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</si>
  <si>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</si>
  <si>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</si>
  <si>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</si>
  <si>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</si>
  <si>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</si>
  <si>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</si>
  <si>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</si>
  <si>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</si>
  <si>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</si>
  <si>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</si>
  <si>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</si>
  <si>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</si>
  <si>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</si>
  <si>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</si>
  <si>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</si>
  <si>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</si>
  <si>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</si>
  <si>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</si>
  <si>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</si>
  <si>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</si>
  <si>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</si>
  <si>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</si>
  <si>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</si>
  <si>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</si>
  <si>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</si>
  <si>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</si>
  <si>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</si>
  <si>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</si>
  <si>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</si>
  <si>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</si>
  <si>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</si>
  <si>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</si>
  <si>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</si>
  <si>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</si>
  <si>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</si>
  <si>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</si>
  <si>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</si>
  <si>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</si>
  <si>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</si>
  <si>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</si>
  <si>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</si>
  <si>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</si>
  <si>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</si>
  <si>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</si>
  <si>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</si>
  <si>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</si>
  <si>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</si>
  <si>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</si>
  <si>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</si>
  <si>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</si>
  <si>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</si>
  <si>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</si>
  <si>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</si>
  <si>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</si>
  <si>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</si>
  <si>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</si>
  <si>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</si>
  <si>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</si>
  <si>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</si>
  <si>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</si>
  <si>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</si>
  <si>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</si>
  <si>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</si>
  <si>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</si>
  <si>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</si>
  <si>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</si>
  <si>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</si>
  <si>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</si>
  <si>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</si>
  <si>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</si>
  <si>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</si>
  <si>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</si>
  <si>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</si>
  <si>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</si>
  <si>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</si>
  <si>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</si>
  <si>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</si>
  <si>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</si>
  <si>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</si>
  <si>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</si>
  <si>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</si>
  <si>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</si>
  <si>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</si>
  <si>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</si>
  <si>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</si>
  <si>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</si>
  <si>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</si>
  <si>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</si>
  <si>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</si>
  <si>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</si>
  <si>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</si>
  <si>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</si>
  <si>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</si>
  <si>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</si>
  <si>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</si>
  <si>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</si>
  <si>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</si>
  <si>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</si>
  <si>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</si>
  <si>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</si>
  <si>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</si>
  <si>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</si>
  <si>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</si>
  <si>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</si>
  <si>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</si>
  <si>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</si>
  <si>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</si>
  <si>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</si>
  <si>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</si>
  <si>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</si>
  <si>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</si>
  <si>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</si>
  <si>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</si>
  <si>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</si>
  <si>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</si>
  <si>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</si>
  <si>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</si>
  <si>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</si>
  <si>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</si>
  <si>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</si>
  <si>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</si>
  <si>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</si>
  <si>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</si>
  <si>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</si>
  <si>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</si>
  <si>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</si>
  <si>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</si>
  <si>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</si>
  <si>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</si>
  <si>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</si>
  <si>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</si>
  <si>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</si>
  <si>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</si>
  <si>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</si>
  <si>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</si>
  <si>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</si>
  <si>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</si>
  <si>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</si>
  <si>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</si>
  <si>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</si>
  <si>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</si>
  <si>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</si>
  <si>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</si>
  <si>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</si>
  <si>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</si>
  <si>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</si>
  <si>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</si>
  <si>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</si>
  <si>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</si>
  <si>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</si>
  <si>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</si>
  <si>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</si>
  <si>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</si>
  <si>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</si>
  <si>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</si>
  <si>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</si>
  <si>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</si>
  <si>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</si>
  <si>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</si>
  <si>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</si>
  <si>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</si>
  <si>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</si>
  <si>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</si>
  <si>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</si>
  <si>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</si>
  <si>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</si>
  <si>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</si>
  <si>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</si>
  <si>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</si>
  <si>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</si>
  <si>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</si>
  <si>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</si>
  <si>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</si>
  <si>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</si>
  <si>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</si>
  <si>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</si>
  <si>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</si>
  <si>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</si>
  <si>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</si>
  <si>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</si>
  <si>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</si>
  <si>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</si>
  <si>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</si>
  <si>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</si>
  <si>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</si>
  <si>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</si>
  <si>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</si>
  <si>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</si>
  <si>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</si>
  <si>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</si>
  <si>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</si>
  <si>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</si>
  <si>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</si>
  <si>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</si>
  <si>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</si>
  <si>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</si>
  <si>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</si>
  <si>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</si>
  <si>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</si>
  <si>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</si>
  <si>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</si>
  <si>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</si>
  <si>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</si>
  <si>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</si>
  <si>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</si>
  <si>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</si>
  <si>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</si>
  <si>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</si>
  <si>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</si>
  <si>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</si>
  <si>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</si>
  <si>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</si>
  <si>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</si>
  <si>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</si>
  <si>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</si>
  <si>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</si>
  <si>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</si>
  <si>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</si>
  <si>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</si>
  <si>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</si>
  <si>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</si>
  <si>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</si>
  <si>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</si>
  <si>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</si>
  <si>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</si>
  <si>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</si>
  <si>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</si>
  <si>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</si>
  <si>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</si>
  <si>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</si>
  <si>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</si>
  <si>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</si>
  <si>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</si>
  <si>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</si>
  <si>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</si>
  <si>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</si>
  <si>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</si>
  <si>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</si>
  <si>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</si>
  <si>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</si>
  <si>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</si>
  <si>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</si>
  <si>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</si>
  <si>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</si>
  <si>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</si>
  <si>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</si>
  <si>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</si>
  <si>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</si>
  <si>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</si>
  <si>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</si>
  <si>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</si>
  <si>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</si>
  <si>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</si>
  <si>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</si>
  <si>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</si>
  <si>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</si>
  <si>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</si>
  <si>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</si>
  <si>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</si>
  <si>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</si>
  <si>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</si>
  <si>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</si>
  <si>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</si>
  <si>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</si>
  <si>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</si>
  <si>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</si>
  <si>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</si>
  <si>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</si>
  <si>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</si>
  <si>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</si>
  <si>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</si>
  <si>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</si>
  <si>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</si>
  <si>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</si>
  <si>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</si>
  <si>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</si>
  <si>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</si>
  <si>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</si>
  <si>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</si>
  <si>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</si>
  <si>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</si>
  <si>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</si>
  <si>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</si>
  <si>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</si>
  <si>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</si>
  <si>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</si>
  <si>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</si>
  <si>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</si>
  <si>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</si>
  <si>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</si>
  <si>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</si>
  <si>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</si>
  <si>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</si>
  <si>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</si>
  <si>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</si>
  <si>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</si>
  <si>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</si>
  <si>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</si>
  <si>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</si>
  <si>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</si>
  <si>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</si>
  <si>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</si>
  <si>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</si>
  <si>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</si>
  <si>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</si>
  <si>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</si>
  <si>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</si>
  <si>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</si>
  <si>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</si>
  <si>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</si>
  <si>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</si>
  <si>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</si>
  <si>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</si>
  <si>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</si>
  <si>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</si>
  <si>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</si>
  <si>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</si>
  <si>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</si>
  <si>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</si>
  <si>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</si>
  <si>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</si>
  <si>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</si>
  <si>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</si>
  <si>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</si>
  <si>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</si>
  <si>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</si>
  <si>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</si>
  <si>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</si>
  <si>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</si>
  <si>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</si>
  <si>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</si>
  <si>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</si>
  <si>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</si>
  <si>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</si>
  <si>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</si>
  <si>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</si>
  <si>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</si>
  <si>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</si>
  <si>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</si>
  <si>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</si>
  <si>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</si>
  <si>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</si>
  <si>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</si>
  <si>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</si>
  <si>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</si>
  <si>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</si>
  <si>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</si>
  <si>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</si>
  <si>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</si>
  <si>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</si>
  <si>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</si>
  <si>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</si>
  <si>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</si>
  <si>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</si>
  <si>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</si>
  <si>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</si>
  <si>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</si>
  <si>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</si>
  <si>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</si>
  <si>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</si>
  <si>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</si>
  <si>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</si>
  <si>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</si>
  <si>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</si>
  <si>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</si>
  <si>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</si>
  <si>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</si>
  <si>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</si>
  <si>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</si>
  <si>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</si>
  <si>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</si>
  <si>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</si>
  <si>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</si>
  <si>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</si>
  <si>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</si>
  <si>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</si>
  <si>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</si>
  <si>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</si>
  <si>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</si>
  <si>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</si>
  <si>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</si>
  <si>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</si>
  <si>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</si>
  <si>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</si>
  <si>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</si>
  <si>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</si>
  <si>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</si>
  <si>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</si>
  <si>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</si>
  <si>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</si>
  <si>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</si>
  <si>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</si>
  <si>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</si>
  <si>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</si>
  <si>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</si>
  <si>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</si>
  <si>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</si>
  <si>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</si>
  <si>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</si>
  <si>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</si>
  <si>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</si>
  <si>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</si>
  <si>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</si>
  <si>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</si>
  <si>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</si>
  <si>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</si>
  <si>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</si>
  <si>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</si>
  <si>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</si>
  <si>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</si>
  <si>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</si>
  <si>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</si>
  <si>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</si>
  <si>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</si>
  <si>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</si>
  <si>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</si>
  <si>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</si>
  <si>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</si>
  <si>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</si>
  <si>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</si>
  <si>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</si>
  <si>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</si>
  <si>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</si>
  <si>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</si>
  <si>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</si>
  <si>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</si>
  <si>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</si>
  <si>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</si>
  <si>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</si>
  <si>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</si>
  <si>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</si>
  <si>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</si>
  <si>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</si>
  <si>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</si>
  <si>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</si>
  <si>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</si>
  <si>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</si>
  <si>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</si>
  <si>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</si>
  <si>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</si>
  <si>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</si>
  <si>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</si>
  <si>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</si>
  <si>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</si>
  <si>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</si>
  <si>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</si>
  <si>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</si>
  <si>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</si>
  <si>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</si>
  <si>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</si>
  <si>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</si>
  <si>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</si>
  <si>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</si>
  <si>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</si>
  <si>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</si>
  <si>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</si>
  <si>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</si>
  <si>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</si>
  <si>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</si>
  <si>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</si>
  <si>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</si>
  <si>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</si>
  <si>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</si>
  <si>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</si>
  <si>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</si>
  <si>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</si>
  <si>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</si>
  <si>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</si>
  <si>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</si>
  <si>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</si>
  <si>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</si>
  <si>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</si>
  <si>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</si>
  <si>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</si>
  <si>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</si>
  <si>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</si>
  <si>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</si>
  <si>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</si>
  <si>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</si>
  <si>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</si>
  <si>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</si>
  <si>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</si>
  <si>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</si>
  <si>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</si>
  <si>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</si>
  <si>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</si>
  <si>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</si>
  <si>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</si>
  <si>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</si>
  <si>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</si>
  <si>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</si>
  <si>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</si>
  <si>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</si>
  <si>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</si>
  <si>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</si>
  <si>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</si>
  <si>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</si>
  <si>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</si>
  <si>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</si>
  <si>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</si>
  <si>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</si>
  <si>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</si>
  <si>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</si>
  <si>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</si>
  <si>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</si>
  <si>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</si>
  <si>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</si>
  <si>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</si>
  <si>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</si>
  <si>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</si>
  <si>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</si>
  <si>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</si>
  <si>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</si>
  <si>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</si>
  <si>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</si>
  <si>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</si>
  <si>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</si>
  <si>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</si>
  <si>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</si>
  <si>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</si>
  <si>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</si>
  <si>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</si>
  <si>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</si>
  <si>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</si>
  <si>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</si>
  <si>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</si>
  <si>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</si>
  <si>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</si>
  <si>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</si>
  <si>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</si>
  <si>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</si>
  <si>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</si>
  <si>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</si>
  <si>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</si>
  <si>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</si>
  <si>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</si>
  <si>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</si>
  <si>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</si>
  <si>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</si>
  <si>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</si>
  <si>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</si>
  <si>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</si>
  <si>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</si>
  <si>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</si>
  <si>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</si>
  <si>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</si>
  <si>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</si>
  <si>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</si>
  <si>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</si>
  <si>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</si>
  <si>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</si>
  <si>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</si>
  <si>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</si>
  <si>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</si>
  <si>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</si>
  <si>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</si>
  <si>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</si>
  <si>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</si>
  <si>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</si>
  <si>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</si>
  <si>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</si>
  <si>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</si>
  <si>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</si>
  <si>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</si>
  <si>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</si>
  <si>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</si>
  <si>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</si>
  <si>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</si>
  <si>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</si>
  <si>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</si>
  <si>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</si>
  <si>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</si>
  <si>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</si>
  <si>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</si>
  <si>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</si>
  <si>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</si>
  <si>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</si>
  <si>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</si>
  <si>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</si>
  <si>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</si>
  <si>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</si>
  <si>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</si>
  <si>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</si>
  <si>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</si>
  <si>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</si>
  <si>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</si>
  <si>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</si>
  <si>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</si>
  <si>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</si>
  <si>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</si>
  <si>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</si>
  <si>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</si>
  <si>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</si>
  <si>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</si>
  <si>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</si>
  <si>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</si>
  <si>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</si>
  <si>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</si>
  <si>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</si>
  <si>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</si>
  <si>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</si>
  <si>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</si>
  <si>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</si>
  <si>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</si>
  <si>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</si>
  <si>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</si>
  <si>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</si>
  <si>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</si>
  <si>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</si>
  <si>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</si>
  <si>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</si>
  <si>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</si>
  <si>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</si>
  <si>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</si>
  <si>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</si>
  <si>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</si>
  <si>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</si>
  <si>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</si>
  <si>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</si>
  <si>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</si>
  <si>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</si>
  <si>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</si>
  <si>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</si>
  <si>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</si>
  <si>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</si>
  <si>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</si>
  <si>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</si>
  <si>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</si>
  <si>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</si>
  <si>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</si>
  <si>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</si>
  <si>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</si>
  <si>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</si>
  <si>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</si>
  <si>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</si>
  <si>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</si>
  <si>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</si>
  <si>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</si>
  <si>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</si>
  <si>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</si>
  <si>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</si>
  <si>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</si>
  <si>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</si>
  <si>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</si>
  <si>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</si>
  <si>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</si>
  <si>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</si>
  <si>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</si>
  <si>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</si>
  <si>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</si>
  <si>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</si>
  <si>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</si>
  <si>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</si>
  <si>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</si>
  <si>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</si>
  <si>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</si>
  <si>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</si>
  <si>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</si>
  <si>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</si>
  <si>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</si>
  <si>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</si>
  <si>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</si>
  <si>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</si>
  <si>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</si>
  <si>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</si>
  <si>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</si>
  <si>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</si>
  <si>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</si>
  <si>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</si>
  <si>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</si>
  <si>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</si>
  <si>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</si>
  <si>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</si>
  <si>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</si>
  <si>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</si>
  <si>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</si>
  <si>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</si>
  <si>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</si>
  <si>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</si>
  <si>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</si>
  <si>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</si>
  <si>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</si>
  <si>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</si>
  <si>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</si>
  <si>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</si>
  <si>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</si>
  <si>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</si>
  <si>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</si>
  <si>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</si>
  <si>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</si>
  <si>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</si>
  <si>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</si>
  <si>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</si>
  <si>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</si>
  <si>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</si>
  <si>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</si>
  <si>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</si>
  <si>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</si>
  <si>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</si>
  <si>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</si>
  <si>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</si>
  <si>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</si>
  <si>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</si>
  <si>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</si>
  <si>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</si>
  <si>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</si>
  <si>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</si>
  <si>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</si>
  <si>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</si>
  <si>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</si>
  <si>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</si>
  <si>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</si>
  <si>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</si>
  <si>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</si>
  <si>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</si>
  <si>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</si>
  <si>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</si>
  <si>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</si>
  <si>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</si>
  <si>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</si>
  <si>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</si>
  <si>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</si>
  <si>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</si>
  <si>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</si>
  <si>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</si>
  <si>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</si>
  <si>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</si>
  <si>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</si>
  <si>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</si>
  <si>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</si>
  <si>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</si>
  <si>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</si>
  <si>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</si>
  <si>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</si>
  <si>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</si>
  <si>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</si>
  <si>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</si>
  <si>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</si>
  <si>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</si>
  <si>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</si>
  <si>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</si>
  <si>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</si>
  <si>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</si>
  <si>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</si>
  <si>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</si>
  <si>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</si>
  <si>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</si>
  <si>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</si>
  <si>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</si>
  <si>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</si>
  <si>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</si>
  <si>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</si>
  <si>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</si>
  <si>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</si>
  <si>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</si>
  <si>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</si>
  <si>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</si>
  <si>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</si>
  <si>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</si>
  <si>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</si>
  <si>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</si>
  <si>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</si>
  <si>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</si>
  <si>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</si>
  <si>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</si>
  <si>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</si>
  <si>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</si>
  <si>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</si>
  <si>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</si>
  <si>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</si>
  <si>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</si>
  <si>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</si>
  <si>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</si>
  <si>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</si>
  <si>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</si>
  <si>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</si>
  <si>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</si>
  <si>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</si>
  <si>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</si>
  <si>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</si>
  <si>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</si>
  <si>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</si>
  <si>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</si>
  <si>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</si>
  <si>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</si>
  <si>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</si>
  <si>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</si>
  <si>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</si>
  <si>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</si>
  <si>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</si>
  <si>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</si>
  <si>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</si>
  <si>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</si>
  <si>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</si>
  <si>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</si>
  <si>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</si>
  <si>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</si>
  <si>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</si>
  <si>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</si>
  <si>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</si>
  <si>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</si>
  <si>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</si>
  <si>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</si>
  <si>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</si>
  <si>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</si>
  <si>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</si>
  <si>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</si>
  <si>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</si>
  <si>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</si>
  <si>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</si>
  <si>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</si>
  <si>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</si>
  <si>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</si>
  <si>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</si>
  <si>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</si>
  <si>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</si>
  <si>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</si>
  <si>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</si>
  <si>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</si>
  <si>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</si>
  <si>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</si>
  <si>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</si>
  <si>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</si>
  <si>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</si>
  <si>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</si>
  <si>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</si>
  <si>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</si>
  <si>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</si>
  <si>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</si>
  <si>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</si>
  <si>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</si>
  <si>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</si>
  <si>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</si>
  <si>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</si>
  <si>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</si>
  <si>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</si>
  <si>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</si>
  <si>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</si>
  <si>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</si>
  <si>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</si>
  <si>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</si>
  <si>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</si>
  <si>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</si>
  <si>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</si>
  <si>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</si>
  <si>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</si>
  <si>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</si>
  <si>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</si>
  <si>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</si>
  <si>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</si>
  <si>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</si>
  <si>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</si>
  <si>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</si>
  <si>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</si>
  <si>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</si>
  <si>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</si>
  <si>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</si>
  <si>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</si>
  <si>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</si>
  <si>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</si>
  <si>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</si>
  <si>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</si>
  <si>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</si>
  <si>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</si>
  <si>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</si>
  <si>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</si>
  <si>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</si>
  <si>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</si>
  <si>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</si>
  <si>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</si>
  <si>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</si>
  <si>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</si>
  <si>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</si>
  <si>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</si>
  <si>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</si>
  <si>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</si>
  <si>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</si>
  <si>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</si>
  <si>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</si>
  <si>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</si>
  <si>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</si>
  <si>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</si>
  <si>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</si>
  <si>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</si>
  <si>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</si>
  <si>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</si>
  <si>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</si>
  <si>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</si>
  <si>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</si>
  <si>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</si>
  <si>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</si>
  <si>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</si>
  <si>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</si>
  <si>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</si>
  <si>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</si>
  <si>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</si>
  <si>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</si>
  <si>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</si>
  <si>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</si>
  <si>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</si>
  <si>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</si>
  <si>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</si>
  <si>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</si>
  <si>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</si>
  <si>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</si>
  <si>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</si>
  <si>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</si>
  <si>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</si>
  <si>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</si>
  <si>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</si>
  <si>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</si>
  <si>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</si>
  <si>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</si>
  <si>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</si>
  <si>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</si>
  <si>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</si>
  <si>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</si>
  <si>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</si>
  <si>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</si>
  <si>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</si>
  <si>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</si>
  <si>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</si>
  <si>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</si>
  <si>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</si>
  <si>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</si>
  <si>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</si>
  <si>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</si>
  <si>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</si>
  <si>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</si>
  <si>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</si>
  <si>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</si>
  <si>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</si>
  <si>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</si>
  <si>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</si>
  <si>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</si>
  <si>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</si>
  <si>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</si>
  <si>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</si>
  <si>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</si>
  <si>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</si>
  <si>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</si>
  <si>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</si>
  <si>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</si>
  <si>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</si>
  <si>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</si>
  <si>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</si>
  <si>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</si>
  <si>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</si>
  <si>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</si>
  <si>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</si>
  <si>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</si>
  <si>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</si>
  <si>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</si>
  <si>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</si>
  <si>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</si>
  <si>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</si>
  <si>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</si>
  <si>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</si>
  <si>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</si>
  <si>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</si>
  <si>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</si>
  <si>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</si>
  <si>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</si>
  <si>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</si>
  <si>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</si>
  <si>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</si>
  <si>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</si>
  <si>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</si>
  <si>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</si>
  <si>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</si>
  <si>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</si>
  <si>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</si>
  <si>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</si>
  <si>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</si>
  <si>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</si>
  <si>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</si>
  <si>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</si>
  <si>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</si>
  <si>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</si>
  <si>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</si>
  <si>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</si>
  <si>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</si>
  <si>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</si>
  <si>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</si>
  <si>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</si>
  <si>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</si>
  <si>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</si>
  <si>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</si>
  <si>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</si>
  <si>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</si>
  <si>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</si>
  <si>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</si>
  <si>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</si>
  <si>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</si>
  <si>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</si>
  <si>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</si>
  <si>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</si>
  <si>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</si>
  <si>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</si>
  <si>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</si>
  <si>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</si>
  <si>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</si>
  <si>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</si>
  <si>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</si>
  <si>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</si>
  <si>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</si>
  <si>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</si>
  <si>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</si>
  <si>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</si>
  <si>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</si>
  <si>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</si>
  <si>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</si>
  <si>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</si>
  <si>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</si>
  <si>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</si>
  <si>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</si>
  <si>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</si>
  <si>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</si>
  <si>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</si>
  <si>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</si>
  <si>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</si>
  <si>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</si>
  <si>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</si>
  <si>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</si>
  <si>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</si>
  <si>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</si>
  <si>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</si>
  <si>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</si>
  <si>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</si>
  <si>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</si>
  <si>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</si>
  <si>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</si>
  <si>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</si>
  <si>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</si>
  <si>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</si>
  <si>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</si>
  <si>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</si>
  <si>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</si>
  <si>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</si>
  <si>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</si>
  <si>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</si>
  <si>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</si>
  <si>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</si>
  <si>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</si>
  <si>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</si>
  <si>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</si>
  <si>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</si>
  <si>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</si>
  <si>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</si>
  <si>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</si>
  <si>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</si>
  <si>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</si>
  <si>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</si>
  <si>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</si>
  <si>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</si>
  <si>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</si>
  <si>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</si>
  <si>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</si>
  <si>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</si>
  <si>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</si>
  <si>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</si>
  <si>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</si>
  <si>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</si>
  <si>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</si>
  <si>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</si>
  <si>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</si>
  <si>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</si>
  <si>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</si>
  <si>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</si>
  <si>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</si>
  <si>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</si>
  <si>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</si>
  <si>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</si>
  <si>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</si>
  <si>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</si>
  <si>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</si>
  <si>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</si>
  <si>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</si>
  <si>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</si>
  <si>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</si>
  <si>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</si>
  <si>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</si>
  <si>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</si>
  <si>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</si>
  <si>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</si>
  <si>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</si>
  <si>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</si>
  <si>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</si>
  <si>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</si>
  <si>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</si>
  <si>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</si>
  <si>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</si>
  <si>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</si>
  <si>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</si>
  <si>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</si>
  <si>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</si>
  <si>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</si>
  <si>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</si>
  <si>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</si>
  <si>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</si>
  <si>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</si>
  <si>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</si>
  <si>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</si>
  <si>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</si>
  <si>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</si>
  <si>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</si>
  <si>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</si>
  <si>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</si>
  <si>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</si>
  <si>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</si>
  <si>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</si>
  <si>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</si>
  <si>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</si>
  <si>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</si>
  <si>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</si>
  <si>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</si>
  <si>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</si>
  <si>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</si>
  <si>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</si>
  <si>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</si>
  <si>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</si>
  <si>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</si>
  <si>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</si>
  <si>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</si>
  <si>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</si>
  <si>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</si>
  <si>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</si>
  <si>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</si>
  <si>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</si>
  <si>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</si>
  <si>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</si>
  <si>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</si>
  <si>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</si>
  <si>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</si>
  <si>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</si>
  <si>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</si>
  <si>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</si>
  <si>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</si>
  <si>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</si>
  <si>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</si>
  <si>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</si>
  <si>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</si>
  <si>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</si>
  <si>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</si>
  <si>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</si>
  <si>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</si>
  <si>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</si>
  <si>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</si>
  <si>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</si>
  <si>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</si>
  <si>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</si>
  <si>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</si>
  <si>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</si>
  <si>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</si>
  <si>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</si>
  <si>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</si>
  <si>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</si>
  <si>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</si>
  <si>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</si>
  <si>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</si>
  <si>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</si>
  <si>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</si>
  <si>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</si>
  <si>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</si>
  <si>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</si>
  <si>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</si>
  <si>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</si>
  <si>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</si>
  <si>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</si>
  <si>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</si>
  <si>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</si>
  <si>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</si>
  <si>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</si>
  <si>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</si>
  <si>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</si>
  <si>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</si>
  <si>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</si>
  <si>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</si>
  <si>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</si>
  <si>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</si>
  <si>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</si>
  <si>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</si>
  <si>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</si>
  <si>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</si>
  <si>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</si>
  <si>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</si>
  <si>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</si>
  <si>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</si>
  <si>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</si>
  <si>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</si>
  <si>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</si>
  <si>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</si>
  <si>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</si>
  <si>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</si>
  <si>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</si>
  <si>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</si>
  <si>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</si>
  <si>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</si>
  <si>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</si>
  <si>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</si>
  <si>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</si>
  <si>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</si>
  <si>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</si>
  <si>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</si>
  <si>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</si>
  <si>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</si>
  <si>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</si>
  <si>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</si>
  <si>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</si>
  <si>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</si>
  <si>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</si>
  <si>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</si>
  <si>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</si>
  <si>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</si>
  <si>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</si>
  <si>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</si>
  <si>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</si>
  <si>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</si>
  <si>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</si>
  <si>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</si>
  <si>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</si>
  <si>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</si>
  <si>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</si>
  <si>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</si>
  <si>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</si>
  <si>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</si>
  <si>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</si>
  <si>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</si>
  <si>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</si>
  <si>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</si>
  <si>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</si>
  <si>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</si>
  <si>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</si>
  <si>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</si>
  <si>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</si>
  <si>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</si>
  <si>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</si>
  <si>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</si>
  <si>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</si>
  <si>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</si>
  <si>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</si>
  <si>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</si>
  <si>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</si>
  <si>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</si>
  <si>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</si>
  <si>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</si>
  <si>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</si>
  <si>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</si>
  <si>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</si>
  <si>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</si>
  <si>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</si>
  <si>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</si>
  <si>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</si>
  <si>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</si>
  <si>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</si>
  <si>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</si>
  <si>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</si>
  <si>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</si>
  <si>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</si>
  <si>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</si>
  <si>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</si>
  <si>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</si>
  <si>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</si>
  <si>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</si>
  <si>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</si>
  <si>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</si>
  <si>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</si>
  <si>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</si>
  <si>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</si>
  <si>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</si>
  <si>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</si>
  <si>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</si>
  <si>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</si>
  <si>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</si>
  <si>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</si>
  <si>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</si>
  <si>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</si>
  <si>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</si>
  <si>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</si>
  <si>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</si>
  <si>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</si>
  <si>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</si>
  <si>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</si>
  <si>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</si>
  <si>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</si>
  <si>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</si>
  <si>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</si>
  <si>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</si>
  <si>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</si>
  <si>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</si>
  <si>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</si>
  <si>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</si>
  <si>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</si>
  <si>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</si>
  <si>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</si>
  <si>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</si>
  <si>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</si>
  <si>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</si>
  <si>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</si>
  <si>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</si>
  <si>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</si>
  <si>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</si>
  <si>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</si>
  <si>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</si>
  <si>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</si>
  <si>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</si>
  <si>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</si>
  <si>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</si>
  <si>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</si>
  <si>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</si>
  <si>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</si>
  <si>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</si>
  <si>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</si>
  <si>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</si>
  <si>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</si>
  <si>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</si>
  <si>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</si>
  <si>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</si>
  <si>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</si>
  <si>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</si>
  <si>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</si>
  <si>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</si>
  <si>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</si>
  <si>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</si>
  <si>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</si>
  <si>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</si>
  <si>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</si>
  <si>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</si>
  <si>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</si>
  <si>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</si>
  <si>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</si>
  <si>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</si>
  <si>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</si>
  <si>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</si>
  <si>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</si>
  <si>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</si>
  <si>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</si>
  <si>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</si>
  <si>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</si>
  <si>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</si>
  <si>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</si>
  <si>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</si>
  <si>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</si>
  <si>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</si>
  <si>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</si>
  <si>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</si>
  <si>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</si>
  <si>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</si>
  <si>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</si>
  <si>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</si>
  <si>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</si>
  <si>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</si>
  <si>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</si>
  <si>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</si>
  <si>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</si>
  <si>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</si>
  <si>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</si>
  <si>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</si>
  <si>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</si>
  <si>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</si>
  <si>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</si>
  <si>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</si>
  <si>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</si>
  <si>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</si>
  <si>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</si>
  <si>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</si>
  <si>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</si>
  <si>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</si>
  <si>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</si>
  <si>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</si>
  <si>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</si>
  <si>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</si>
  <si>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</si>
  <si>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</si>
  <si>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</si>
  <si>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</si>
  <si>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</si>
  <si>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</si>
  <si>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</si>
  <si>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</si>
  <si>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</si>
  <si>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</si>
  <si>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</si>
  <si>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</si>
  <si>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</si>
  <si>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</si>
  <si>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</si>
  <si>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</si>
  <si>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</si>
  <si>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</si>
  <si>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</si>
  <si>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</si>
  <si>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</si>
  <si>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</si>
  <si>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</si>
  <si>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</si>
  <si>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</si>
  <si>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</si>
  <si>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</si>
  <si>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</si>
  <si>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</si>
  <si>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</si>
  <si>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</si>
  <si>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</si>
  <si>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</si>
  <si>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</si>
  <si>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</si>
  <si>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</si>
  <si>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</si>
  <si>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</si>
  <si>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</si>
  <si>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</si>
  <si>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</si>
  <si>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</si>
  <si>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</si>
  <si>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</si>
  <si>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</si>
  <si>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</si>
  <si>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</si>
  <si>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</si>
  <si>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</si>
  <si>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</si>
  <si>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</si>
  <si>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</si>
  <si>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</si>
  <si>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</si>
  <si>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</si>
  <si>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</si>
  <si>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</si>
  <si>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</si>
  <si>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</si>
  <si>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</si>
  <si>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</si>
  <si>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</si>
  <si>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</si>
  <si>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</si>
  <si>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</si>
  <si>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</si>
  <si>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</si>
  <si>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</si>
  <si>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</si>
  <si>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</si>
  <si>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</si>
  <si>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</si>
  <si>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</si>
  <si>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</si>
  <si>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</si>
  <si>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</si>
  <si>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</si>
  <si>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</si>
  <si>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</si>
  <si>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</si>
  <si>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</si>
  <si>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</si>
  <si>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</si>
  <si>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</si>
  <si>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</si>
  <si>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</si>
  <si>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</si>
  <si>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</si>
  <si>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</si>
  <si>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</si>
  <si>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</si>
  <si>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</si>
  <si>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</si>
  <si>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</si>
  <si>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</si>
  <si>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</si>
  <si>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</si>
  <si>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</si>
  <si>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</si>
  <si>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</si>
  <si>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</si>
  <si>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</si>
  <si>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</si>
  <si>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</si>
  <si>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</si>
  <si>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</si>
  <si>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</si>
  <si>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</si>
  <si>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</si>
  <si>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</si>
  <si>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</si>
  <si>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</si>
  <si>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</si>
  <si>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</si>
  <si>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</si>
  <si>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</si>
  <si>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</si>
  <si>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</si>
  <si>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</si>
  <si>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</si>
  <si>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</si>
  <si>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</si>
  <si>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</si>
  <si>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</si>
  <si>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</si>
  <si>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</si>
  <si>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</si>
  <si>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</si>
  <si>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</si>
  <si>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</si>
  <si>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</si>
  <si>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</si>
  <si>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</si>
  <si>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</si>
  <si>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</si>
  <si>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</si>
  <si>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</si>
  <si>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</si>
  <si>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</si>
  <si>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</si>
  <si>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</si>
  <si>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</si>
  <si>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</si>
  <si>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</si>
  <si>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</si>
  <si>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</si>
  <si>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</si>
  <si>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</si>
  <si>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</si>
  <si>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</si>
  <si>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</si>
  <si>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</si>
  <si>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</si>
  <si>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</si>
  <si>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</si>
  <si>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</si>
  <si>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</si>
  <si>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</si>
  <si>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</si>
  <si>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</si>
  <si>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</si>
  <si>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</si>
  <si>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</si>
  <si>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</si>
  <si>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</si>
  <si>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</si>
  <si>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</si>
  <si>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</si>
  <si>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</si>
  <si>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</si>
  <si>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</si>
  <si>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</si>
  <si>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</si>
  <si>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</si>
  <si>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</si>
  <si>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</si>
  <si>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</si>
  <si>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</si>
  <si>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</si>
  <si>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</si>
  <si>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</si>
  <si>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</si>
  <si>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</si>
  <si>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</si>
  <si>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</si>
  <si>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</si>
  <si>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</si>
  <si>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</si>
  <si>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</si>
  <si>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</si>
  <si>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</si>
  <si>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</si>
  <si>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</si>
  <si>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</si>
  <si>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</si>
  <si>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</si>
  <si>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</si>
  <si>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</si>
  <si>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</si>
  <si>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</si>
  <si>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</si>
  <si>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</si>
  <si>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</si>
  <si>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</si>
  <si>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</si>
  <si>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</si>
  <si>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</si>
  <si>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</si>
  <si>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</si>
  <si>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</si>
  <si>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</si>
  <si>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</si>
  <si>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</si>
  <si>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</si>
  <si>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</si>
  <si>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</si>
  <si>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</si>
  <si>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</si>
  <si>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</si>
  <si>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</si>
  <si>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</si>
  <si>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</si>
  <si>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</si>
  <si>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</si>
  <si>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</si>
  <si>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</si>
  <si>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</si>
  <si>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</si>
  <si>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</si>
  <si>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</si>
  <si>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</si>
  <si>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</si>
  <si>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</si>
  <si>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</si>
  <si>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</si>
  <si>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</si>
  <si>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</si>
  <si>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</si>
  <si>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</si>
  <si>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</si>
  <si>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</si>
  <si>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</si>
  <si>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</si>
  <si>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</si>
  <si>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</si>
  <si>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</si>
  <si>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</si>
  <si>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</si>
  <si>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</si>
  <si>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</si>
  <si>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</si>
  <si>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</si>
  <si>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</si>
  <si>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</si>
  <si>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</si>
  <si>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</si>
  <si>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</si>
  <si>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</si>
  <si>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</si>
  <si>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</si>
  <si>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</si>
  <si>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</si>
  <si>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</si>
  <si>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</si>
  <si>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</si>
  <si>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</si>
  <si>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</si>
  <si>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</si>
  <si>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</si>
  <si>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</si>
  <si>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</si>
  <si>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</si>
  <si>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</si>
  <si>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</si>
  <si>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</si>
  <si>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</si>
  <si>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</si>
  <si>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</si>
  <si>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</si>
  <si>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</si>
  <si>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</si>
  <si>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</si>
  <si>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</si>
  <si>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</si>
  <si>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</si>
  <si>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</si>
  <si>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</si>
  <si>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</si>
  <si>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</si>
  <si>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</si>
  <si>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</si>
  <si>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</si>
  <si>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</si>
  <si>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</si>
  <si>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</si>
  <si>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</si>
  <si>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</si>
  <si>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</si>
  <si>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</si>
  <si>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</si>
  <si>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</si>
  <si>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</si>
  <si>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</si>
  <si>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</si>
  <si>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</si>
  <si>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</si>
  <si>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</si>
  <si>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</si>
  <si>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</si>
  <si>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</si>
  <si>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</si>
  <si>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</si>
  <si>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</si>
  <si>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</si>
  <si>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</si>
  <si>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</si>
  <si>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</si>
  <si>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</si>
  <si>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</si>
  <si>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</si>
  <si>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</si>
  <si>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</si>
  <si>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</si>
  <si>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</si>
  <si>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</si>
  <si>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</si>
  <si>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</si>
  <si>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</si>
  <si>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</si>
  <si>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</si>
  <si>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</si>
  <si>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</si>
  <si>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</si>
  <si>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</si>
  <si>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</si>
  <si>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</si>
  <si>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</si>
  <si>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</si>
  <si>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</si>
  <si>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</si>
  <si>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</si>
  <si>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</si>
  <si>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</si>
  <si>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</si>
  <si>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</si>
  <si>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</si>
  <si>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</si>
  <si>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</si>
  <si>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</si>
  <si>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</si>
  <si>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</si>
  <si>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</si>
  <si>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</si>
  <si>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</si>
  <si>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</si>
  <si>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</si>
  <si>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</si>
  <si>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</si>
  <si>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</si>
  <si>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</si>
  <si>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</si>
  <si>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</si>
  <si>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</si>
  <si>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</si>
  <si>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</si>
  <si>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</si>
  <si>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</si>
  <si>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</si>
  <si>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</si>
  <si>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</si>
  <si>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</si>
  <si>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</si>
  <si>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</si>
  <si>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</si>
  <si>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</si>
  <si>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</si>
  <si>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</si>
  <si>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</si>
  <si>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</si>
  <si>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</si>
  <si>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</si>
  <si>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</si>
  <si>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</si>
  <si>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</si>
  <si>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</si>
  <si>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</si>
  <si>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</si>
  <si>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</si>
  <si>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</si>
  <si>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</si>
  <si>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</si>
  <si>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</si>
  <si>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</si>
  <si>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</si>
  <si>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</si>
  <si>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</si>
  <si>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</si>
  <si>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</si>
  <si>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</si>
  <si>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</si>
  <si>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</si>
  <si>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</si>
  <si>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</si>
  <si>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</si>
  <si>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</si>
  <si>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</si>
  <si>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</si>
  <si>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</si>
  <si>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</si>
  <si>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</si>
  <si>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</si>
  <si>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</si>
  <si>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</si>
  <si>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</si>
  <si>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</si>
  <si>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</si>
  <si>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</si>
  <si>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</si>
  <si>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</si>
  <si>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</si>
  <si>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</si>
  <si>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</si>
  <si>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</si>
  <si>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</si>
  <si>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</si>
  <si>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</si>
  <si>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</si>
  <si>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</si>
  <si>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</si>
  <si>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</si>
  <si>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</si>
  <si>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</si>
  <si>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</si>
  <si>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</si>
  <si>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</si>
  <si>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</si>
  <si>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</si>
  <si>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</si>
  <si>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</si>
  <si>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</si>
  <si>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</si>
  <si>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</si>
  <si>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</si>
  <si>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</si>
  <si>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</si>
  <si>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</si>
  <si>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</si>
  <si>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</si>
  <si>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</si>
  <si>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</si>
  <si>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</si>
  <si>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</si>
  <si>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</si>
  <si>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</si>
  <si>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</si>
  <si>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</si>
  <si>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</si>
  <si>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</si>
  <si>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</si>
  <si>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</si>
  <si>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</si>
  <si>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</si>
  <si>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</si>
  <si>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</si>
  <si>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</si>
  <si>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</si>
  <si>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</si>
  <si>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</si>
  <si>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</si>
  <si>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</si>
  <si>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</si>
  <si>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</si>
  <si>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</si>
  <si>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</si>
  <si>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</si>
  <si>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</si>
  <si>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</si>
  <si>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</si>
  <si>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</si>
  <si>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</si>
  <si>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</si>
  <si>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</si>
  <si>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</si>
  <si>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</si>
  <si>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</si>
  <si>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</si>
  <si>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</si>
  <si>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</si>
  <si>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</si>
  <si>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</si>
  <si>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</si>
  <si>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</si>
  <si>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</si>
  <si>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</si>
  <si>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</si>
  <si>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</si>
  <si>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</si>
  <si>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</si>
  <si>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</si>
  <si>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</si>
  <si>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</si>
  <si>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</si>
  <si>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</si>
  <si>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</si>
  <si>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</si>
  <si>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</si>
  <si>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</si>
  <si>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</si>
  <si>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</si>
  <si>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</si>
  <si>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</si>
  <si>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</si>
  <si>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</si>
  <si>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</si>
  <si>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</si>
  <si>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</si>
  <si>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</si>
  <si>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</si>
  <si>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</si>
  <si>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</si>
  <si>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</si>
  <si>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</si>
  <si>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</si>
  <si>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</si>
  <si>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</si>
  <si>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</si>
  <si>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</si>
  <si>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</si>
  <si>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</si>
  <si>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</si>
  <si>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</si>
  <si>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</si>
  <si>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</si>
  <si>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</si>
  <si>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</si>
  <si>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</si>
  <si>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</si>
  <si>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</si>
  <si>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</si>
  <si>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</si>
  <si>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</si>
  <si>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</si>
  <si>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</si>
  <si>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</si>
  <si>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</si>
  <si>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</si>
  <si>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</si>
  <si>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</si>
  <si>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</si>
  <si>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</si>
  <si>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</si>
  <si>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</si>
  <si>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</si>
  <si>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</si>
  <si>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</si>
  <si>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</si>
  <si>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</si>
  <si>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</si>
  <si>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</si>
  <si>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</si>
  <si>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</si>
  <si>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</si>
  <si>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</si>
  <si>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</si>
  <si>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</si>
  <si>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</si>
  <si>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</si>
  <si>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</si>
  <si>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</si>
  <si>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</si>
  <si>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</si>
  <si>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</si>
  <si>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</si>
  <si>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</si>
  <si>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</si>
  <si>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</si>
  <si>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</si>
  <si>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</si>
  <si>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</si>
  <si>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</si>
  <si>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</si>
  <si>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</si>
  <si>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</si>
  <si>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</si>
  <si>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</si>
  <si>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</si>
  <si>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</si>
  <si>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</si>
  <si>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</si>
  <si>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</si>
  <si>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</si>
  <si>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</si>
  <si>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</si>
  <si>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</si>
  <si>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</si>
  <si>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</si>
  <si>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</si>
  <si>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</si>
  <si>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</si>
  <si>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</si>
  <si>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</si>
  <si>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</si>
  <si>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</si>
  <si>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</si>
  <si>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</si>
  <si>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</si>
  <si>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</si>
  <si>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</si>
  <si>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</si>
  <si>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</si>
  <si>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</si>
  <si>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</si>
  <si>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</si>
  <si>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</si>
  <si>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</si>
  <si>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</si>
  <si>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</si>
  <si>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</si>
  <si>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</si>
  <si>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</si>
  <si>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</si>
  <si>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</si>
  <si>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</si>
  <si>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</si>
  <si>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</si>
  <si>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</si>
  <si>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</si>
  <si>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</si>
  <si>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</si>
  <si>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</si>
  <si>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</si>
  <si>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</si>
  <si>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</si>
  <si>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</si>
  <si>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</si>
  <si>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</si>
  <si>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</si>
  <si>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</si>
  <si>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</si>
  <si>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</si>
  <si>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</si>
  <si>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</si>
  <si>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</si>
  <si>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</si>
  <si>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</si>
  <si>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</si>
  <si>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</si>
  <si>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</si>
  <si>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</si>
  <si>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</si>
  <si>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</si>
  <si>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</si>
  <si>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</si>
  <si>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</si>
  <si>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</si>
  <si>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</si>
  <si>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</si>
  <si>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</si>
  <si>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</si>
  <si>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</si>
  <si>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</si>
  <si>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</si>
  <si>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</si>
  <si>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</si>
  <si>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</si>
  <si>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</si>
  <si>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</si>
  <si>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</si>
  <si>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</si>
  <si>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</si>
  <si>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</si>
  <si>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</si>
  <si>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</si>
  <si>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</si>
  <si>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</si>
  <si>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</si>
  <si>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</si>
  <si>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</si>
  <si>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</si>
  <si>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</si>
  <si>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</si>
  <si>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</si>
  <si>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</si>
  <si>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</si>
  <si>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</si>
  <si>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</si>
  <si>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</si>
  <si>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</si>
  <si>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</si>
  <si>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</si>
  <si>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</si>
  <si>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</si>
  <si>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</si>
  <si>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</si>
  <si>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</si>
  <si>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</si>
  <si>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</si>
  <si>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</si>
  <si>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</si>
  <si>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</si>
  <si>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</si>
  <si>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</si>
  <si>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</si>
  <si>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</si>
  <si>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</si>
  <si>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</si>
  <si>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</si>
  <si>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</si>
  <si>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</si>
  <si>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</si>
  <si>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</si>
  <si>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</si>
  <si>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</si>
  <si>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</si>
  <si>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</si>
  <si>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</si>
  <si>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</si>
  <si>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</si>
  <si>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</si>
  <si>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</si>
  <si>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</si>
  <si>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</si>
  <si>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</si>
  <si>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</si>
  <si>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</si>
  <si>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</si>
  <si>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</si>
  <si>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</si>
  <si>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</si>
  <si>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</si>
  <si>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</si>
  <si>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</si>
  <si>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</si>
  <si>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</si>
  <si>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</si>
  <si>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</si>
  <si>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</si>
  <si>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</si>
  <si>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</si>
  <si>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</si>
  <si>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</si>
  <si>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</si>
  <si>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</si>
  <si>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</si>
  <si>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</si>
  <si>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</si>
  <si>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</si>
  <si>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</si>
  <si>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</si>
  <si>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</si>
  <si>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</si>
  <si>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</si>
  <si>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</si>
  <si>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</si>
  <si>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</si>
  <si>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</si>
  <si>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</si>
  <si>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</si>
  <si>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</si>
  <si>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</si>
  <si>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</si>
  <si>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</si>
  <si>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</si>
  <si>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</si>
  <si>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</si>
  <si>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</si>
  <si>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</si>
  <si>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</si>
  <si>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</si>
  <si>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</si>
  <si>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</si>
  <si>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</si>
  <si>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</si>
  <si>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</si>
  <si>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</si>
  <si>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</si>
  <si>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</si>
  <si>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</si>
  <si>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</si>
  <si>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</si>
  <si>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</si>
  <si>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</si>
  <si>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</si>
  <si>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</si>
  <si>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</si>
  <si>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</si>
  <si>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</si>
  <si>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</si>
  <si>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</si>
  <si>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</si>
  <si>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</si>
  <si>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</si>
  <si>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</si>
  <si>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</si>
  <si>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</si>
  <si>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</si>
  <si>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</si>
  <si>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</si>
  <si>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</si>
  <si>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</si>
  <si>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</si>
  <si>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</si>
  <si>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</si>
  <si>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</si>
  <si>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</si>
  <si>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</si>
  <si>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</si>
  <si>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</si>
  <si>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</si>
  <si>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</si>
  <si>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</si>
  <si>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</si>
  <si>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</si>
  <si>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</si>
  <si>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</si>
  <si>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</si>
  <si>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</si>
  <si>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</si>
  <si>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</si>
  <si>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</si>
  <si>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</si>
  <si>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</si>
  <si>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</si>
  <si>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</si>
  <si>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</si>
  <si>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</si>
  <si>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</si>
  <si>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</si>
  <si>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</si>
  <si>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</si>
  <si>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</si>
  <si>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</si>
  <si>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</si>
  <si>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</si>
  <si>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</si>
  <si>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</si>
  <si>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</si>
  <si>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</si>
  <si>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</si>
  <si>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</si>
  <si>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</si>
  <si>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</si>
  <si>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</si>
  <si>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</si>
  <si>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</si>
  <si>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</si>
  <si>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</si>
  <si>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</si>
  <si>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</si>
  <si>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</si>
  <si>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</si>
  <si>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</si>
  <si>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</si>
  <si>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</si>
  <si>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</si>
  <si>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</si>
  <si>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</si>
  <si>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</si>
  <si>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</si>
  <si>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</si>
  <si>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</si>
  <si>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</si>
  <si>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</si>
  <si>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</si>
  <si>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</si>
  <si>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</si>
  <si>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</si>
  <si>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</si>
  <si>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</si>
  <si>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</si>
  <si>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</si>
  <si>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</si>
  <si>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</si>
  <si>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</si>
  <si>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</si>
  <si>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</si>
  <si>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</si>
  <si>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</si>
  <si>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</si>
  <si>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</si>
  <si>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</si>
  <si>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</si>
  <si>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</si>
  <si>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</si>
  <si>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</si>
  <si>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</si>
  <si>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</si>
  <si>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</si>
  <si>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</si>
  <si>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</si>
  <si>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</si>
  <si>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</si>
  <si>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</si>
  <si>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</si>
  <si>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</si>
  <si>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</si>
  <si>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</si>
  <si>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</si>
  <si>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</si>
  <si>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</si>
  <si>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</si>
  <si>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</si>
  <si>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</si>
  <si>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</si>
  <si>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</si>
  <si>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</si>
  <si>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</si>
  <si>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</si>
  <si>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</si>
  <si>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</si>
  <si>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</si>
  <si>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</si>
  <si>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</si>
  <si>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</si>
  <si>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</si>
  <si>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</si>
  <si>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</si>
  <si>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</si>
  <si>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</si>
  <si>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</si>
  <si>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</si>
  <si>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</si>
  <si>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</si>
  <si>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</si>
  <si>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</si>
  <si>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</si>
  <si>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</si>
  <si>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</si>
  <si>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</si>
  <si>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</si>
  <si>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</si>
  <si>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</si>
  <si>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</si>
  <si>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</si>
  <si>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</si>
  <si>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</si>
  <si>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</si>
  <si>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</si>
  <si>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</si>
  <si>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</si>
  <si>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</si>
  <si>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</si>
  <si>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</si>
  <si>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</si>
  <si>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</si>
  <si>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</si>
  <si>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</si>
  <si>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</si>
  <si>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</si>
  <si>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</si>
  <si>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</si>
  <si>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</si>
  <si>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</si>
  <si>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</si>
  <si>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</si>
  <si>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</si>
  <si>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</si>
  <si>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</si>
  <si>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</si>
  <si>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</si>
  <si>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</si>
  <si>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</si>
  <si>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</si>
  <si>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</si>
  <si>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</si>
  <si>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</si>
  <si>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</si>
  <si>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</si>
  <si>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</si>
  <si>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</si>
  <si>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</si>
  <si>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</si>
  <si>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</si>
  <si>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</si>
  <si>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</si>
  <si>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</si>
  <si>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</si>
  <si>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</si>
  <si>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</si>
  <si>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</si>
  <si>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</si>
  <si>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</si>
  <si>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</si>
  <si>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</si>
  <si>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</si>
  <si>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</si>
  <si>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</si>
  <si>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</si>
  <si>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</si>
  <si>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</si>
  <si>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</si>
  <si>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</si>
  <si>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</si>
  <si>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</si>
  <si>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</si>
  <si>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</si>
  <si>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</si>
  <si>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</si>
  <si>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</si>
  <si>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</si>
  <si>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</si>
  <si>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</si>
  <si>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</si>
  <si>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</si>
  <si>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</si>
  <si>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</si>
  <si>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</si>
  <si>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</si>
  <si>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</si>
  <si>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</si>
  <si>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</si>
  <si>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</si>
  <si>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</si>
  <si>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</si>
  <si>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</si>
  <si>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</si>
  <si>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</si>
  <si>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</si>
  <si>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</si>
  <si>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</si>
  <si>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</si>
  <si>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</si>
  <si>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</si>
  <si>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</si>
  <si>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</si>
  <si>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</si>
  <si>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</si>
  <si>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</si>
  <si>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</si>
  <si>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</si>
  <si>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</si>
  <si>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</si>
  <si>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</si>
  <si>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</si>
  <si>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</si>
  <si>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</si>
  <si>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</si>
  <si>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</si>
  <si>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</si>
  <si>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</si>
  <si>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</si>
  <si>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</si>
  <si>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</si>
  <si>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</si>
  <si>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</si>
  <si>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</si>
  <si>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</si>
  <si>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</si>
  <si>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</si>
  <si>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</si>
  <si>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</si>
  <si>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</si>
  <si>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</si>
  <si>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</si>
  <si>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</si>
  <si>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</si>
  <si>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</si>
  <si>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</si>
  <si>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</si>
  <si>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</si>
  <si>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</si>
  <si>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</si>
  <si>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</si>
  <si>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</si>
  <si>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</si>
  <si>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</si>
  <si>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</si>
  <si>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</si>
  <si>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</si>
  <si>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</si>
  <si>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</si>
  <si>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</si>
  <si>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</si>
  <si>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</si>
  <si>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</si>
  <si>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</si>
  <si>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</si>
  <si>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</si>
  <si>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</si>
  <si>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</si>
  <si>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</si>
  <si>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</si>
  <si>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</si>
  <si>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</si>
  <si>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</si>
  <si>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</si>
  <si>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</si>
  <si>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</si>
  <si>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</si>
  <si>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</si>
  <si>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</si>
  <si>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</si>
  <si>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</si>
  <si>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</si>
  <si>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</si>
  <si>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</si>
  <si>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</si>
  <si>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</si>
  <si>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</si>
  <si>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</si>
  <si>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</si>
  <si>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</si>
  <si>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</si>
  <si>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</si>
  <si>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</si>
  <si>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</si>
  <si>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</si>
  <si>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</si>
  <si>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</si>
  <si>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</si>
  <si>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</si>
  <si>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</si>
  <si>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</si>
  <si>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</si>
  <si>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</si>
  <si>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</si>
  <si>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</si>
  <si>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</si>
  <si>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</si>
  <si>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</si>
  <si>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</si>
  <si>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</si>
  <si>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</si>
  <si>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</si>
  <si>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</si>
  <si>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</si>
  <si>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</si>
  <si>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</si>
  <si>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</si>
  <si>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</si>
  <si>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</si>
  <si>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</si>
  <si>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</si>
  <si>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</si>
  <si>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</si>
  <si>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</si>
  <si>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</si>
  <si>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</si>
  <si>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</si>
  <si>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</si>
  <si>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</si>
  <si>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</si>
  <si>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</si>
  <si>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</si>
  <si>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</si>
  <si>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</si>
  <si>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</si>
  <si>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</si>
  <si>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</si>
  <si>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</si>
  <si>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</si>
  <si>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</si>
  <si>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</si>
  <si>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</si>
  <si>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</si>
  <si>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</si>
  <si>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</si>
  <si>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</si>
  <si>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</si>
  <si>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</si>
  <si>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</si>
  <si>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</si>
  <si>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</si>
  <si>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</si>
  <si>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</si>
  <si>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</si>
  <si>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</si>
  <si>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</si>
  <si>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</si>
  <si>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</si>
  <si>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</si>
  <si>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</si>
  <si>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</si>
  <si>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</si>
  <si>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</si>
  <si>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</si>
  <si>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</si>
  <si>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</si>
  <si>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</si>
  <si>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</si>
  <si>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</si>
  <si>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</si>
  <si>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</si>
  <si>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</si>
  <si>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</si>
  <si>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</si>
  <si>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</si>
  <si>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</si>
  <si>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</si>
  <si>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</si>
  <si>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</si>
  <si>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</si>
  <si>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</si>
  <si>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</si>
  <si>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</si>
  <si>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</si>
  <si>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</si>
  <si>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</si>
  <si>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</si>
  <si>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</si>
  <si>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</si>
  <si>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</si>
  <si>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</si>
  <si>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</si>
  <si>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</si>
  <si>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</si>
  <si>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</si>
  <si>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</si>
  <si>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</si>
  <si>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</si>
  <si>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</si>
  <si>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</si>
  <si>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</si>
  <si>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</si>
  <si>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</si>
  <si>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</si>
  <si>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</si>
  <si>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</si>
  <si>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</si>
  <si>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</si>
  <si>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</si>
  <si>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</si>
  <si>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</si>
  <si>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</si>
  <si>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</si>
  <si>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</si>
  <si>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</si>
  <si>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</si>
  <si>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</si>
  <si>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</si>
  <si>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</si>
  <si>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</si>
  <si>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</si>
  <si>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</si>
  <si>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</si>
  <si>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</si>
  <si>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</si>
  <si>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</si>
  <si>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</si>
  <si>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</si>
  <si>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</si>
  <si>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</si>
  <si>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</si>
  <si>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</si>
  <si>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</si>
  <si>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</si>
  <si>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</si>
  <si>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</si>
  <si>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</si>
  <si>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</si>
  <si>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</si>
  <si>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</si>
  <si>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</si>
  <si>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</si>
  <si>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</si>
  <si>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</si>
  <si>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</si>
  <si>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</si>
  <si>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</si>
  <si>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</si>
  <si>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</si>
  <si>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</si>
  <si>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</si>
  <si>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</si>
  <si>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</si>
  <si>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</si>
  <si>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</si>
  <si>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</si>
  <si>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</si>
  <si>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</si>
  <si>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</si>
  <si>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</si>
  <si>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</si>
  <si>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</si>
  <si>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</si>
  <si>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</si>
  <si>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</si>
  <si>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</si>
  <si>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</si>
  <si>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</si>
  <si>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</si>
  <si>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</si>
  <si>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</si>
  <si>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</si>
  <si>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</si>
  <si>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</si>
  <si>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</si>
  <si>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</si>
  <si>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</si>
  <si>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</si>
  <si>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</si>
  <si>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</si>
  <si>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</si>
  <si>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</si>
  <si>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</si>
  <si>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</si>
  <si>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</si>
  <si>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</si>
  <si>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</si>
  <si>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</si>
  <si>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</si>
  <si>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</si>
  <si>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</si>
  <si>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</si>
  <si>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</si>
  <si>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</si>
  <si>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</si>
  <si>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</si>
  <si>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</si>
  <si>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</si>
  <si>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</si>
  <si>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</si>
  <si>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</si>
  <si>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</si>
  <si>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</si>
  <si>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</si>
  <si>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</si>
  <si>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</si>
  <si>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</si>
  <si>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</si>
  <si>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</si>
  <si>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</si>
  <si>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</si>
  <si>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</si>
  <si>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</si>
  <si>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</si>
  <si>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</si>
  <si>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</si>
  <si>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</si>
  <si>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</si>
  <si>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</si>
  <si>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</si>
  <si>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</si>
  <si>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</si>
  <si>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</si>
  <si>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</si>
  <si>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</si>
  <si>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</si>
  <si>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</si>
  <si>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</si>
  <si>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</si>
  <si>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</si>
  <si>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</si>
  <si>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</si>
  <si>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</si>
  <si>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</si>
  <si>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</si>
  <si>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</si>
  <si>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</si>
  <si>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</si>
  <si>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</si>
  <si>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</si>
  <si>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</si>
  <si>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</si>
  <si>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</si>
  <si>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</si>
  <si>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</si>
  <si>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</si>
  <si>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</si>
  <si>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</si>
  <si>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</si>
  <si>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</si>
  <si>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</si>
  <si>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</si>
  <si>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</si>
  <si>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</si>
  <si>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</si>
  <si>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</si>
  <si>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</si>
  <si>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</si>
  <si>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</si>
  <si>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</si>
  <si>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</si>
  <si>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</si>
  <si>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</si>
  <si>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</si>
  <si>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</si>
  <si>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</si>
  <si>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</si>
  <si>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</si>
  <si>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</si>
  <si>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</si>
  <si>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</si>
  <si>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</si>
  <si>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</si>
  <si>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</si>
  <si>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</si>
  <si>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</si>
  <si>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</si>
  <si>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</si>
  <si>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</si>
  <si>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</si>
  <si>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</si>
  <si>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</si>
  <si>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</si>
  <si>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</si>
  <si>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</si>
  <si>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</si>
  <si>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</si>
  <si>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</si>
  <si>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</si>
  <si>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</si>
  <si>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</si>
  <si>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</si>
  <si>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</si>
  <si>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</si>
  <si>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</si>
  <si>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</si>
  <si>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</si>
  <si>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</si>
  <si>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</si>
  <si>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</si>
  <si>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</si>
  <si>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</si>
  <si>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</si>
  <si>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</si>
  <si>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</si>
  <si>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</si>
  <si>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</si>
  <si>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</si>
  <si>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</si>
  <si>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</si>
  <si>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</si>
  <si>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</si>
  <si>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</si>
  <si>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</si>
  <si>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</si>
  <si>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</si>
  <si>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</si>
  <si>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</si>
  <si>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</si>
  <si>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</si>
  <si>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</si>
  <si>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</si>
  <si>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</si>
  <si>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</si>
  <si>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</si>
  <si>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</si>
  <si>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</si>
  <si>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</si>
  <si>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</si>
  <si>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</si>
  <si>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</si>
  <si>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</si>
  <si>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</si>
  <si>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</si>
  <si>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</si>
  <si>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</si>
  <si>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</si>
  <si>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</si>
  <si>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</si>
  <si>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</si>
  <si>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</si>
  <si>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</si>
  <si>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</si>
  <si>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</si>
  <si>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</si>
  <si>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</si>
  <si>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</si>
  <si>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</si>
  <si>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</si>
  <si>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</si>
  <si>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</si>
  <si>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</si>
  <si>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</si>
  <si>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</si>
  <si>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</si>
  <si>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</si>
  <si>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</si>
  <si>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</si>
  <si>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</si>
  <si>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</si>
  <si>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</si>
  <si>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</si>
  <si>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</si>
  <si>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</si>
  <si>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</si>
  <si>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</si>
  <si>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</si>
  <si>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</si>
  <si>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</si>
  <si>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</si>
  <si>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</si>
  <si>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</si>
  <si>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</si>
  <si>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</si>
  <si>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</si>
  <si>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</si>
  <si>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</si>
  <si>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</si>
  <si>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</si>
  <si>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</si>
  <si>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</si>
  <si>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</si>
  <si>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</si>
  <si>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</si>
  <si>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</si>
  <si>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</si>
  <si>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</si>
  <si>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</si>
  <si>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</si>
  <si>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</si>
  <si>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</si>
  <si>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</si>
  <si>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</si>
  <si>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</si>
  <si>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</si>
  <si>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</si>
  <si>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</si>
  <si>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</si>
  <si>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</si>
  <si>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</si>
  <si>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</si>
  <si>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</si>
  <si>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</si>
  <si>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</si>
  <si>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</si>
  <si>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</si>
  <si>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</si>
  <si>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</si>
  <si>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</si>
  <si>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</si>
  <si>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</si>
  <si>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</si>
  <si>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</si>
  <si>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</si>
  <si>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</si>
  <si>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</si>
  <si>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</si>
  <si>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</si>
  <si>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</si>
  <si>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</si>
  <si>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</si>
  <si>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</si>
  <si>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</si>
  <si>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</si>
  <si>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</si>
  <si>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</si>
  <si>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</si>
  <si>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</si>
  <si>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</si>
  <si>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</si>
  <si>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</si>
  <si>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</si>
  <si>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</si>
  <si>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</si>
  <si>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</si>
  <si>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</si>
  <si>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</si>
  <si>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</si>
  <si>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</si>
  <si>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</si>
  <si>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</si>
  <si>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</si>
  <si>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</si>
  <si>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</si>
  <si>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</si>
  <si>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</si>
  <si>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</si>
  <si>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</si>
  <si>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</si>
  <si>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</si>
  <si>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</si>
  <si>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</si>
  <si>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</si>
  <si>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</si>
  <si>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</si>
  <si>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</si>
  <si>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</si>
  <si>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</si>
  <si>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</si>
  <si>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</si>
  <si>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</si>
  <si>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</si>
  <si>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</si>
  <si>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</si>
  <si>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</si>
  <si>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</si>
  <si>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</si>
  <si>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</si>
  <si>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</si>
  <si>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</si>
  <si>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</si>
  <si>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</si>
  <si>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</si>
  <si>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</si>
  <si>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</si>
  <si>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</si>
  <si>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</si>
  <si>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</si>
  <si>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</si>
  <si>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</si>
  <si>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</si>
  <si>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</si>
  <si>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</si>
  <si>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</si>
  <si>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</si>
  <si>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</si>
  <si>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</si>
  <si>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</si>
  <si>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</si>
  <si>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</si>
  <si>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</si>
  <si>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</si>
  <si>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</si>
  <si>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</si>
  <si>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</si>
  <si>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</si>
  <si>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</si>
  <si>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</si>
  <si>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</si>
  <si>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</si>
  <si>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</si>
  <si>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</si>
  <si>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</si>
  <si>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</si>
  <si>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</si>
  <si>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</si>
  <si>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</si>
  <si>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</si>
  <si>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</si>
  <si>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</si>
  <si>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</si>
  <si>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</si>
  <si>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</si>
  <si>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</si>
  <si>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</si>
  <si>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</si>
  <si>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</si>
  <si>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</si>
  <si>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</si>
  <si>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</si>
  <si>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</si>
  <si>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</si>
  <si>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</si>
  <si>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</si>
  <si>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</si>
  <si>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</si>
  <si>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</si>
  <si>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</si>
  <si>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</si>
  <si>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</si>
  <si>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</si>
  <si>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</si>
  <si>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</si>
  <si>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</si>
  <si>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</si>
  <si>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</si>
  <si>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</si>
  <si>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</si>
  <si>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</si>
  <si>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</si>
  <si>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</si>
  <si>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</si>
  <si>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</si>
  <si>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</si>
  <si>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</si>
  <si>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</si>
  <si>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</si>
  <si>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</si>
  <si>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</si>
  <si>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</si>
  <si>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</si>
  <si>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</si>
  <si>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</si>
  <si>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</si>
  <si>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</si>
  <si>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</si>
  <si>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</si>
  <si>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</si>
  <si>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</si>
  <si>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</si>
  <si>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</si>
  <si>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</si>
  <si>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</si>
  <si>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</si>
  <si>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</si>
  <si>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</si>
  <si>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</si>
  <si>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</si>
  <si>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</si>
  <si>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</si>
  <si>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</si>
  <si>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</si>
  <si>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</si>
  <si>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</si>
  <si>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</si>
  <si>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</si>
  <si>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</si>
  <si>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</si>
  <si>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</si>
  <si>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</si>
  <si>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</si>
  <si>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</si>
  <si>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</si>
  <si>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</si>
  <si>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</si>
  <si>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</si>
  <si>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</si>
  <si>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</si>
  <si>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</si>
  <si>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</si>
  <si>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</si>
  <si>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</si>
  <si>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</si>
  <si>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</si>
  <si>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</si>
  <si>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</si>
  <si>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</si>
  <si>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</si>
  <si>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</si>
  <si>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</si>
  <si>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</si>
  <si>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</si>
  <si>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</si>
  <si>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</si>
  <si>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</si>
  <si>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</si>
  <si>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</si>
  <si>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</si>
  <si>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</si>
  <si>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</si>
  <si>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</si>
  <si>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</si>
  <si>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</si>
  <si>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</si>
  <si>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</si>
  <si>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</si>
  <si>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</si>
  <si>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</si>
  <si>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</si>
  <si>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</si>
  <si>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</si>
  <si>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</si>
  <si>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</si>
  <si>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</si>
  <si>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</si>
  <si>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</si>
  <si>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</si>
  <si>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</si>
  <si>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</si>
  <si>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</si>
  <si>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</si>
  <si>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</si>
  <si>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</si>
  <si>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</si>
  <si>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</si>
  <si>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</si>
  <si>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</si>
  <si>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</si>
  <si>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</si>
  <si>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</si>
  <si>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</si>
  <si>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</si>
  <si>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</si>
  <si>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</si>
  <si>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</si>
  <si>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</si>
  <si>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</si>
  <si>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</si>
  <si>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</si>
  <si>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</si>
  <si>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</si>
  <si>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</si>
  <si>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</si>
  <si>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</si>
  <si>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</si>
  <si>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</si>
  <si>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</si>
  <si>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</si>
  <si>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</si>
  <si>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</si>
  <si>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</si>
  <si>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</si>
  <si>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</si>
  <si>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</si>
  <si>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</si>
  <si>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</si>
  <si>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</si>
  <si>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</si>
  <si>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</si>
  <si>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</si>
  <si>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</si>
  <si>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</si>
  <si>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</si>
  <si>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</si>
  <si>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</si>
  <si>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</si>
  <si>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</si>
  <si>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</si>
  <si>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</si>
  <si>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</si>
  <si>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</si>
  <si>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</si>
  <si>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</si>
  <si>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</si>
  <si>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</si>
  <si>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</si>
  <si>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</si>
  <si>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</si>
  <si>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</si>
  <si>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</si>
  <si>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</si>
  <si>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</si>
  <si>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</si>
  <si>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</si>
  <si>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</si>
  <si>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</si>
  <si>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</si>
  <si>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</si>
  <si>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</si>
  <si>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</si>
  <si>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</si>
  <si>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</si>
  <si>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</si>
  <si>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</si>
  <si>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</si>
  <si>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</si>
  <si>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</si>
  <si>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</si>
  <si>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</si>
  <si>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</si>
  <si>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</si>
  <si>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</si>
  <si>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</si>
  <si>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</si>
  <si>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</si>
  <si>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</si>
  <si>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</si>
  <si>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</si>
  <si>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</si>
  <si>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</si>
  <si>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</si>
  <si>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</si>
  <si>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</si>
  <si>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</si>
  <si>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</si>
  <si>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</si>
  <si>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</si>
  <si>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</si>
  <si>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</si>
  <si>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</si>
  <si>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</si>
  <si>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</si>
  <si>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</si>
  <si>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</si>
  <si>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</si>
  <si>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</si>
  <si>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</si>
  <si>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</si>
  <si>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</si>
  <si>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</si>
  <si>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</si>
  <si>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</si>
  <si>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</si>
  <si>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</si>
  <si>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</si>
  <si>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</si>
  <si>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</si>
  <si>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</si>
  <si>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</si>
  <si>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</si>
  <si>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</si>
  <si>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</si>
  <si>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</si>
  <si>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</si>
  <si>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</si>
  <si>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</si>
  <si>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</si>
  <si>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</si>
  <si>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</si>
  <si>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</si>
  <si>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</si>
  <si>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</si>
  <si>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</si>
  <si>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</si>
  <si>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</si>
  <si>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</si>
  <si>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</si>
  <si>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</si>
  <si>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</si>
  <si>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</si>
  <si>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</si>
  <si>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</si>
  <si>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</si>
  <si>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</si>
  <si>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</si>
  <si>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</si>
  <si>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</si>
  <si>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</si>
  <si>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</si>
  <si>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</si>
  <si>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</si>
  <si>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</si>
  <si>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</si>
  <si>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</si>
  <si>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</si>
  <si>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</si>
  <si>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</si>
  <si>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</si>
  <si>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</si>
  <si>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</si>
  <si>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</si>
  <si>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</si>
  <si>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</si>
  <si>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</si>
  <si>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</si>
  <si>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</si>
  <si>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</si>
  <si>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</si>
  <si>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</si>
  <si>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</si>
  <si>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</si>
  <si>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</si>
  <si>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</si>
  <si>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</si>
  <si>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</si>
  <si>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</si>
  <si>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</si>
  <si>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</si>
  <si>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</si>
  <si>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</si>
  <si>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</si>
  <si>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</si>
  <si>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</si>
  <si>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</si>
  <si>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</si>
  <si>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</si>
  <si>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</si>
  <si>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</si>
  <si>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</si>
  <si>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</si>
  <si>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</si>
  <si>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</si>
  <si>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</si>
  <si>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</si>
  <si>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</si>
  <si>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</si>
  <si>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</si>
  <si>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</si>
  <si>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</si>
  <si>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</si>
  <si>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</si>
  <si>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</si>
  <si>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</si>
  <si>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</si>
  <si>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</si>
  <si>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</si>
  <si>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</si>
  <si>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</si>
  <si>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</si>
  <si>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</si>
  <si>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</si>
  <si>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</si>
  <si>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</si>
  <si>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</si>
  <si>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</si>
  <si>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</si>
  <si>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</si>
  <si>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</si>
  <si>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</si>
  <si>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</si>
  <si>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</si>
  <si>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</si>
  <si>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</si>
  <si>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</si>
  <si>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</si>
  <si>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</si>
  <si>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</si>
  <si>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</si>
  <si>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</si>
  <si>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</si>
  <si>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</si>
  <si>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</si>
  <si>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</si>
  <si>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</si>
  <si>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</si>
  <si>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</si>
  <si>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</si>
  <si>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</si>
  <si>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</si>
  <si>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</si>
  <si>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</si>
  <si>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</si>
  <si>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</si>
  <si>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</si>
  <si>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</si>
  <si>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</si>
  <si>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</si>
  <si>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</si>
  <si>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</si>
  <si>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</si>
  <si>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</si>
  <si>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</si>
  <si>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</si>
  <si>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</si>
  <si>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</si>
  <si>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</si>
  <si>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</si>
  <si>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</si>
  <si>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</si>
  <si>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</si>
  <si>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</si>
  <si>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</si>
  <si>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</si>
  <si>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</si>
  <si>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</si>
  <si>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</si>
  <si>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</si>
  <si>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</si>
  <si>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</si>
  <si>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</si>
  <si>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</si>
  <si>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</si>
  <si>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</si>
  <si>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</si>
  <si>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</si>
  <si>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</si>
  <si>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</si>
  <si>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</si>
  <si>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</si>
  <si>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</si>
  <si>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</si>
  <si>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</si>
  <si>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</si>
  <si>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</si>
  <si>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</si>
  <si>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</si>
  <si>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</si>
  <si>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</si>
  <si>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</si>
  <si>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</si>
  <si>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</si>
  <si>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</si>
  <si>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</si>
  <si>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</si>
  <si>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</si>
  <si>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</si>
  <si>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</si>
  <si>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</si>
  <si>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</si>
  <si>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</si>
  <si>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</si>
  <si>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</si>
  <si>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</si>
  <si>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</si>
  <si>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</si>
  <si>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</si>
  <si>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</si>
  <si>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</si>
  <si>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</si>
  <si>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</si>
  <si>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</si>
  <si>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</si>
  <si>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</si>
  <si>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</si>
  <si>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</si>
  <si>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</si>
  <si>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</si>
  <si>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</si>
  <si>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</si>
  <si>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</si>
  <si>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</si>
  <si>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</si>
  <si>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</si>
  <si>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</si>
  <si>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</si>
  <si>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</si>
  <si>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</si>
  <si>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</si>
  <si>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</si>
  <si>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</si>
  <si>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</si>
  <si>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</si>
  <si>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</si>
  <si>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</si>
  <si>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</si>
  <si>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</si>
  <si>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</si>
  <si>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</si>
  <si>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</si>
  <si>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</si>
  <si>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</si>
  <si>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</si>
  <si>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</si>
  <si>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</si>
  <si>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</si>
  <si>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</si>
  <si>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</si>
  <si>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</si>
  <si>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</si>
  <si>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</si>
  <si>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</si>
  <si>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</si>
  <si>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</si>
  <si>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</si>
  <si>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</si>
  <si>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</si>
  <si>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</si>
  <si>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</si>
  <si>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</si>
  <si>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</si>
  <si>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</si>
  <si>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</si>
  <si>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</si>
  <si>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</si>
  <si>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</si>
  <si>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</si>
  <si>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</si>
  <si>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</si>
  <si>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</si>
  <si>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</si>
  <si>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</si>
  <si>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</si>
  <si>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</si>
  <si>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</si>
  <si>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</si>
  <si>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</si>
  <si>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</si>
  <si>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</si>
  <si>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</si>
  <si>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</si>
  <si>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</si>
  <si>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</si>
  <si>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</si>
  <si>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</si>
  <si>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</si>
  <si>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</si>
  <si>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</si>
  <si>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</si>
  <si>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</si>
  <si>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</si>
  <si>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</si>
  <si>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</si>
  <si>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</si>
  <si>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</si>
  <si>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</si>
  <si>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</si>
  <si>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</si>
  <si>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</si>
  <si>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</si>
  <si>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</si>
  <si>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</si>
  <si>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</si>
  <si>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</si>
  <si>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</si>
  <si>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</si>
  <si>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</si>
  <si>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</si>
  <si>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</si>
  <si>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</si>
  <si>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</si>
  <si>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</si>
  <si>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</si>
  <si>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</si>
  <si>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</si>
  <si>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</si>
  <si>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</si>
  <si>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</si>
  <si>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</si>
  <si>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</si>
  <si>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</si>
  <si>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</si>
  <si>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</si>
  <si>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</si>
  <si>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</si>
  <si>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</si>
  <si>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</si>
  <si>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</si>
  <si>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</si>
  <si>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</si>
  <si>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</si>
  <si>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</si>
  <si>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</si>
  <si>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</si>
  <si>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</si>
  <si>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</si>
  <si>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</si>
  <si>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</si>
  <si>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</si>
  <si>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</si>
  <si>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</si>
  <si>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</si>
  <si>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</si>
  <si>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</si>
  <si>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</si>
  <si>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</si>
  <si>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</si>
  <si>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</si>
  <si>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</si>
  <si>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</si>
  <si>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</si>
  <si>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</si>
  <si>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</si>
  <si>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</si>
  <si>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</si>
  <si>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</si>
  <si>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</si>
  <si>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</si>
  <si>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</si>
  <si>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</si>
  <si>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</si>
  <si>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</si>
  <si>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</si>
  <si>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</si>
  <si>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</si>
  <si>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</si>
  <si>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</si>
  <si>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</si>
  <si>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</si>
  <si>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</si>
  <si>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</si>
  <si>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</si>
  <si>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</si>
  <si>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</si>
  <si>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</si>
  <si>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</si>
  <si>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</si>
  <si>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</si>
  <si>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</si>
  <si>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</si>
  <si>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</si>
  <si>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</si>
  <si>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</si>
  <si>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</si>
  <si>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</si>
  <si>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</si>
  <si>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</si>
  <si>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</si>
  <si>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</si>
  <si>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</si>
  <si>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</si>
  <si>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</si>
  <si>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</si>
  <si>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</si>
  <si>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</si>
  <si>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</si>
  <si>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</si>
  <si>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</si>
  <si>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</si>
  <si>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</si>
  <si>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</si>
  <si>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</si>
  <si>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</si>
  <si>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</si>
  <si>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</si>
  <si>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</si>
  <si>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</si>
  <si>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</si>
  <si>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</si>
  <si>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</si>
  <si>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</si>
  <si>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</si>
  <si>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</si>
  <si>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</si>
  <si>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</si>
  <si>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</si>
  <si>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</si>
  <si>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</si>
  <si>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</si>
  <si>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</si>
  <si>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</si>
  <si>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</si>
  <si>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</si>
  <si>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</si>
  <si>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</si>
  <si>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</si>
  <si>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</si>
  <si>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</si>
  <si>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</si>
  <si>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</si>
  <si>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</si>
  <si>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</si>
  <si>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</si>
  <si>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</si>
  <si>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</si>
  <si>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</si>
  <si>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</si>
  <si>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</si>
  <si>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</si>
  <si>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</si>
  <si>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</si>
  <si>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</si>
  <si>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</si>
  <si>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</si>
  <si>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</si>
  <si>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</si>
  <si>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</si>
  <si>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</si>
  <si>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</si>
  <si>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</si>
  <si>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</si>
  <si>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</si>
  <si>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</si>
  <si>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</si>
  <si>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</si>
  <si>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</si>
  <si>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</si>
  <si>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</si>
  <si>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</si>
  <si>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</si>
  <si>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</si>
  <si>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</si>
  <si>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</si>
  <si>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</si>
  <si>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</si>
  <si>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</si>
  <si>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</si>
  <si>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</si>
  <si>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</si>
  <si>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</si>
  <si>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</si>
  <si>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</si>
  <si>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</si>
  <si>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</si>
  <si>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</si>
  <si>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</si>
  <si>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</si>
  <si>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</si>
  <si>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</si>
  <si>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</si>
  <si>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</si>
  <si>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</si>
  <si>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</si>
  <si>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</si>
  <si>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</si>
  <si>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</si>
  <si>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</si>
  <si>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</si>
  <si>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</si>
  <si>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</si>
  <si>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</si>
  <si>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</si>
  <si>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</si>
  <si>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</si>
  <si>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</si>
  <si>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</si>
  <si>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</si>
  <si>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</si>
  <si>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</si>
  <si>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</si>
  <si>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</si>
  <si>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</si>
  <si>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</si>
  <si>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</si>
  <si>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</si>
  <si>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</si>
  <si>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</si>
  <si>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</si>
  <si>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</si>
  <si>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</si>
  <si>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</si>
  <si>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</si>
  <si>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</si>
  <si>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</si>
  <si>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</si>
  <si>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</si>
  <si>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</si>
  <si>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</si>
  <si>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</si>
  <si>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</si>
  <si>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</si>
  <si>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</si>
  <si>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</si>
  <si>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</si>
  <si>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</si>
  <si>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</si>
  <si>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</si>
  <si>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</si>
  <si>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</si>
  <si>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</si>
  <si>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</si>
  <si>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</si>
  <si>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</si>
  <si>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</si>
  <si>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</si>
  <si>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</si>
  <si>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</si>
  <si>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</si>
  <si>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</si>
  <si>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</si>
  <si>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</si>
  <si>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</si>
  <si>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</si>
  <si>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</si>
  <si>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</si>
  <si>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</si>
  <si>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</si>
  <si>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</si>
  <si>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</si>
  <si>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</si>
  <si>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</si>
  <si>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</si>
  <si>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</si>
  <si>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</si>
  <si>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</si>
  <si>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</si>
  <si>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</si>
  <si>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</si>
  <si>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</si>
  <si>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</si>
  <si>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</si>
  <si>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</si>
  <si>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</si>
  <si>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</si>
  <si>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</si>
  <si>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</si>
  <si>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</si>
  <si>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</si>
  <si>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</si>
  <si>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</si>
  <si>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</si>
  <si>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</si>
  <si>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</si>
  <si>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</si>
  <si>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</si>
  <si>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</si>
  <si>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</si>
  <si>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</si>
  <si>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</si>
  <si>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</si>
  <si>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</si>
  <si>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</si>
  <si>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</si>
  <si>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</si>
  <si>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</si>
  <si>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</si>
  <si>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</si>
  <si>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</si>
  <si>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</si>
  <si>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</si>
  <si>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</si>
  <si>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</si>
  <si>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</si>
  <si>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</si>
  <si>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</si>
  <si>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</si>
  <si>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</si>
  <si>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</si>
  <si>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</si>
  <si>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</si>
  <si>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</si>
  <si>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</si>
  <si>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</si>
  <si>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</si>
  <si>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</si>
  <si>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</si>
  <si>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</si>
  <si>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</si>
  <si>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</si>
  <si>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</si>
  <si>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</si>
  <si>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</si>
  <si>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</si>
  <si>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</si>
  <si>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</si>
  <si>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</si>
  <si>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</si>
  <si>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</si>
  <si>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</si>
  <si>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</si>
  <si>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</si>
  <si>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</si>
  <si>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</si>
  <si>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</si>
  <si>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</si>
  <si>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</si>
  <si>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</si>
  <si>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</si>
  <si>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</si>
  <si>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</si>
  <si>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</si>
  <si>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</si>
  <si>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</si>
  <si>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</si>
  <si>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</si>
  <si>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</si>
  <si>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</si>
  <si>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</si>
  <si>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</si>
  <si>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</si>
  <si>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</si>
  <si>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</si>
  <si>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</si>
  <si>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</si>
  <si>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</si>
  <si>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</si>
  <si>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</si>
  <si>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</si>
  <si>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</si>
  <si>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</si>
  <si>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</si>
  <si>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</si>
  <si>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</si>
  <si>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</si>
  <si>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</si>
  <si>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</si>
  <si>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</si>
  <si>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</si>
  <si>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</si>
  <si>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</si>
  <si>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</si>
  <si>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</si>
  <si>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</si>
  <si>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</si>
  <si>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</si>
  <si>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</si>
  <si>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</si>
  <si>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</si>
  <si>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</si>
  <si>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</si>
  <si>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</si>
  <si>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</si>
  <si>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</si>
  <si>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</si>
  <si>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</si>
  <si>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</si>
  <si>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</si>
  <si>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</si>
  <si>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</si>
  <si>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</si>
  <si>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</si>
  <si>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</si>
  <si>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</si>
  <si>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</si>
  <si>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</si>
  <si>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</si>
  <si>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</si>
  <si>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</si>
  <si>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</si>
  <si>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</si>
  <si>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</si>
  <si>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</si>
  <si>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</si>
  <si>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</si>
  <si>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</si>
  <si>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</si>
  <si>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</si>
  <si>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</si>
  <si>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</si>
  <si>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</si>
  <si>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</si>
  <si>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</si>
  <si>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</si>
  <si>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</si>
  <si>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</si>
  <si>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</si>
  <si>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</si>
  <si>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</si>
  <si>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</si>
  <si>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</si>
  <si>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</si>
  <si>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</si>
  <si>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</si>
  <si>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</si>
  <si>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</si>
  <si>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</si>
  <si>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</si>
  <si>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</si>
  <si>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</si>
  <si>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</si>
  <si>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</si>
  <si>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</si>
  <si>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</si>
  <si>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</si>
  <si>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</si>
  <si>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</si>
  <si>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</si>
  <si>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</si>
  <si>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</si>
  <si>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</si>
  <si>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</si>
  <si>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</si>
  <si>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</si>
  <si>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</si>
  <si>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</si>
  <si>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</si>
  <si>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</si>
  <si>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</si>
  <si>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</si>
  <si>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</si>
  <si>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</si>
  <si>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</si>
  <si>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</si>
  <si>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</si>
  <si>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</si>
  <si>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</si>
  <si>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</si>
  <si>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</si>
  <si>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</si>
  <si>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</si>
  <si>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</si>
  <si>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</si>
  <si>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</si>
  <si>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</si>
  <si>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</si>
  <si>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</si>
  <si>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</si>
  <si>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</si>
  <si>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</si>
  <si>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</si>
  <si>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</si>
  <si>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</si>
  <si>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</si>
  <si>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</si>
  <si>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</si>
  <si>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</si>
  <si>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</si>
  <si>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</si>
  <si>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</si>
  <si>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</si>
  <si>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</si>
  <si>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</si>
  <si>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</si>
  <si>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</si>
  <si>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</si>
  <si>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</si>
  <si>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</si>
  <si>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</si>
  <si>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</si>
  <si>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</si>
  <si>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</si>
  <si>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</si>
  <si>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</si>
  <si>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</si>
  <si>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</si>
  <si>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</si>
  <si>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</si>
  <si>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</si>
  <si>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</si>
  <si>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</si>
  <si>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</si>
  <si>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</si>
  <si>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</si>
  <si>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</si>
  <si>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</si>
  <si>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</si>
  <si>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</si>
  <si>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</si>
  <si>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</si>
  <si>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</si>
  <si>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</si>
  <si>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</si>
  <si>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</si>
  <si>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</si>
  <si>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</si>
  <si>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</si>
  <si>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</si>
  <si>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</si>
  <si>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</si>
  <si>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</si>
  <si>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</si>
  <si>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</si>
  <si>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</si>
  <si>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</si>
  <si>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</si>
  <si>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</si>
  <si>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</si>
  <si>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</si>
  <si>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</si>
  <si>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</si>
  <si>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</si>
  <si>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</si>
  <si>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</si>
  <si>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</si>
  <si>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</si>
  <si>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</si>
  <si>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</si>
  <si>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</si>
  <si>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</si>
  <si>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</si>
  <si>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</si>
  <si>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</si>
  <si>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</si>
  <si>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</si>
  <si>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</si>
  <si>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</si>
  <si>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</si>
  <si>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</si>
  <si>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</si>
  <si>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</si>
  <si>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</si>
  <si>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</si>
  <si>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</si>
  <si>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</si>
  <si>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</si>
  <si>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</si>
  <si>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</si>
  <si>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</si>
  <si>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</si>
  <si>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</si>
  <si>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</si>
  <si>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</si>
  <si>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</si>
  <si>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</si>
  <si>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</si>
  <si>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</si>
  <si>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</si>
  <si>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</si>
  <si>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</si>
  <si>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</si>
  <si>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</si>
  <si>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</si>
  <si>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</si>
  <si>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</si>
  <si>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</si>
  <si>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</si>
  <si>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</si>
  <si>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</si>
  <si>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</si>
  <si>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</si>
  <si>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</si>
  <si>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</si>
  <si>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</si>
  <si>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</si>
  <si>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</si>
  <si>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</si>
  <si>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</si>
  <si>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</si>
  <si>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</si>
  <si>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</si>
  <si>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</si>
  <si>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</si>
  <si>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</si>
  <si>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</si>
  <si>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</si>
  <si>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</si>
  <si>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</si>
  <si>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</si>
  <si>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</si>
  <si>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</si>
  <si>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</si>
  <si>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</si>
  <si>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</si>
  <si>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</si>
  <si>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</si>
  <si>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</si>
  <si>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</si>
  <si>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</si>
  <si>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</si>
  <si>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</si>
  <si>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</si>
  <si>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</si>
  <si>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</si>
  <si>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</si>
  <si>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</si>
  <si>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</si>
  <si>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</si>
  <si>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</si>
  <si>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</si>
  <si>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</si>
  <si>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</si>
  <si>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</si>
  <si>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</si>
  <si>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</si>
  <si>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</si>
  <si>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</si>
  <si>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</si>
  <si>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</si>
  <si>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</si>
  <si>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</si>
  <si>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</si>
  <si>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</si>
  <si>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</si>
  <si>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</si>
  <si>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</si>
  <si>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</si>
  <si>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</si>
  <si>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</si>
  <si>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</si>
  <si>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</si>
  <si>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</si>
  <si>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</si>
  <si>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</si>
  <si>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</si>
  <si>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</si>
  <si>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</si>
  <si>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</si>
  <si>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</si>
  <si>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</si>
  <si>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</si>
  <si>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</si>
  <si>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</si>
  <si>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</si>
  <si>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</si>
  <si>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</si>
  <si>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</si>
  <si>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</si>
  <si>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</si>
  <si>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</si>
  <si>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</si>
  <si>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</si>
  <si>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</si>
  <si>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</si>
  <si>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</si>
  <si>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</si>
  <si>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</si>
  <si>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</si>
  <si>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</si>
  <si>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</si>
  <si>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</si>
  <si>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</si>
  <si>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</si>
  <si>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</si>
  <si>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</si>
  <si>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</si>
  <si>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</si>
  <si>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</si>
  <si>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</si>
  <si>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</si>
  <si>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</si>
  <si>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</si>
  <si>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</si>
  <si>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</si>
  <si>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</si>
  <si>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</si>
  <si>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</si>
  <si>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</si>
  <si>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</si>
  <si>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</si>
  <si>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</si>
  <si>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</si>
  <si>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</si>
  <si>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</si>
  <si>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</si>
  <si>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</si>
  <si>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</si>
  <si>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</si>
  <si>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</si>
  <si>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</si>
  <si>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</si>
  <si>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</si>
  <si>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</si>
  <si>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</si>
  <si>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</si>
  <si>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</si>
  <si>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</si>
  <si>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</si>
  <si>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</si>
  <si>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</si>
  <si>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</si>
  <si>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</si>
  <si>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</si>
  <si>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</si>
  <si>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</si>
  <si>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</si>
  <si>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</si>
  <si>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</si>
  <si>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</si>
  <si>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</si>
  <si>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</si>
  <si>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</si>
  <si>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</si>
  <si>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</si>
  <si>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</si>
  <si>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</si>
  <si>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</si>
  <si>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</si>
  <si>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</si>
  <si>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</si>
  <si>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</si>
  <si>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</si>
  <si>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</si>
  <si>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</si>
  <si>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</si>
  <si>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</si>
  <si>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</si>
  <si>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</si>
  <si>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</si>
  <si>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</si>
  <si>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</si>
  <si>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</si>
  <si>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</si>
  <si>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</si>
  <si>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</si>
  <si>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</si>
  <si>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</si>
  <si>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</si>
  <si>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</si>
  <si>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</si>
  <si>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</si>
  <si>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</si>
  <si>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</si>
  <si>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</si>
  <si>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</si>
  <si>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</si>
  <si>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</si>
  <si>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</si>
  <si>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</si>
  <si>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</si>
  <si>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</si>
  <si>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</si>
  <si>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</si>
  <si>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</si>
  <si>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</si>
  <si>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</si>
  <si>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</si>
  <si>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</si>
  <si>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</si>
  <si>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</si>
  <si>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</si>
  <si>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</si>
  <si>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</si>
  <si>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</si>
  <si>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</si>
  <si>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</si>
  <si>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</si>
  <si>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</si>
  <si>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</si>
  <si>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</si>
  <si>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</si>
  <si>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</si>
  <si>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</si>
  <si>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</si>
  <si>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</si>
  <si>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</si>
  <si>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</si>
  <si>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</si>
  <si>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</si>
  <si>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</si>
  <si>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</si>
  <si>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</si>
  <si>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</si>
  <si>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</si>
  <si>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</si>
  <si>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</si>
  <si>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</si>
  <si>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</si>
  <si>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</si>
  <si>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</si>
  <si>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</si>
  <si>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</si>
  <si>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</si>
  <si>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</si>
  <si>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</si>
  <si>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</si>
  <si>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</si>
  <si>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</si>
  <si>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</si>
  <si>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</si>
  <si>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</si>
  <si>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</si>
  <si>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</si>
  <si>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</si>
  <si>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</si>
  <si>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</si>
  <si>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</si>
  <si>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</si>
  <si>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</si>
  <si>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</si>
  <si>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</si>
  <si>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</si>
  <si>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</si>
  <si>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</si>
  <si>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</si>
  <si>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</si>
  <si>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</si>
  <si>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</si>
  <si>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</si>
  <si>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</si>
  <si>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</si>
  <si>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</si>
  <si>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</si>
  <si>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</si>
  <si>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</si>
  <si>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</si>
  <si>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</si>
  <si>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</si>
  <si>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</si>
  <si>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</si>
  <si>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</si>
  <si>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</si>
  <si>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</si>
  <si>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</si>
  <si>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</si>
  <si>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</si>
  <si>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</si>
  <si>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</si>
  <si>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</si>
  <si>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</si>
  <si>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</si>
  <si>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</si>
  <si>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</si>
  <si>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</si>
  <si>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</si>
  <si>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</si>
  <si>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</si>
  <si>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</si>
  <si>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</si>
  <si>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</si>
  <si>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</si>
  <si>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</si>
  <si>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</si>
  <si>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</si>
  <si>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</si>
  <si>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</si>
  <si>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</si>
  <si>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</si>
  <si>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</si>
  <si>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</si>
  <si>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</si>
  <si>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</si>
  <si>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</si>
  <si>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</si>
  <si>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</si>
  <si>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</si>
  <si>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</si>
  <si>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</si>
  <si>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</si>
  <si>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</si>
  <si>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</si>
  <si>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</si>
  <si>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</si>
  <si>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</si>
  <si>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</si>
  <si>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</si>
  <si>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</si>
  <si>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</si>
  <si>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</si>
  <si>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</si>
  <si>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</si>
  <si>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</si>
  <si>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</si>
  <si>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</si>
  <si>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</si>
  <si>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</si>
  <si>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</si>
  <si>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</si>
  <si>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</si>
  <si>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</si>
  <si>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</si>
  <si>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</si>
  <si>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</si>
  <si>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</si>
  <si>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</si>
  <si>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</si>
  <si>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</si>
  <si>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</si>
  <si>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</si>
  <si>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</si>
  <si>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</si>
  <si>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</si>
  <si>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</si>
  <si>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</si>
  <si>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</si>
  <si>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</si>
  <si>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</si>
  <si>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</si>
  <si>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</si>
  <si>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</si>
  <si>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</si>
  <si>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</si>
  <si>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</si>
  <si>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</si>
  <si>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</si>
  <si>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</si>
  <si>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</si>
  <si>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</si>
  <si>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</si>
  <si>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</si>
  <si>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</si>
  <si>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</si>
  <si>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</si>
  <si>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</si>
  <si>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</si>
  <si>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</si>
  <si>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</si>
  <si>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</si>
  <si>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</si>
  <si>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</si>
  <si>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</si>
  <si>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</si>
  <si>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</si>
  <si>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</si>
  <si>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</si>
  <si>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</si>
  <si>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</si>
  <si>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</si>
  <si>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</si>
  <si>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</si>
  <si>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</si>
  <si>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</si>
  <si>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</si>
  <si>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</si>
  <si>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</si>
  <si>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</si>
  <si>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</si>
  <si>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</si>
  <si>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</si>
  <si>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</si>
  <si>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</si>
  <si>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</si>
  <si>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</si>
  <si>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</si>
  <si>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</si>
  <si>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</si>
  <si>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</si>
  <si>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</si>
  <si>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</si>
  <si>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</si>
  <si>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</si>
  <si>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</si>
  <si>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</si>
  <si>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</si>
  <si>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</si>
  <si>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</si>
  <si>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</si>
  <si>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</si>
  <si>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</si>
  <si>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</si>
  <si>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</si>
  <si>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</si>
  <si>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</si>
  <si>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</si>
  <si>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</si>
  <si>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</si>
  <si>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</si>
  <si>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</si>
  <si>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</si>
  <si>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</si>
  <si>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</si>
  <si>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</si>
  <si>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</si>
  <si>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</si>
  <si>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</si>
  <si>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</si>
  <si>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</si>
  <si>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</si>
  <si>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</si>
  <si>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</si>
  <si>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</si>
  <si>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</si>
  <si>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</si>
  <si>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</si>
  <si>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</si>
  <si>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</si>
  <si>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</si>
  <si>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</si>
  <si>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</si>
  <si>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</si>
  <si>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</si>
  <si>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</si>
  <si>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</si>
  <si>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</si>
  <si>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</si>
  <si>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</si>
  <si>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</si>
  <si>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</si>
  <si>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</si>
  <si>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</si>
  <si>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</si>
  <si>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</si>
  <si>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</si>
  <si>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</si>
  <si>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</si>
  <si>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</si>
  <si>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</si>
  <si>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</si>
  <si>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</si>
  <si>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</si>
  <si>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</si>
  <si>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</si>
  <si>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</si>
  <si>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</si>
  <si>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</si>
  <si>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</si>
  <si>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</si>
  <si>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</si>
  <si>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</si>
  <si>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</si>
  <si>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</si>
  <si>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</si>
  <si>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</si>
  <si>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</si>
  <si>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</si>
  <si>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</si>
  <si>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</si>
  <si>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</si>
  <si>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</si>
  <si>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</si>
  <si>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</si>
  <si>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</si>
  <si>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</si>
  <si>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</si>
  <si>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</si>
  <si>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</si>
  <si>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</si>
  <si>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</si>
  <si>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</si>
  <si>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</si>
  <si>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</si>
  <si>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</si>
  <si>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</si>
  <si>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</si>
  <si>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</si>
  <si>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</si>
  <si>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</si>
  <si>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</si>
  <si>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</si>
  <si>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</si>
  <si>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</si>
  <si>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</si>
  <si>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</si>
  <si>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</si>
  <si>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</si>
  <si>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</si>
  <si>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</si>
  <si>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</si>
  <si>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</si>
  <si>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</si>
  <si>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</si>
  <si>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</si>
  <si>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</si>
  <si>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</si>
  <si>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</si>
  <si>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</si>
  <si>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</si>
  <si>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</si>
  <si>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</si>
  <si>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</si>
  <si>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</si>
  <si>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</si>
  <si>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</si>
  <si>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</si>
  <si>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</si>
  <si>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</si>
  <si>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</si>
  <si>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</si>
  <si>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</si>
  <si>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</si>
  <si>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</si>
  <si>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</si>
  <si>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</si>
  <si>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</si>
  <si>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</si>
  <si>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</si>
  <si>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</si>
  <si>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</si>
  <si>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</si>
  <si>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</si>
  <si>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</si>
  <si>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</si>
  <si>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</si>
  <si>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</si>
  <si>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</si>
  <si>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</si>
  <si>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</si>
  <si>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</si>
  <si>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</si>
  <si>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</si>
  <si>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</si>
  <si>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</si>
  <si>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</si>
  <si>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</si>
  <si>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</si>
  <si>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</si>
  <si>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</si>
  <si>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</si>
  <si>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</si>
  <si>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</si>
  <si>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</si>
  <si>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</si>
  <si>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</si>
  <si>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</si>
  <si>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</si>
  <si>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</si>
  <si>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</si>
  <si>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</si>
  <si>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</si>
  <si>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</si>
  <si>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</si>
  <si>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</si>
  <si>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</si>
  <si>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</si>
  <si>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</si>
  <si>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</si>
  <si>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</si>
  <si>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</si>
  <si>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</si>
  <si>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</si>
  <si>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</si>
  <si>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</si>
  <si>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</si>
  <si>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</si>
  <si>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</si>
  <si>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</si>
  <si>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</si>
  <si>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</si>
  <si>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</si>
  <si>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</si>
  <si>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</si>
  <si>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</si>
  <si>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</si>
  <si>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</si>
  <si>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</si>
  <si>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</si>
  <si>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</si>
  <si>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</si>
  <si>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</si>
  <si>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</si>
  <si>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</si>
  <si>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</si>
  <si>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</si>
  <si>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</si>
  <si>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</si>
  <si>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</si>
  <si>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</si>
  <si>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</si>
  <si>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</si>
  <si>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</si>
  <si>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</si>
  <si>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</si>
  <si>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</si>
  <si>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</si>
  <si>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</si>
  <si>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</si>
  <si>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</si>
  <si>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</si>
  <si>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</si>
  <si>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</si>
  <si>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</si>
  <si>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</si>
  <si>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</si>
  <si>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</si>
  <si>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</si>
  <si>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</si>
  <si>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</si>
  <si>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</si>
  <si>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</si>
  <si>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</si>
  <si>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</si>
  <si>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</si>
  <si>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</si>
  <si>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</si>
  <si>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</si>
  <si>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</si>
  <si>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</si>
  <si>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</si>
  <si>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</si>
  <si>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</si>
  <si>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</si>
  <si>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</si>
  <si>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</si>
  <si>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</si>
  <si>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</si>
  <si>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</si>
  <si>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</si>
  <si>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</si>
  <si>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</si>
  <si>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</si>
  <si>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</si>
  <si>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</si>
  <si>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</si>
  <si>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</si>
  <si>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</si>
  <si>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</si>
  <si>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</si>
  <si>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</si>
  <si>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</si>
  <si>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</si>
  <si>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</si>
  <si>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</si>
  <si>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</si>
  <si>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</si>
  <si>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</si>
  <si>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</si>
  <si>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</si>
  <si>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</si>
  <si>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</si>
  <si>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</si>
  <si>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</si>
  <si>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</si>
  <si>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</si>
  <si>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</si>
  <si>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</si>
  <si>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</si>
  <si>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</si>
  <si>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</si>
  <si>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</si>
  <si>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</si>
  <si>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</si>
  <si>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</si>
  <si>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</si>
  <si>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</si>
  <si>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</si>
  <si>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</si>
  <si>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</si>
  <si>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</si>
  <si>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</si>
  <si>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</si>
  <si>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</si>
  <si>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</si>
  <si>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</si>
  <si>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</si>
  <si>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</si>
  <si>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</si>
  <si>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</si>
  <si>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</si>
  <si>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</si>
  <si>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</si>
  <si>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</si>
  <si>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</si>
  <si>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</si>
  <si>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</si>
  <si>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</si>
  <si>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</si>
  <si>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</si>
  <si>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</si>
  <si>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</si>
  <si>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</si>
  <si>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</si>
  <si>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</si>
  <si>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</si>
  <si>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</si>
  <si>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</si>
  <si>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</si>
  <si>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</si>
  <si>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</si>
  <si>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</si>
  <si>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</si>
  <si>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</si>
  <si>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</si>
  <si>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</si>
  <si>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</si>
  <si>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</si>
  <si>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</si>
  <si>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</si>
  <si>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</si>
  <si>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</si>
  <si>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</si>
  <si>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</si>
  <si>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</si>
  <si>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</si>
  <si>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</si>
  <si>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</si>
  <si>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</si>
  <si>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</si>
  <si>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</si>
  <si>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</si>
  <si>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</si>
  <si>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</si>
  <si>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</si>
  <si>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</si>
  <si>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</si>
  <si>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</si>
  <si>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</si>
  <si>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</si>
  <si>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</si>
  <si>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</si>
  <si>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</si>
  <si>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</si>
  <si>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</si>
  <si>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</si>
  <si>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</si>
  <si>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</si>
  <si>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</si>
  <si>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</si>
  <si>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</si>
  <si>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</si>
  <si>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</si>
  <si>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</si>
  <si>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</si>
  <si>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</si>
  <si>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</si>
  <si>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</si>
  <si>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</si>
  <si>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</si>
  <si>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</si>
  <si>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</si>
  <si>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</si>
  <si>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</si>
  <si>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</si>
  <si>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</si>
  <si>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</si>
  <si>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</si>
  <si>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</si>
  <si>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</si>
  <si>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</si>
  <si>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</si>
  <si>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</si>
  <si>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</si>
  <si>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</si>
  <si>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</si>
  <si>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</si>
  <si>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</si>
  <si>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</si>
  <si>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</si>
  <si>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</si>
  <si>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</si>
  <si>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</si>
  <si>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</si>
  <si>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</si>
  <si>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</si>
  <si>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</si>
  <si>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</si>
  <si>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</si>
  <si>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</si>
  <si>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</si>
  <si>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</si>
  <si>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</si>
  <si>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</si>
  <si>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</si>
  <si>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</si>
  <si>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</si>
  <si>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</si>
  <si>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</si>
  <si>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</si>
  <si>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</si>
  <si>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</si>
  <si>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</si>
  <si>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</si>
  <si>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</si>
  <si>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</si>
  <si>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</si>
  <si>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</si>
  <si>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</si>
  <si>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</si>
  <si>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</si>
  <si>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</si>
  <si>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</si>
  <si>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</si>
  <si>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</si>
  <si>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</si>
  <si>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</si>
  <si>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</si>
  <si>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</si>
  <si>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</si>
  <si>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</si>
  <si>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</si>
  <si>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</si>
  <si>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</si>
  <si>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</si>
  <si>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</si>
  <si>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</si>
  <si>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</si>
  <si>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</si>
  <si>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</si>
  <si>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</si>
  <si>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</si>
  <si>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</si>
  <si>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</si>
  <si>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</si>
  <si>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</si>
  <si>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</si>
  <si>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</si>
  <si>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</si>
  <si>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</si>
  <si>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</si>
  <si>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</si>
  <si>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</si>
  <si>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</si>
  <si>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</si>
  <si>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</si>
  <si>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</si>
  <si>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</si>
  <si>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</si>
  <si>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</si>
  <si>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</si>
  <si>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</si>
  <si>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</si>
  <si>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</si>
  <si>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</si>
  <si>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</si>
  <si>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</si>
  <si>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</si>
  <si>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</si>
  <si>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</si>
  <si>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</si>
  <si>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</si>
  <si>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</si>
  <si>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</si>
  <si>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</si>
  <si>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</si>
  <si>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</si>
  <si>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</si>
  <si>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</si>
  <si>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</si>
  <si>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</si>
  <si>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</si>
  <si>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</si>
  <si>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</si>
  <si>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</si>
  <si>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</si>
  <si>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</si>
  <si>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</si>
  <si>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</si>
  <si>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</si>
  <si>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</si>
  <si>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</si>
  <si>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</si>
  <si>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</si>
  <si>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</si>
  <si>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</si>
  <si>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</si>
  <si>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</si>
  <si>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</si>
  <si>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</si>
  <si>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</si>
  <si>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</si>
  <si>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</si>
  <si>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</si>
  <si>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</si>
  <si>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</si>
  <si>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</si>
  <si>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</si>
  <si>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</si>
  <si>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</si>
  <si>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</si>
  <si>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</si>
  <si>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</si>
  <si>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</si>
  <si>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</si>
  <si>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</si>
  <si>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</si>
  <si>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</si>
  <si>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</si>
  <si>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</si>
  <si>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</si>
  <si>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</si>
  <si>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</si>
  <si>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</si>
  <si>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</si>
  <si>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</si>
  <si>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</si>
  <si>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</si>
  <si>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</si>
  <si>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</si>
  <si>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</si>
  <si>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</si>
  <si>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</si>
  <si>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</si>
  <si>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</si>
  <si>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</si>
  <si>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</si>
  <si>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</si>
  <si>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</si>
  <si>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</si>
  <si>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</si>
  <si>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</si>
  <si>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</si>
  <si>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</si>
  <si>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</si>
  <si>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</si>
  <si>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</si>
  <si>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</si>
  <si>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</si>
  <si>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</si>
  <si>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</si>
  <si>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</si>
  <si>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</si>
  <si>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</si>
  <si>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</si>
  <si>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</si>
  <si>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</si>
  <si>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</si>
  <si>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</si>
  <si>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</si>
  <si>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</si>
  <si>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</si>
  <si>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</si>
  <si>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</si>
  <si>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</si>
  <si>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</si>
  <si>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</si>
  <si>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</si>
  <si>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</si>
  <si>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</si>
  <si>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</si>
  <si>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</si>
  <si>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</si>
  <si>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</si>
  <si>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</si>
  <si>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</si>
  <si>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</si>
  <si>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</si>
  <si>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</si>
  <si>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</si>
  <si>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</si>
  <si>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</si>
  <si>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</si>
  <si>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</si>
  <si>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</si>
  <si>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</si>
  <si>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</si>
  <si>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</si>
  <si>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</si>
  <si>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</si>
  <si>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</si>
  <si>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</si>
  <si>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</si>
  <si>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</si>
  <si>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</si>
  <si>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</si>
  <si>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</si>
  <si>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</si>
  <si>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</si>
  <si>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</si>
  <si>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</si>
  <si>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</si>
  <si>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</si>
  <si>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</si>
  <si>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</si>
  <si>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</si>
  <si>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</si>
  <si>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</si>
  <si>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</si>
  <si>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</si>
  <si>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</si>
  <si>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</si>
  <si>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</si>
  <si>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</si>
  <si>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</si>
  <si>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</si>
  <si>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</si>
  <si>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</si>
  <si>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</si>
  <si>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</si>
  <si>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</si>
  <si>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</si>
  <si>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</si>
  <si>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</si>
  <si>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</si>
  <si>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</si>
  <si>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</si>
  <si>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</si>
  <si>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</si>
  <si>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</si>
  <si>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</si>
  <si>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</si>
  <si>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</si>
  <si>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</si>
  <si>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</si>
  <si>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</si>
  <si>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</si>
  <si>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</si>
  <si>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</si>
  <si>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</si>
  <si>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</si>
  <si>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</si>
  <si>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</si>
  <si>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</si>
  <si>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</si>
  <si>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</si>
  <si>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</si>
  <si>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</si>
  <si>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</si>
  <si>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</si>
  <si>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</si>
  <si>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</si>
  <si>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</si>
  <si>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</si>
  <si>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</si>
  <si>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</si>
  <si>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</si>
  <si>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</si>
  <si>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</si>
  <si>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</si>
  <si>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</si>
  <si>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</si>
  <si>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</si>
  <si>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</si>
  <si>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</si>
  <si>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</si>
  <si>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</si>
  <si>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</si>
  <si>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</si>
  <si>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</si>
  <si>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</si>
  <si>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</si>
  <si>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</si>
  <si>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</si>
  <si>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</si>
  <si>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</si>
  <si>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</si>
  <si>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</si>
  <si>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</si>
  <si>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</si>
  <si>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</si>
  <si>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</si>
  <si>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</si>
  <si>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</si>
  <si>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</si>
  <si>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</si>
  <si>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</si>
  <si>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</si>
  <si>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</si>
  <si>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</si>
  <si>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</si>
  <si>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</si>
  <si>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</si>
  <si>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</si>
  <si>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</si>
  <si>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</si>
  <si>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</si>
  <si>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</si>
  <si>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</si>
  <si>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</si>
  <si>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</si>
  <si>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</si>
  <si>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</si>
  <si>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</si>
  <si>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</si>
  <si>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</si>
  <si>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</si>
  <si>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</si>
  <si>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</si>
  <si>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</si>
  <si>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</si>
  <si>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</si>
  <si>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</si>
  <si>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</si>
  <si>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</si>
  <si>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</si>
  <si>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</si>
  <si>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</si>
  <si>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</si>
  <si>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</si>
  <si>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</si>
  <si>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</si>
  <si>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</si>
  <si>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</si>
  <si>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</si>
  <si>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</si>
  <si>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</si>
  <si>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</si>
  <si>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</si>
  <si>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</si>
  <si>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</si>
  <si>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</si>
  <si>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</si>
  <si>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</si>
  <si>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</si>
  <si>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</si>
  <si>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</si>
  <si>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</si>
  <si>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</si>
  <si>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</si>
  <si>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</si>
  <si>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</si>
  <si>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</si>
  <si>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</si>
  <si>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</si>
  <si>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</si>
  <si>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</si>
  <si>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</si>
  <si>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</si>
  <si>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</si>
  <si>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</si>
  <si>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</si>
  <si>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</si>
  <si>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</si>
  <si>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</si>
  <si>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</si>
  <si>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</si>
  <si>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</si>
  <si>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</si>
  <si>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</si>
  <si>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</si>
  <si>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</si>
  <si>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</si>
  <si>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</si>
  <si>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</si>
  <si>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</si>
  <si>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</si>
  <si>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</si>
  <si>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</si>
  <si>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</si>
  <si>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</si>
  <si>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</si>
  <si>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</si>
  <si>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</si>
  <si>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</si>
  <si>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</si>
  <si>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</si>
  <si>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</si>
  <si>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</si>
  <si>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</si>
  <si>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</si>
  <si>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</si>
  <si>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</si>
  <si>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</si>
  <si>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</si>
  <si>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</si>
  <si>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</si>
  <si>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</si>
  <si>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</si>
  <si>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</si>
  <si>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</si>
  <si>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</si>
  <si>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</si>
  <si>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</si>
  <si>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</si>
  <si>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</si>
  <si>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</si>
  <si>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</si>
  <si>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</si>
  <si>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</si>
  <si>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</si>
  <si>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</si>
  <si>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</si>
  <si>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</si>
  <si>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</si>
  <si>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</si>
  <si>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</si>
  <si>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</si>
  <si>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</si>
  <si>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</si>
  <si>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</si>
  <si>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</si>
  <si>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</si>
  <si>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</si>
  <si>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</si>
  <si>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</si>
  <si>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</si>
  <si>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</si>
  <si>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</si>
  <si>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</si>
  <si>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</si>
  <si>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</si>
  <si>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</si>
  <si>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</si>
  <si>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</si>
  <si>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</si>
  <si>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</si>
  <si>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</si>
  <si>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</si>
  <si>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</si>
  <si>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</si>
  <si>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</si>
  <si>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</si>
  <si>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</si>
  <si>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</si>
  <si>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</si>
  <si>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</si>
  <si>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</si>
  <si>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</si>
  <si>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</si>
  <si>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</si>
  <si>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</si>
  <si>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</si>
  <si>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</si>
  <si>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</si>
  <si>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</si>
  <si>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</si>
  <si>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</si>
  <si>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</si>
  <si>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</si>
  <si>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</si>
  <si>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</si>
  <si>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</si>
  <si>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</si>
  <si>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</si>
  <si>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</si>
  <si>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</si>
  <si>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</si>
  <si>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</si>
  <si>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</si>
  <si>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</si>
  <si>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</si>
  <si>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</si>
  <si>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</si>
  <si>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</si>
  <si>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</si>
  <si>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</si>
  <si>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</si>
  <si>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</si>
  <si>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</si>
  <si>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</si>
  <si>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</si>
  <si>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</si>
  <si>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</si>
  <si>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</si>
  <si>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</si>
  <si>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</si>
  <si>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</si>
  <si>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</si>
  <si>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</si>
  <si>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</si>
  <si>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</si>
  <si>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</si>
  <si>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</si>
  <si>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</si>
  <si>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</si>
  <si>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</si>
  <si>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</si>
  <si>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</si>
  <si>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</si>
  <si>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</si>
  <si>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</si>
  <si>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</si>
  <si>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</si>
  <si>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</si>
  <si>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</si>
  <si>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</si>
  <si>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</si>
  <si>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</si>
  <si>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</si>
  <si>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</si>
  <si>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</si>
  <si>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</si>
  <si>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</si>
  <si>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</si>
  <si>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</si>
  <si>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</si>
  <si>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</si>
  <si>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</si>
  <si>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</si>
  <si>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</si>
  <si>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</si>
  <si>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</si>
  <si>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</si>
  <si>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</si>
  <si>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</si>
  <si>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</si>
  <si>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</si>
  <si>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</si>
  <si>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</si>
  <si>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</si>
  <si>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</si>
  <si>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</si>
  <si>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</si>
  <si>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</si>
  <si>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</si>
  <si>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</si>
  <si>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</si>
  <si>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</si>
  <si>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</si>
  <si>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</si>
  <si>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</si>
  <si>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</si>
  <si>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</si>
  <si>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</si>
  <si>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</si>
  <si>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</si>
  <si>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</si>
  <si>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</si>
  <si>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</si>
  <si>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</si>
  <si>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</si>
  <si>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</si>
  <si>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</si>
  <si>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</si>
  <si>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</si>
  <si>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</si>
  <si>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</si>
  <si>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</si>
  <si>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</si>
  <si>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</si>
  <si>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</si>
  <si>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</si>
  <si>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</si>
  <si>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</si>
  <si>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</si>
  <si>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</si>
  <si>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</si>
  <si>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</si>
  <si>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</si>
  <si>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</si>
  <si>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</si>
  <si>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</si>
  <si>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</si>
  <si>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</si>
  <si>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</si>
  <si>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</si>
  <si>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</si>
  <si>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</si>
  <si>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</si>
  <si>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</si>
  <si>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</si>
  <si>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</si>
  <si>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</si>
  <si>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</si>
  <si>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</si>
  <si>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</si>
  <si>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</si>
  <si>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</si>
  <si>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</si>
  <si>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</si>
  <si>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</si>
  <si>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</si>
  <si>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</si>
  <si>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</si>
  <si>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</si>
  <si>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</si>
  <si>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</si>
  <si>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</si>
  <si>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</si>
  <si>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</si>
  <si>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</si>
  <si>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</si>
  <si>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</si>
  <si>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</si>
  <si>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</si>
  <si>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</si>
  <si>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</si>
  <si>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</si>
  <si>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</si>
  <si>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</si>
  <si>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</si>
  <si>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</si>
  <si>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</si>
  <si>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</si>
  <si>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</si>
  <si>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</si>
  <si>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</si>
  <si>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</si>
  <si>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</si>
  <si>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</si>
  <si>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</si>
  <si>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</si>
  <si>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</si>
  <si>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</si>
  <si>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</si>
  <si>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</si>
  <si>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</si>
  <si>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</si>
  <si>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</si>
  <si>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</si>
  <si>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</si>
  <si>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</si>
  <si>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</si>
  <si>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</si>
  <si>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</si>
  <si>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</si>
  <si>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</si>
  <si>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</si>
  <si>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</si>
  <si>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</si>
  <si>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</si>
  <si>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</si>
  <si>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</si>
  <si>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</si>
  <si>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</si>
  <si>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</si>
  <si>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</si>
  <si>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</si>
  <si>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</si>
  <si>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</si>
  <si>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</si>
  <si>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</si>
  <si>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</si>
  <si>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</si>
  <si>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</si>
  <si>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</si>
  <si>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</si>
  <si>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</si>
  <si>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</si>
  <si>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</si>
  <si>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</si>
  <si>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</si>
  <si>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</si>
  <si>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</si>
  <si>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</si>
  <si>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</si>
  <si>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</si>
  <si>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</si>
  <si>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</si>
  <si>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</si>
  <si>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</si>
  <si>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</si>
  <si>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</si>
  <si>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</si>
  <si>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</si>
  <si>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</si>
  <si>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</si>
  <si>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</si>
  <si>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</si>
  <si>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</si>
  <si>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</si>
  <si>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</si>
  <si>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</si>
  <si>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</si>
  <si>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</si>
  <si>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</si>
  <si>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</si>
  <si>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</si>
  <si>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</si>
  <si>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</si>
  <si>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</si>
  <si>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</si>
  <si>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</si>
  <si>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</si>
  <si>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</si>
  <si>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</si>
  <si>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</si>
  <si>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</si>
  <si>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</si>
  <si>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</si>
  <si>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</si>
  <si>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</si>
  <si>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</si>
  <si>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</si>
  <si>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</si>
  <si>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</si>
  <si>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</si>
  <si>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</si>
  <si>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</si>
  <si>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</si>
  <si>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</si>
  <si>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</si>
  <si>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</si>
  <si>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</si>
  <si>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</si>
  <si>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</si>
  <si>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</si>
  <si>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</si>
  <si>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</si>
  <si>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</si>
  <si>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</si>
  <si>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</si>
  <si>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</si>
  <si>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</si>
  <si>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</si>
  <si>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</si>
  <si>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</si>
  <si>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</si>
  <si>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</si>
  <si>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</si>
  <si>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</si>
  <si>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</si>
  <si>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</si>
  <si>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</si>
  <si>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</si>
  <si>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</si>
  <si>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</si>
  <si>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</si>
  <si>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</si>
  <si>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</si>
  <si>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</si>
  <si>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</si>
  <si>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</si>
  <si>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</si>
  <si>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</si>
  <si>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</si>
  <si>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</si>
  <si>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</si>
  <si>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</si>
  <si>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</si>
  <si>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</si>
  <si>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</si>
  <si>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</si>
  <si>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</si>
  <si>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</si>
  <si>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</si>
  <si>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</si>
  <si>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</si>
  <si>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</si>
  <si>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</si>
  <si>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</si>
  <si>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</si>
  <si>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</si>
  <si>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</si>
  <si>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</si>
  <si>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</si>
  <si>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</si>
  <si>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</si>
  <si>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</si>
  <si>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</si>
  <si>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</si>
  <si>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</si>
  <si>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</si>
  <si>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</si>
  <si>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</si>
  <si>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</si>
  <si>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</si>
  <si>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</si>
  <si>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</si>
  <si>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</si>
  <si>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</si>
  <si>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</si>
  <si>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</si>
  <si>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</si>
  <si>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</si>
  <si>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</si>
  <si>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</si>
  <si>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</si>
  <si>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</si>
  <si>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</si>
  <si>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</si>
  <si>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</si>
  <si>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</si>
  <si>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</si>
  <si>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</si>
  <si>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</si>
  <si>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</si>
  <si>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</si>
  <si>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</si>
  <si>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</si>
  <si>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</si>
  <si>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</si>
  <si>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</si>
  <si>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</si>
  <si>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</si>
  <si>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</si>
  <si>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</si>
  <si>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</si>
  <si>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</si>
  <si>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</si>
  <si>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</si>
  <si>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</si>
  <si>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</si>
  <si>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</si>
  <si>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</si>
  <si>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</si>
  <si>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</si>
  <si>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</si>
  <si>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</si>
  <si>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</si>
  <si>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</si>
  <si>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</si>
  <si>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</si>
  <si>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</si>
  <si>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</si>
  <si>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</si>
  <si>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</si>
  <si>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</si>
  <si>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</si>
  <si>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</si>
  <si>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</si>
  <si>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</si>
  <si>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</si>
  <si>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</si>
  <si>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</si>
  <si>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</si>
  <si>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</si>
  <si>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</si>
  <si>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</si>
  <si>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</si>
  <si>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</si>
  <si>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</si>
  <si>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</si>
  <si>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</si>
  <si>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</si>
  <si>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</si>
  <si>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</si>
  <si>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</si>
  <si>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</si>
  <si>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</si>
  <si>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</si>
  <si>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</si>
  <si>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</si>
  <si>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</si>
  <si>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</si>
  <si>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</si>
  <si>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</si>
  <si>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</si>
  <si>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</si>
  <si>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</si>
  <si>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</si>
  <si>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</si>
  <si>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</si>
  <si>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</si>
  <si>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</si>
  <si>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</si>
  <si>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</si>
  <si>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</si>
  <si>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</si>
  <si>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</si>
  <si>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</si>
  <si>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</si>
  <si>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</si>
  <si>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</si>
  <si>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</si>
  <si>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</si>
  <si>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</si>
  <si>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</si>
  <si>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</si>
  <si>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</si>
  <si>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</si>
  <si>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</si>
  <si>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</si>
  <si>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</si>
  <si>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</si>
  <si>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</si>
  <si>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</si>
  <si>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</si>
  <si>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</si>
  <si>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</si>
  <si>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</si>
  <si>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</si>
  <si>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</si>
  <si>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</si>
  <si>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</si>
  <si>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</si>
  <si>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</si>
  <si>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</si>
  <si>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</si>
  <si>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</si>
  <si>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</si>
  <si>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</si>
  <si>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</si>
  <si>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</si>
  <si>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</si>
  <si>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</si>
  <si>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</si>
  <si>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</si>
  <si>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</si>
  <si>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</si>
  <si>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</si>
  <si>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</si>
  <si>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</si>
  <si>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</si>
  <si>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</si>
  <si>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</si>
  <si>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</si>
  <si>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</si>
  <si>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</si>
  <si>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</si>
  <si>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</si>
  <si>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</si>
  <si>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</si>
  <si>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</si>
  <si>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</si>
  <si>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</si>
  <si>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</si>
  <si>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</si>
  <si>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</si>
  <si>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</si>
  <si>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</si>
  <si>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</si>
  <si>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</si>
  <si>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</si>
  <si>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</si>
  <si>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</si>
  <si>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</si>
  <si>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</si>
  <si>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</si>
  <si>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</si>
  <si>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</si>
  <si>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</si>
  <si>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</si>
  <si>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</si>
  <si>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</si>
  <si>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</si>
  <si>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</si>
  <si>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</si>
  <si>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</si>
  <si>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</si>
  <si>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</si>
  <si>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</si>
  <si>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</si>
  <si>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</si>
  <si>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</si>
  <si>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</si>
  <si>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</si>
  <si>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</si>
  <si>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</si>
  <si>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</si>
  <si>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</si>
  <si>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</si>
  <si>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</si>
  <si>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</si>
  <si>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</si>
  <si>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</si>
  <si>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</si>
  <si>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</si>
  <si>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</si>
  <si>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</si>
  <si>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</si>
  <si>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</si>
  <si>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</si>
  <si>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</si>
  <si>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</si>
  <si>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</si>
  <si>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</si>
  <si>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</si>
  <si>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</si>
  <si>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</si>
  <si>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</si>
  <si>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</si>
  <si>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</si>
  <si>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</si>
  <si>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</si>
  <si>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</si>
  <si>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</si>
  <si>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</si>
  <si>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</si>
  <si>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</si>
  <si>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</si>
  <si>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</si>
  <si>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</si>
  <si>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</si>
  <si>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</si>
  <si>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</si>
  <si>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</si>
  <si>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</si>
  <si>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</si>
  <si>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</si>
  <si>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</si>
  <si>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</si>
  <si>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</si>
  <si>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</si>
  <si>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</si>
  <si>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</si>
  <si>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</si>
  <si>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</si>
  <si>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</si>
  <si>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</si>
  <si>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</si>
  <si>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</si>
  <si>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</si>
  <si>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</si>
  <si>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</si>
  <si>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</si>
  <si>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</si>
  <si>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</si>
  <si>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</si>
  <si>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</si>
  <si>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</si>
  <si>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</si>
  <si>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</si>
  <si>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</si>
  <si>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</si>
  <si>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</si>
  <si>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</si>
  <si>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</si>
  <si>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</si>
  <si>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</si>
  <si>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</si>
  <si>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</si>
  <si>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</si>
  <si>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</si>
  <si>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</si>
  <si>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</si>
  <si>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</si>
  <si>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</si>
  <si>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</si>
  <si>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</si>
  <si>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</si>
  <si>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</si>
  <si>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</si>
  <si>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</si>
  <si>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</si>
  <si>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</si>
  <si>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</si>
  <si>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</si>
  <si>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</si>
  <si>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</si>
  <si>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</si>
  <si>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</si>
  <si>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</si>
  <si>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</si>
  <si>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</si>
  <si>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</si>
  <si>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</si>
  <si>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</si>
  <si>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</si>
  <si>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</si>
  <si>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</si>
  <si>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</si>
  <si>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</si>
  <si>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</si>
  <si>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</si>
  <si>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</si>
  <si>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</si>
  <si>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</si>
  <si>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</si>
  <si>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</si>
  <si>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</si>
  <si>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</si>
  <si>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</si>
  <si>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</si>
  <si>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</si>
  <si>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</si>
  <si>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</si>
  <si>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</si>
  <si>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</si>
  <si>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</si>
  <si>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</si>
  <si>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</si>
  <si>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</si>
  <si>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</si>
  <si>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</si>
  <si>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</si>
  <si>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</si>
  <si>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</si>
  <si>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</si>
  <si>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</si>
  <si>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</si>
  <si>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</si>
  <si>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</si>
  <si>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</si>
  <si>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</si>
  <si>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</si>
  <si>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</si>
  <si>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</si>
  <si>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</si>
  <si>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</si>
  <si>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</si>
  <si>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</si>
  <si>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</si>
  <si>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</si>
  <si>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</si>
  <si>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</si>
  <si>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</si>
  <si>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</si>
  <si>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</si>
  <si>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</si>
  <si>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</si>
  <si>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</si>
  <si>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</si>
  <si>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</si>
  <si>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</si>
  <si>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</si>
  <si>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</si>
  <si>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</si>
  <si>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</si>
  <si>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</si>
  <si>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</si>
  <si>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</si>
  <si>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</si>
  <si>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</si>
  <si>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</si>
  <si>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</si>
  <si>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</si>
  <si>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</si>
  <si>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</si>
  <si>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</si>
  <si>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</si>
  <si>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</si>
  <si>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</si>
  <si>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</si>
  <si>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</si>
  <si>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</si>
  <si>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</si>
  <si>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</si>
  <si>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</si>
  <si>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</si>
  <si>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</si>
  <si>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</si>
  <si>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</si>
  <si>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</si>
  <si>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</si>
  <si>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</si>
  <si>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</si>
  <si>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</si>
  <si>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</si>
  <si>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</si>
  <si>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</si>
  <si>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</si>
  <si>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</si>
  <si>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</si>
  <si>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</si>
  <si>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</si>
  <si>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</si>
  <si>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</si>
  <si>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</si>
  <si>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</si>
  <si>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</si>
  <si>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</si>
  <si>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</si>
  <si>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</si>
  <si>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</si>
  <si>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</si>
  <si>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</si>
  <si>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</si>
  <si>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</si>
  <si>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</si>
  <si>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</si>
  <si>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</si>
  <si>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</si>
  <si>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</si>
  <si>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</si>
  <si>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</si>
  <si>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</si>
  <si>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</si>
  <si>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</si>
  <si>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</si>
  <si>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</si>
  <si>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</si>
  <si>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</si>
  <si>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</si>
  <si>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</si>
  <si>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</si>
  <si>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</si>
  <si>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</si>
  <si>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</si>
  <si>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</si>
  <si>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</si>
  <si>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</si>
  <si>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</si>
  <si>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</si>
  <si>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</si>
  <si>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</si>
  <si>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</si>
  <si>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</si>
  <si>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</si>
  <si>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</si>
  <si>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</si>
  <si>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</si>
  <si>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</si>
  <si>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</si>
  <si>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</si>
  <si>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</si>
  <si>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</si>
  <si>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</si>
  <si>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</si>
  <si>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</si>
  <si>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</si>
  <si>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</si>
  <si>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</si>
  <si>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</si>
  <si>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</si>
  <si>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</si>
  <si>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</si>
  <si>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</si>
  <si>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</si>
  <si>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</si>
  <si>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</si>
  <si>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</si>
  <si>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</si>
  <si>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</si>
  <si>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</si>
  <si>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</si>
  <si>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</si>
  <si>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</si>
  <si>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</si>
  <si>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</si>
  <si>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</si>
  <si>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</si>
  <si>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</si>
  <si>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</si>
  <si>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</si>
  <si>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</si>
  <si>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</si>
  <si>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</si>
  <si>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</si>
  <si>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</si>
  <si>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</si>
  <si>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</si>
  <si>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</si>
  <si>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</si>
  <si>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</si>
  <si>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</si>
  <si>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</si>
  <si>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</si>
  <si>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</si>
  <si>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</si>
  <si>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</si>
  <si>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</si>
  <si>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</si>
  <si>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</si>
  <si>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</si>
  <si>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</si>
  <si>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</si>
  <si>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</si>
  <si>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</si>
  <si>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</si>
  <si>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</si>
  <si>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</si>
  <si>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</si>
  <si>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</si>
  <si>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</si>
  <si>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</si>
  <si>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</si>
  <si>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</si>
  <si>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</si>
  <si>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</si>
  <si>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</si>
  <si>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</si>
  <si>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</si>
  <si>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</si>
  <si>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</si>
  <si>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</si>
  <si>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</si>
  <si>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</si>
  <si>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</si>
  <si>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</si>
  <si>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</si>
  <si>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</si>
  <si>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</si>
  <si>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</si>
  <si>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</si>
  <si>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</si>
  <si>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</si>
  <si>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</si>
  <si>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</si>
  <si>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</si>
  <si>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</si>
  <si>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</si>
  <si>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</si>
  <si>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</si>
  <si>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</si>
  <si>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</si>
  <si>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</si>
  <si>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</si>
  <si>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</si>
  <si>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</si>
  <si>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</si>
  <si>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</si>
  <si>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</si>
  <si>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</si>
  <si>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</si>
  <si>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</si>
  <si>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</si>
  <si>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</si>
  <si>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</si>
  <si>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</si>
  <si>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</si>
  <si>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</si>
  <si>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</si>
  <si>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</si>
  <si>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</si>
  <si>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</si>
  <si>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</si>
  <si>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</si>
  <si>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</si>
  <si>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</si>
  <si>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</si>
  <si>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</si>
  <si>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</si>
  <si>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</si>
  <si>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</si>
  <si>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</si>
  <si>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</si>
  <si>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</si>
  <si>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</si>
  <si>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</si>
  <si>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</si>
  <si>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</si>
  <si>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</si>
  <si>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</si>
  <si>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</si>
  <si>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</si>
  <si>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</si>
  <si>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</si>
  <si>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</si>
  <si>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</si>
  <si>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</si>
  <si>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</si>
  <si>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</si>
  <si>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</si>
  <si>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</si>
  <si>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</si>
  <si>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</si>
  <si>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</si>
  <si>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</si>
  <si>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</si>
  <si>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</si>
  <si>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</si>
  <si>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</si>
  <si>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</si>
  <si>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</si>
  <si>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</si>
  <si>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</si>
  <si>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</si>
  <si>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</si>
  <si>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</si>
  <si>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</si>
  <si>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</si>
  <si>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</si>
  <si>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</si>
  <si>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</si>
  <si>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</si>
  <si>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</si>
  <si>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</si>
  <si>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</si>
  <si>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</si>
  <si>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</si>
  <si>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</si>
  <si>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</si>
  <si>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</si>
  <si>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</si>
  <si>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</si>
  <si>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</si>
  <si>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</si>
  <si>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</si>
  <si>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</si>
  <si>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</si>
  <si>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</si>
  <si>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</si>
  <si>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</si>
  <si>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</si>
  <si>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</si>
  <si>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</si>
  <si>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</si>
  <si>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</si>
  <si>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</si>
  <si>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</si>
  <si>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</si>
  <si>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</si>
  <si>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</si>
  <si>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</si>
  <si>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</si>
  <si>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</si>
  <si>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</si>
  <si>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</si>
  <si>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</si>
  <si>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</si>
  <si>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</si>
  <si>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</si>
  <si>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</si>
  <si>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</si>
  <si>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</si>
  <si>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</si>
  <si>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</si>
  <si>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</si>
  <si>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</si>
  <si>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</si>
  <si>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</si>
  <si>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</si>
  <si>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</si>
  <si>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</si>
  <si>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</si>
  <si>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</si>
  <si>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</si>
  <si>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</si>
  <si>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</si>
  <si>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</si>
  <si>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</si>
  <si>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</si>
  <si>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</si>
  <si>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</si>
  <si>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</si>
  <si>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</si>
  <si>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</si>
  <si>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</si>
  <si>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</si>
  <si>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</si>
  <si>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</si>
  <si>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</si>
  <si>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</si>
  <si>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</si>
  <si>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</si>
  <si>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</si>
  <si>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</si>
  <si>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</si>
  <si>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</si>
  <si>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</si>
  <si>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</si>
  <si>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</si>
  <si>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</si>
  <si>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</si>
  <si>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</si>
  <si>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</si>
  <si>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</si>
  <si>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</si>
  <si>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</si>
  <si>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</si>
  <si>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</si>
  <si>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</si>
  <si>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</si>
  <si>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</si>
  <si>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</si>
  <si>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</si>
  <si>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</si>
  <si>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</si>
  <si>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</si>
  <si>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</si>
  <si>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</si>
  <si>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</si>
  <si>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</si>
  <si>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</si>
  <si>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</si>
  <si>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</si>
  <si>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</si>
  <si>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</si>
  <si>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</si>
  <si>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</si>
  <si>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</si>
  <si>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</si>
  <si>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</si>
  <si>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</si>
  <si>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</si>
  <si>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</si>
  <si>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</si>
  <si>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</si>
  <si>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</si>
  <si>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</si>
  <si>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</si>
  <si>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</si>
  <si>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</si>
  <si>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</si>
  <si>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</si>
  <si>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</si>
  <si>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</si>
  <si>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</si>
  <si>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</si>
  <si>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</si>
  <si>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</si>
  <si>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</si>
  <si>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</si>
  <si>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</si>
  <si>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</si>
  <si>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</si>
  <si>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</si>
  <si>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</si>
  <si>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</si>
  <si>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</si>
  <si>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</si>
  <si>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</si>
  <si>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</si>
  <si>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</si>
  <si>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</si>
  <si>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</si>
  <si>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</si>
  <si>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</si>
  <si>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</si>
  <si>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</si>
  <si>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</si>
  <si>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</si>
  <si>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</si>
  <si>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</si>
  <si>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</si>
  <si>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</si>
  <si>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</si>
  <si>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</si>
  <si>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</si>
  <si>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</si>
  <si>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</si>
  <si>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</si>
  <si>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</si>
  <si>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</si>
  <si>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</si>
  <si>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</si>
  <si>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</si>
  <si>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</si>
  <si>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</si>
  <si>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</si>
  <si>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</si>
  <si>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</si>
  <si>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</si>
  <si>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</si>
  <si>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</si>
  <si>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</si>
  <si>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</si>
  <si>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</si>
  <si>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</si>
  <si>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</si>
  <si>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</si>
  <si>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</si>
  <si>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</si>
  <si>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</si>
  <si>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</si>
  <si>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</si>
  <si>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</si>
  <si>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</si>
  <si>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</si>
  <si>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</si>
  <si>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</si>
  <si>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</si>
  <si>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</si>
  <si>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</si>
  <si>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</si>
  <si>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</si>
  <si>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</si>
  <si>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</si>
  <si>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</si>
  <si>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</si>
  <si>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</si>
  <si>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</si>
  <si>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</si>
  <si>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</si>
  <si>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</si>
  <si>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</si>
  <si>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</si>
  <si>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</si>
  <si>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</si>
  <si>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</si>
  <si>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</si>
  <si>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</si>
  <si>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</si>
  <si>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</si>
  <si>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</si>
  <si>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</si>
  <si>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</si>
  <si>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</si>
  <si>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</si>
  <si>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</si>
  <si>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</si>
  <si>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</si>
  <si>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</si>
  <si>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</si>
  <si>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</si>
  <si>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</si>
  <si>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</si>
  <si>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</si>
  <si>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</si>
  <si>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</si>
  <si>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</si>
  <si>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</si>
  <si>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</si>
  <si>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</si>
  <si>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</si>
  <si>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</si>
  <si>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</si>
  <si>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</si>
  <si>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</si>
  <si>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</si>
  <si>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</si>
  <si>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</si>
  <si>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</si>
  <si>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</si>
  <si>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</si>
  <si>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</si>
  <si>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</si>
  <si>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</si>
  <si>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</si>
  <si>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</si>
  <si>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</si>
  <si>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</si>
  <si>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</si>
  <si>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</si>
  <si>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</si>
  <si>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</si>
  <si>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</si>
  <si>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</si>
  <si>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</si>
  <si>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</si>
  <si>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</si>
  <si>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</si>
  <si>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</si>
  <si>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</si>
  <si>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</si>
  <si>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</si>
  <si>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</si>
  <si>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</si>
  <si>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</si>
  <si>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</si>
  <si>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</si>
  <si>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</si>
  <si>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</si>
  <si>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</si>
  <si>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</si>
  <si>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</si>
  <si>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</si>
  <si>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</si>
  <si>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</si>
  <si>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</si>
  <si>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</si>
  <si>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</si>
  <si>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</si>
  <si>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</si>
  <si>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</si>
  <si>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</si>
  <si>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</si>
  <si>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</si>
  <si>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</si>
  <si>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</si>
  <si>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</si>
  <si>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</si>
  <si>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</si>
  <si>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</si>
  <si>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</si>
  <si>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</si>
  <si>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</si>
  <si>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</si>
  <si>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</si>
  <si>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</si>
  <si>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</si>
  <si>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</si>
  <si>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</si>
  <si>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</si>
  <si>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</si>
  <si>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</si>
  <si>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</si>
  <si>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</si>
  <si>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</si>
  <si>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</si>
  <si>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</si>
  <si>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</si>
  <si>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</si>
  <si>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</si>
  <si>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</si>
  <si>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</si>
  <si>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</si>
  <si>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</si>
  <si>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</si>
  <si>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</si>
  <si>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</si>
  <si>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</si>
  <si>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</si>
  <si>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</si>
  <si>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</si>
  <si>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</si>
  <si>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</si>
  <si>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</si>
  <si>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</si>
  <si>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</si>
  <si>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</si>
  <si>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</si>
  <si>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</si>
  <si>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</si>
  <si>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</si>
  <si>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</si>
  <si>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</si>
  <si>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</si>
  <si>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</si>
  <si>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</si>
  <si>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</si>
  <si>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</si>
  <si>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</si>
  <si>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</si>
  <si>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</si>
  <si>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</si>
  <si>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</si>
  <si>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</si>
  <si>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</si>
  <si>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</si>
  <si>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</si>
  <si>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</si>
  <si>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</si>
  <si>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</si>
  <si>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</si>
  <si>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</si>
  <si>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</si>
  <si>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</si>
  <si>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</si>
  <si>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</si>
  <si>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</si>
  <si>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</si>
  <si>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</si>
  <si>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</si>
  <si>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</si>
  <si>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</si>
  <si>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</si>
  <si>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</si>
  <si>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</si>
  <si>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</si>
  <si>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</si>
  <si>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</si>
  <si>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</si>
  <si>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</si>
  <si>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</si>
  <si>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</si>
  <si>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</si>
  <si>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</si>
  <si>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</si>
  <si>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</si>
  <si>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</si>
  <si>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</si>
  <si>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</si>
  <si>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</si>
  <si>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</si>
  <si>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</si>
  <si>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</si>
  <si>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</si>
  <si>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</si>
  <si>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</si>
  <si>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</si>
  <si>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</si>
  <si>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</si>
  <si>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</si>
  <si>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</si>
  <si>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</si>
  <si>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</si>
  <si>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</si>
  <si>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</si>
  <si>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</si>
  <si>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</si>
  <si>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</si>
  <si>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</si>
  <si>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</si>
  <si>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</si>
  <si>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</si>
  <si>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</si>
  <si>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</si>
  <si>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</si>
  <si>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</si>
  <si>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</si>
  <si>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</si>
  <si>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</si>
  <si>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</si>
  <si>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</si>
  <si>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</si>
  <si>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</si>
  <si>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</si>
  <si>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</si>
  <si>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</si>
  <si>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</si>
  <si>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</si>
  <si>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</si>
  <si>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</si>
  <si>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</si>
  <si>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</si>
  <si>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</si>
  <si>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</si>
  <si>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</si>
  <si>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</si>
  <si>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</si>
  <si>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</si>
  <si>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</si>
  <si>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</si>
  <si>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</si>
  <si>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</si>
  <si>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</si>
  <si>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</si>
  <si>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</si>
  <si>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</si>
  <si>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</si>
  <si>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</si>
  <si>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</si>
  <si>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</si>
  <si>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</si>
  <si>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</si>
  <si>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</si>
  <si>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</si>
  <si>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</si>
  <si>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</si>
  <si>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</si>
  <si>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</si>
  <si>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</si>
  <si>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</si>
  <si>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</si>
  <si>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</si>
  <si>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</si>
  <si>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</si>
  <si>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</si>
  <si>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</si>
  <si>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</si>
  <si>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</si>
  <si>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</si>
  <si>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</si>
  <si>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</si>
  <si>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</si>
  <si>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</si>
  <si>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</si>
  <si>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</si>
  <si>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</si>
  <si>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</si>
  <si>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</si>
  <si>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</si>
  <si>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</si>
  <si>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</si>
  <si>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</si>
  <si>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</si>
  <si>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</si>
  <si>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</si>
  <si>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</si>
  <si>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</si>
  <si>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</si>
  <si>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</si>
  <si>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</si>
  <si>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</si>
  <si>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</si>
  <si>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</si>
  <si>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</si>
  <si>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</si>
  <si>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</si>
  <si>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</si>
  <si>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</si>
  <si>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</si>
  <si>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</si>
  <si>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</si>
  <si>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</si>
  <si>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</si>
  <si>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</si>
  <si>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</si>
  <si>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</si>
  <si>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</si>
  <si>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</si>
  <si>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</si>
  <si>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</si>
  <si>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</si>
  <si>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</si>
  <si>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</si>
  <si>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</si>
  <si>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</si>
  <si>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</si>
  <si>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</si>
  <si>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</si>
  <si>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</si>
  <si>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</si>
  <si>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</si>
  <si>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</si>
  <si>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</si>
  <si>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</si>
  <si>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</si>
  <si>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</si>
  <si>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</si>
  <si>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</si>
  <si>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</si>
  <si>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</si>
  <si>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</si>
  <si>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</si>
  <si>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</si>
  <si>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</si>
  <si>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</si>
  <si>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</si>
  <si>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</si>
  <si>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</si>
  <si>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</si>
  <si>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</si>
  <si>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</si>
  <si>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</si>
  <si>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</si>
  <si>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</si>
  <si>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</si>
  <si>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</si>
  <si>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</si>
  <si>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</si>
  <si>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</si>
  <si>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</si>
  <si>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</si>
  <si>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</si>
  <si>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</si>
  <si>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</si>
  <si>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</si>
  <si>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</si>
  <si>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</si>
  <si>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</si>
  <si>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</si>
  <si>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</si>
  <si>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</si>
  <si>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</si>
  <si>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</si>
  <si>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</si>
  <si>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</si>
  <si>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</si>
  <si>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</si>
  <si>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</si>
  <si>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</si>
  <si>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</si>
  <si>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</si>
  <si>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</si>
  <si>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</si>
  <si>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</si>
  <si>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</si>
  <si>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</si>
  <si>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</si>
  <si>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</si>
  <si>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</si>
  <si>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</si>
  <si>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</si>
  <si>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</si>
  <si>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</si>
  <si>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</si>
  <si>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</si>
  <si>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</si>
  <si>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</si>
  <si>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</si>
  <si>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</si>
  <si>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</si>
  <si>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</si>
  <si>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</si>
  <si>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</si>
  <si>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</si>
  <si>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</si>
  <si>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</si>
  <si>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</si>
  <si>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</si>
  <si>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</si>
  <si>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</si>
  <si>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</si>
  <si>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</si>
  <si>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</si>
  <si>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</si>
  <si>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</si>
  <si>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</si>
  <si>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</si>
  <si>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</si>
  <si>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</si>
  <si>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</si>
  <si>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</si>
  <si>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</si>
  <si>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</si>
  <si>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</si>
  <si>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</si>
  <si>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</si>
  <si>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</si>
  <si>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</si>
  <si>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</si>
  <si>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</si>
  <si>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</si>
  <si>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</si>
  <si>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</si>
  <si>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</si>
  <si>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</si>
  <si>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</si>
  <si>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</si>
  <si>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</si>
  <si>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</si>
  <si>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</si>
  <si>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</si>
  <si>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</si>
  <si>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</si>
  <si>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</si>
  <si>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</si>
  <si>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</si>
  <si>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</si>
  <si>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</si>
  <si>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</si>
  <si>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</si>
  <si>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</si>
  <si>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</si>
  <si>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</si>
  <si>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</si>
  <si>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</si>
  <si>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</si>
  <si>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</si>
  <si>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</si>
  <si>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</si>
  <si>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</si>
  <si>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</si>
  <si>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</si>
  <si>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</si>
  <si>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</si>
  <si>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</si>
  <si>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</si>
  <si>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</si>
  <si>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</si>
  <si>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</si>
  <si>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</si>
  <si>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</si>
  <si>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</si>
  <si>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</si>
  <si>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</si>
  <si>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</si>
  <si>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</si>
  <si>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</si>
  <si>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</si>
  <si>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</si>
  <si>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</si>
  <si>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</si>
  <si>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</si>
  <si>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</si>
  <si>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</si>
  <si>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</si>
  <si>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</si>
  <si>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</si>
  <si>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</si>
  <si>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</si>
  <si>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</si>
  <si>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</si>
  <si>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</si>
  <si>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</si>
  <si>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</si>
  <si>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</si>
  <si>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</si>
  <si>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</si>
  <si>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</si>
  <si>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</si>
  <si>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</si>
  <si>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</si>
  <si>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</si>
  <si>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</si>
  <si>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</si>
  <si>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</si>
  <si>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</si>
  <si>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</si>
  <si>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</si>
  <si>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</si>
  <si>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</si>
  <si>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</si>
  <si>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</si>
  <si>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</si>
  <si>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</si>
  <si>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</si>
  <si>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</si>
  <si>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</si>
  <si>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</si>
  <si>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</si>
  <si>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</si>
  <si>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</si>
  <si>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</si>
  <si>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</si>
  <si>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</si>
  <si>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</si>
  <si>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</si>
  <si>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</si>
  <si>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</si>
  <si>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</si>
  <si>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</si>
  <si>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</si>
  <si>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</si>
  <si>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</si>
  <si>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</si>
  <si>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</si>
  <si>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</si>
  <si>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</si>
  <si>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</si>
  <si>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</si>
  <si>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</si>
  <si>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</si>
  <si>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</si>
  <si>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</si>
  <si>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</si>
  <si>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</si>
  <si>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</si>
  <si>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</si>
  <si>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</si>
  <si>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</si>
  <si>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</si>
  <si>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</si>
  <si>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</si>
  <si>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</si>
  <si>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</si>
  <si>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</si>
  <si>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</si>
  <si>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</si>
  <si>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</si>
  <si>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</si>
  <si>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</si>
  <si>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</si>
  <si>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</si>
  <si>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</si>
  <si>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</si>
  <si>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</si>
  <si>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</si>
  <si>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</si>
  <si>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</si>
  <si>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</si>
  <si>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</si>
  <si>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</si>
  <si>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</si>
  <si>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</si>
  <si>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</si>
  <si>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</si>
  <si>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</si>
  <si>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</si>
  <si>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</si>
  <si>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</si>
  <si>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</si>
  <si>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</si>
  <si>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</si>
  <si>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</si>
  <si>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</si>
  <si>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</si>
  <si>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</si>
  <si>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</si>
  <si>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</si>
  <si>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</si>
  <si>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</si>
  <si>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</si>
  <si>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</si>
  <si>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</si>
  <si>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</si>
  <si>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</si>
  <si>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</si>
  <si>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</si>
  <si>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</si>
  <si>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</si>
  <si>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</si>
  <si>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</si>
  <si>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</si>
  <si>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</si>
  <si>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</si>
  <si>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</si>
  <si>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</si>
  <si>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</si>
  <si>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</si>
  <si>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</si>
  <si>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</si>
  <si>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</si>
  <si>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</si>
  <si>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</si>
  <si>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</si>
  <si>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</si>
  <si>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</si>
  <si>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</si>
  <si>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</si>
  <si>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</si>
  <si>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</si>
  <si>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</si>
  <si>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</si>
  <si>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</si>
  <si>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</si>
  <si>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</si>
  <si>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</si>
  <si>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</si>
  <si>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</si>
  <si>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</si>
  <si>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</si>
  <si>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</si>
  <si>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</si>
  <si>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</si>
  <si>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</si>
  <si>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</si>
  <si>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</si>
  <si>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</si>
  <si>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</si>
  <si>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</si>
  <si>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</si>
  <si>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</si>
  <si>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</si>
  <si>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</si>
  <si>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</si>
  <si>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</si>
  <si>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</si>
  <si>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</si>
  <si>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</si>
  <si>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</si>
  <si>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</si>
  <si>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</si>
  <si>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</si>
  <si>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</si>
  <si>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</si>
  <si>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</si>
  <si>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</si>
  <si>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</si>
  <si>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</si>
  <si>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</si>
  <si>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</si>
  <si>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</si>
  <si>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</si>
  <si>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</si>
  <si>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</si>
  <si>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</si>
  <si>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</si>
  <si>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</si>
  <si>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</si>
  <si>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</si>
  <si>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</si>
  <si>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</si>
  <si>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</si>
  <si>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</si>
  <si>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</si>
  <si>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</si>
  <si>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</si>
  <si>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</si>
  <si>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</si>
  <si>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</si>
  <si>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</si>
  <si>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</si>
  <si>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</si>
  <si>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</si>
  <si>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</si>
  <si>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</si>
  <si>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</si>
  <si>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</si>
  <si>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</si>
  <si>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</si>
  <si>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</si>
  <si>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</si>
  <si>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</si>
  <si>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</si>
  <si>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</si>
  <si>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</si>
  <si>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</si>
  <si>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</si>
  <si>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</si>
  <si>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</si>
  <si>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</si>
  <si>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</si>
  <si>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</si>
  <si>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</si>
  <si>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</si>
  <si>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</si>
  <si>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</si>
  <si>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</si>
  <si>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</si>
  <si>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</si>
  <si>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</si>
  <si>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</si>
  <si>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</si>
  <si>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</si>
  <si>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</si>
  <si>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</si>
  <si>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</si>
  <si>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</si>
  <si>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</si>
  <si>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</si>
  <si>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</si>
  <si>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</si>
  <si>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</si>
  <si>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</si>
  <si>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</si>
  <si>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</si>
  <si>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</si>
  <si>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</si>
  <si>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</si>
  <si>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</si>
  <si>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</si>
  <si>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</si>
  <si>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</si>
  <si>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</si>
  <si>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</si>
  <si>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</si>
  <si>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</si>
  <si>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</si>
  <si>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</si>
  <si>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</si>
  <si>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</si>
  <si>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</si>
  <si>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</si>
  <si>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</si>
  <si>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</si>
  <si>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</si>
  <si>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</si>
  <si>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</si>
  <si>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</si>
  <si>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</si>
  <si>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</si>
  <si>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</si>
  <si>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</si>
  <si>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</si>
  <si>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</si>
  <si>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</si>
  <si>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</si>
  <si>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</si>
  <si>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</si>
  <si>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</si>
  <si>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</si>
  <si>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</si>
  <si>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</si>
  <si>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</si>
  <si>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</si>
  <si>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</si>
  <si>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</si>
  <si>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</si>
  <si>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</si>
  <si>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</si>
  <si>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</si>
  <si>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</si>
  <si>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</si>
  <si>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</si>
  <si>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</si>
  <si>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</si>
  <si>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</si>
  <si>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</si>
  <si>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</si>
  <si>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</si>
  <si>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</si>
  <si>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</si>
  <si>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</si>
  <si>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</si>
  <si>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</si>
  <si>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</si>
  <si>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</si>
  <si>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</si>
  <si>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</si>
  <si>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</si>
  <si>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</si>
  <si>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</si>
  <si>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</si>
  <si>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</si>
  <si>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</si>
  <si>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</si>
  <si>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</si>
  <si>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</si>
  <si>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</si>
  <si>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</si>
  <si>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</si>
  <si>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</si>
  <si>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</si>
  <si>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</si>
  <si>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</si>
  <si>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</si>
  <si>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</si>
  <si>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</si>
  <si>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</si>
  <si>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</si>
  <si>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</si>
  <si>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</si>
  <si>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</si>
  <si>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</si>
  <si>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</si>
  <si>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</si>
  <si>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</si>
  <si>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</si>
  <si>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</si>
  <si>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</si>
  <si>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</si>
  <si>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</si>
  <si>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</si>
  <si>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</si>
  <si>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</si>
  <si>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</si>
  <si>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</si>
  <si>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</si>
  <si>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</si>
  <si>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</si>
  <si>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</si>
  <si>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</si>
  <si>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</si>
  <si>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</si>
  <si>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</si>
  <si>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</si>
  <si>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</si>
  <si>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</si>
  <si>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</si>
  <si>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</si>
  <si>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</si>
  <si>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</si>
  <si>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</si>
  <si>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</si>
  <si>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</si>
  <si>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</si>
  <si>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</si>
  <si>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</si>
  <si>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</si>
  <si>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</si>
  <si>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</si>
  <si>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</si>
  <si>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</si>
  <si>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</si>
  <si>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</si>
  <si>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</si>
  <si>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</si>
  <si>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</si>
  <si>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</si>
  <si>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</si>
  <si>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</si>
  <si>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</si>
  <si>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</si>
  <si>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</si>
  <si>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</si>
  <si>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</si>
  <si>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</si>
  <si>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</si>
  <si>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</si>
  <si>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</si>
  <si>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</si>
  <si>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</si>
  <si>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</si>
  <si>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</si>
  <si>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</si>
  <si>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</si>
  <si>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</si>
  <si>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</si>
  <si>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</si>
  <si>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</si>
  <si>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</si>
  <si>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</si>
  <si>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</si>
  <si>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</si>
  <si>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</si>
  <si>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</si>
  <si>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</si>
  <si>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</si>
  <si>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</si>
  <si>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</si>
  <si>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</si>
  <si>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</si>
  <si>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</si>
  <si>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</si>
  <si>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</si>
  <si>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</si>
  <si>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</si>
  <si>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</si>
  <si>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</si>
  <si>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</si>
  <si>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</si>
  <si>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</si>
  <si>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</si>
  <si>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</si>
  <si>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</si>
  <si>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</si>
  <si>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</si>
  <si>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</si>
  <si>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</si>
  <si>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</si>
  <si>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</si>
  <si>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</si>
  <si>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</si>
  <si>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</si>
  <si>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</si>
  <si>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</si>
  <si>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</si>
  <si>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</si>
  <si>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</si>
  <si>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</si>
  <si>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</si>
  <si>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</si>
  <si>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</si>
  <si>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</si>
  <si>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</si>
  <si>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</si>
  <si>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</si>
  <si>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</si>
  <si>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</si>
  <si>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</si>
  <si>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</si>
  <si>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</si>
  <si>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</si>
  <si>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</si>
  <si>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</si>
  <si>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</si>
  <si>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</si>
  <si>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</si>
  <si>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</si>
  <si>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</si>
  <si>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</si>
  <si>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</si>
  <si>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</si>
  <si>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</si>
  <si>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</si>
  <si>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</si>
  <si>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</si>
  <si>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</si>
  <si>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</si>
  <si>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</si>
  <si>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</si>
  <si>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</si>
  <si>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</si>
  <si>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</si>
  <si>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</si>
  <si>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</si>
  <si>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</si>
  <si>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</si>
  <si>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</si>
  <si>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</si>
  <si>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</si>
  <si>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</si>
  <si>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</si>
  <si>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</si>
  <si>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</si>
  <si>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</si>
  <si>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</si>
  <si>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</si>
  <si>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</si>
  <si>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</si>
  <si>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</si>
  <si>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</si>
  <si>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</si>
  <si>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</si>
  <si>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</si>
  <si>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</si>
  <si>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</si>
  <si>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</si>
  <si>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</si>
  <si>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</si>
  <si>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</si>
  <si>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</si>
  <si>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</si>
  <si>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</si>
  <si>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</si>
  <si>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</si>
  <si>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</si>
  <si>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</si>
  <si>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</si>
  <si>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</si>
  <si>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</si>
  <si>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</si>
  <si>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</si>
  <si>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</si>
  <si>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</si>
  <si>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</si>
  <si>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</si>
  <si>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</si>
  <si>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</si>
  <si>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</si>
  <si>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</si>
  <si>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</si>
  <si>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</si>
  <si>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</si>
  <si>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</si>
  <si>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</si>
  <si>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</si>
  <si>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</si>
  <si>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</si>
  <si>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</si>
  <si>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</si>
  <si>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</si>
  <si>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</si>
  <si>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</si>
  <si>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</si>
  <si>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</si>
  <si>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</si>
  <si>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</si>
  <si>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</si>
  <si>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</si>
  <si>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</si>
  <si>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</si>
  <si>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</si>
  <si>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</si>
  <si>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</si>
  <si>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</si>
  <si>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</si>
  <si>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</si>
  <si>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</si>
  <si>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</si>
  <si>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</si>
  <si>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</si>
  <si>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</si>
  <si>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</si>
  <si>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</si>
  <si>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</si>
  <si>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</si>
  <si>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</si>
  <si>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</si>
  <si>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</si>
  <si>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</si>
  <si>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</si>
  <si>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</si>
  <si>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</si>
  <si>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</si>
  <si>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</si>
  <si>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</si>
  <si>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</si>
  <si>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</si>
  <si>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</si>
  <si>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</si>
  <si>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</si>
  <si>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</si>
  <si>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</si>
  <si>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</si>
  <si>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</si>
  <si>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</si>
  <si>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</si>
  <si>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</si>
  <si>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</si>
  <si>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</si>
  <si>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</si>
  <si>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</si>
  <si>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</si>
  <si>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</si>
  <si>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</si>
  <si>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</si>
  <si>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</si>
  <si>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</si>
  <si>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</si>
  <si>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</si>
  <si>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</si>
  <si>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</si>
  <si>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</si>
  <si>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</si>
  <si>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</si>
  <si>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</si>
  <si>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</si>
  <si>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</si>
  <si>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</si>
  <si>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</si>
  <si>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</si>
  <si>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</si>
  <si>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</si>
  <si>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</si>
  <si>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</si>
  <si>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</si>
  <si>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</si>
  <si>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</si>
  <si>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</si>
  <si>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</si>
  <si>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</si>
  <si>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</si>
  <si>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</si>
  <si>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</si>
  <si>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</si>
  <si>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</si>
  <si>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</si>
  <si>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</si>
  <si>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</si>
  <si>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</si>
  <si>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</si>
  <si>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</si>
  <si>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</si>
  <si>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</si>
  <si>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</si>
  <si>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</si>
  <si>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</si>
  <si>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</si>
  <si>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</si>
  <si>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</si>
  <si>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</si>
  <si>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</si>
  <si>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</si>
  <si>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</si>
  <si>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</si>
  <si>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</si>
  <si>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</si>
  <si>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</si>
  <si>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</si>
  <si>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</si>
  <si>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</si>
  <si>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</si>
  <si>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</si>
  <si>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</si>
  <si>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</si>
  <si>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</si>
  <si>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</si>
  <si>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</si>
  <si>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</si>
  <si>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</si>
  <si>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</si>
  <si>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</si>
  <si>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</si>
  <si>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</si>
  <si>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</si>
  <si>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</si>
  <si>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</si>
  <si>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</si>
  <si>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</si>
  <si>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</si>
  <si>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</si>
  <si>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</si>
  <si>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</si>
  <si>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</si>
  <si>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</si>
  <si>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</si>
  <si>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</si>
  <si>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</si>
  <si>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</si>
  <si>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</si>
  <si>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</si>
  <si>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</si>
  <si>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</si>
  <si>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</si>
  <si>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</si>
  <si>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</si>
  <si>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</si>
  <si>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</si>
  <si>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</si>
  <si>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</si>
  <si>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</si>
  <si>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</si>
  <si>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</si>
  <si>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</si>
  <si>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</si>
  <si>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</si>
  <si>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</si>
  <si>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</si>
  <si>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</si>
  <si>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</si>
  <si>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</si>
  <si>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</si>
  <si>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</si>
  <si>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</si>
  <si>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</si>
  <si>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</si>
  <si>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</si>
  <si>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</si>
  <si>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</si>
  <si>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</si>
  <si>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</si>
  <si>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</si>
  <si>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</si>
  <si>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</si>
  <si>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</si>
  <si>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</si>
  <si>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</si>
  <si>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</si>
  <si>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</si>
  <si>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</si>
  <si>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</si>
  <si>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</si>
  <si>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</si>
  <si>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</si>
  <si>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</si>
  <si>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</si>
  <si>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</si>
  <si>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</si>
  <si>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</si>
  <si>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</si>
  <si>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</si>
  <si>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</si>
  <si>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</si>
  <si>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</si>
  <si>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</si>
  <si>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</si>
  <si>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</si>
  <si>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</si>
  <si>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</si>
  <si>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</si>
  <si>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</si>
  <si>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</si>
  <si>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</si>
  <si>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</si>
  <si>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</si>
  <si>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</si>
  <si>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</si>
  <si>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</si>
  <si>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</si>
  <si>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</si>
  <si>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</si>
  <si>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</si>
  <si>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</si>
  <si>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</si>
  <si>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</si>
  <si>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</si>
  <si>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</si>
  <si>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</si>
  <si>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</si>
  <si>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</si>
  <si>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</si>
  <si>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</si>
  <si>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</si>
  <si>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</si>
  <si>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</si>
  <si>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</si>
  <si>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</si>
  <si>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</si>
  <si>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</si>
  <si>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</si>
  <si>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</si>
  <si>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</si>
  <si>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</si>
  <si>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</si>
  <si>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</si>
  <si>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</si>
  <si>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</si>
  <si>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</si>
  <si>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</si>
  <si>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</si>
  <si>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</si>
  <si>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</si>
  <si>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</si>
  <si>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</si>
  <si>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</si>
  <si>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</si>
  <si>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</si>
  <si>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</si>
  <si>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</si>
  <si>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</si>
  <si>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</si>
  <si>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</si>
  <si>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</si>
  <si>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</si>
  <si>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</si>
  <si>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</si>
  <si>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</si>
  <si>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</si>
  <si>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</si>
  <si>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</si>
  <si>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</si>
  <si>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</si>
  <si>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</si>
  <si>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</si>
  <si>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</si>
  <si>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</si>
  <si>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</si>
  <si>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</si>
  <si>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</si>
  <si>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</si>
  <si>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</si>
  <si>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</si>
  <si>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</si>
  <si>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</si>
  <si>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</si>
  <si>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</si>
  <si>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</si>
  <si>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</si>
  <si>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</si>
  <si>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</si>
  <si>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</si>
  <si>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</si>
  <si>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</si>
  <si>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</si>
  <si>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</si>
  <si>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</si>
  <si>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</si>
  <si>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</si>
  <si>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</si>
  <si>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</si>
  <si>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</si>
  <si>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</si>
  <si>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</si>
  <si>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</si>
  <si>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</si>
  <si>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</si>
  <si>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</si>
  <si>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</si>
  <si>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</si>
  <si>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</si>
  <si>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</si>
  <si>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</si>
  <si>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</si>
  <si>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</si>
  <si>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</si>
  <si>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</si>
  <si>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</si>
  <si>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</si>
  <si>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</si>
  <si>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</si>
  <si>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</si>
  <si>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</si>
  <si>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</si>
  <si>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</si>
  <si>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</si>
  <si>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</si>
  <si>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</si>
  <si>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</si>
  <si>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</si>
  <si>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</si>
  <si>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</si>
  <si>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</si>
  <si>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</si>
  <si>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</si>
  <si>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</si>
  <si>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</si>
  <si>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</si>
  <si>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</si>
  <si>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</si>
  <si>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</si>
  <si>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</si>
  <si>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</si>
  <si>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</si>
  <si>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</si>
  <si>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</si>
  <si>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</si>
  <si>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</si>
  <si>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</si>
  <si>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</si>
  <si>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</si>
  <si>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</si>
  <si>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</si>
  <si>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</si>
  <si>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</si>
  <si>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</si>
  <si>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</si>
  <si>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</si>
  <si>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</si>
  <si>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</si>
  <si>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</si>
  <si>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</si>
  <si>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</si>
  <si>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</si>
  <si>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</si>
  <si>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</si>
  <si>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</si>
  <si>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</si>
  <si>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</si>
  <si>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</si>
  <si>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</si>
  <si>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</si>
  <si>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</si>
  <si>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</si>
  <si>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</si>
  <si>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</si>
  <si>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</si>
  <si>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</si>
  <si>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</si>
  <si>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</si>
  <si>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</si>
  <si>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</si>
  <si>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</si>
  <si>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</si>
  <si>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</si>
  <si>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</si>
  <si>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</si>
  <si>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</si>
  <si>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</si>
  <si>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</si>
  <si>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</si>
  <si>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</si>
  <si>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</si>
  <si>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</si>
  <si>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</si>
  <si>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</si>
  <si>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</si>
  <si>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</si>
  <si>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</si>
  <si>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</si>
  <si>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</si>
  <si>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</si>
  <si>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</si>
  <si>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</si>
  <si>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</si>
  <si>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</si>
  <si>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</si>
  <si>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</si>
  <si>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</si>
  <si>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</si>
  <si>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</si>
  <si>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</si>
  <si>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</si>
  <si>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</si>
  <si>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</si>
  <si>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</si>
  <si>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</si>
  <si>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</si>
  <si>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</si>
  <si>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</si>
  <si>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</si>
  <si>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</si>
  <si>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</si>
  <si>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</si>
  <si>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</si>
  <si>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</si>
  <si>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</si>
  <si>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</si>
  <si>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</si>
  <si>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</si>
  <si>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</si>
  <si>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</si>
  <si>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</si>
  <si>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</si>
  <si>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</si>
  <si>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</si>
  <si>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</si>
  <si>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</si>
  <si>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</si>
  <si>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</si>
  <si>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</si>
  <si>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</si>
  <si>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</si>
  <si>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</si>
  <si>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</si>
  <si>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</si>
  <si>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</si>
  <si>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</si>
  <si>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</si>
  <si>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</si>
  <si>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</si>
  <si>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</si>
  <si>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</si>
  <si>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</si>
  <si>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</si>
  <si>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</si>
  <si>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</si>
  <si>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</si>
  <si>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</si>
  <si>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</si>
  <si>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</si>
  <si>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</si>
  <si>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</si>
  <si>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</si>
  <si>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</si>
  <si>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</si>
  <si>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</si>
  <si>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</si>
  <si>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</si>
  <si>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</si>
  <si>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</si>
  <si>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</si>
  <si>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</si>
  <si>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</si>
  <si>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</si>
  <si>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</si>
  <si>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</si>
  <si>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</si>
  <si>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</si>
  <si>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</si>
  <si>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</si>
  <si>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</si>
  <si>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</si>
  <si>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</si>
  <si>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</si>
  <si>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</si>
  <si>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</si>
  <si>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</si>
  <si>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</si>
  <si>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</si>
  <si>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</si>
  <si>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</si>
  <si>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</si>
  <si>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</si>
  <si>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</si>
  <si>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</si>
  <si>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</si>
  <si>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</si>
  <si>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</si>
  <si>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</si>
  <si>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</si>
  <si>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</si>
  <si>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</si>
  <si>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</si>
  <si>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</si>
  <si>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</si>
  <si>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</si>
  <si>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</si>
  <si>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</si>
  <si>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</si>
  <si>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</si>
  <si>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</si>
  <si>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</si>
  <si>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</si>
  <si>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</si>
  <si>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</si>
  <si>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</si>
  <si>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</si>
  <si>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</si>
  <si>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</si>
  <si>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</si>
  <si>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</si>
  <si>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</si>
  <si>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</si>
  <si>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</si>
  <si>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</si>
  <si>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</si>
  <si>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</si>
  <si>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</si>
  <si>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</si>
  <si>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</si>
  <si>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</si>
  <si>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</si>
  <si>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</si>
  <si>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</si>
  <si>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</si>
  <si>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</si>
  <si>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</si>
  <si>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</si>
  <si>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</si>
  <si>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</si>
  <si>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</si>
  <si>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</si>
  <si>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</si>
  <si>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</si>
  <si>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</si>
  <si>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</si>
  <si>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</si>
  <si>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</si>
  <si>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</si>
  <si>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</si>
  <si>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</si>
  <si>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</si>
  <si>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</si>
  <si>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</si>
  <si>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</si>
  <si>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</si>
  <si>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</si>
  <si>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</si>
  <si>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</si>
  <si>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</si>
  <si>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</si>
  <si>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</si>
  <si>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</si>
  <si>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</si>
  <si>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</si>
  <si>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</si>
  <si>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</si>
  <si>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</si>
  <si>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</si>
  <si>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</si>
  <si>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</si>
  <si>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</si>
  <si>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</si>
  <si>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</si>
  <si>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</si>
  <si>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</si>
  <si>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</si>
  <si>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</si>
  <si>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</si>
  <si>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</si>
  <si>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</si>
  <si>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</si>
  <si>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</si>
  <si>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</si>
  <si>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</si>
  <si>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</si>
  <si>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</si>
  <si>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</si>
  <si>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</si>
  <si>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</si>
  <si>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</si>
  <si>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</si>
  <si>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</si>
  <si>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</si>
  <si>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</si>
  <si>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</si>
  <si>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</si>
  <si>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</si>
  <si>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</si>
  <si>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</si>
  <si>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</si>
  <si>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</si>
  <si>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</si>
  <si>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</si>
  <si>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</si>
  <si>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</si>
  <si>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</si>
  <si>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</si>
  <si>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</si>
  <si>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</si>
  <si>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</si>
  <si>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</si>
  <si>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</si>
  <si>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</si>
  <si>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</si>
  <si>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</si>
  <si>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</si>
  <si>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</si>
  <si>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</si>
  <si>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</si>
  <si>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</si>
  <si>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</si>
  <si>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</si>
  <si>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</si>
  <si>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</si>
  <si>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</si>
  <si>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</si>
  <si>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</si>
  <si>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</si>
  <si>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</si>
  <si>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</si>
  <si>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</si>
  <si>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</si>
  <si>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</si>
  <si>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</si>
  <si>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</si>
  <si>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</si>
  <si>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</si>
  <si>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</si>
  <si>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</si>
  <si>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</si>
  <si>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</si>
  <si>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</si>
  <si>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</si>
  <si>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</si>
  <si>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</si>
  <si>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</si>
  <si>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</si>
  <si>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</si>
  <si>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</si>
  <si>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</si>
  <si>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</si>
  <si>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</si>
  <si>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</si>
  <si>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</si>
  <si>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</si>
  <si>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</si>
  <si>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</si>
  <si>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</si>
  <si>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</si>
  <si>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</si>
  <si>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</si>
  <si>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</si>
  <si>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</si>
  <si>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</si>
  <si>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</si>
  <si>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</si>
  <si>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</si>
  <si>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</si>
  <si>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</si>
  <si>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</si>
  <si>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</si>
  <si>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</si>
  <si>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</si>
  <si>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</si>
  <si>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</si>
  <si>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</si>
  <si>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</si>
  <si>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</si>
  <si>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</si>
  <si>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</si>
  <si>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</si>
  <si>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</si>
  <si>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</si>
  <si>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</si>
  <si>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</si>
  <si>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</si>
  <si>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</si>
  <si>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</si>
  <si>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</si>
  <si>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</si>
  <si>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</si>
  <si>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</si>
  <si>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</si>
  <si>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</si>
  <si>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</si>
  <si>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</si>
  <si>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</si>
  <si>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</si>
  <si>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</si>
  <si>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</si>
  <si>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</si>
  <si>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</si>
  <si>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</si>
  <si>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</si>
  <si>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</si>
  <si>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</si>
  <si>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</si>
  <si>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</si>
  <si>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</si>
  <si>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</si>
  <si>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</si>
  <si>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</si>
  <si>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</si>
  <si>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</si>
  <si>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</si>
  <si>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</si>
  <si>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</si>
  <si>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</si>
  <si>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</si>
  <si>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</si>
  <si>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</si>
  <si>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</si>
  <si>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</si>
  <si>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</si>
  <si>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</si>
  <si>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</si>
  <si>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</si>
  <si>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</si>
  <si>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</si>
  <si>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</si>
  <si>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</si>
  <si>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</si>
  <si>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</si>
  <si>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</si>
  <si>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</si>
  <si>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</si>
  <si>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</si>
  <si>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</si>
  <si>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</si>
  <si>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</si>
  <si>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</si>
  <si>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</si>
  <si>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</si>
  <si>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</si>
  <si>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</si>
  <si>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</si>
  <si>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</si>
  <si>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</si>
  <si>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</si>
  <si>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</si>
  <si>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</si>
  <si>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</si>
  <si>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</si>
  <si>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</si>
  <si>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</si>
  <si>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</si>
  <si>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</si>
  <si>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</si>
  <si>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</si>
  <si>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</si>
  <si>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</si>
  <si>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</si>
  <si>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</si>
  <si>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</si>
  <si>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</si>
  <si>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</si>
  <si>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</si>
  <si>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</si>
  <si>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</si>
  <si>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</si>
  <si>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</si>
  <si>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</si>
  <si>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</si>
  <si>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</si>
  <si>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</si>
  <si>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</si>
  <si>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</si>
  <si>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</si>
  <si>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</si>
  <si>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</si>
  <si>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</si>
  <si>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</si>
  <si>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</si>
  <si>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</si>
  <si>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</si>
  <si>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</si>
  <si>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</si>
  <si>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</si>
  <si>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</si>
  <si>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</si>
  <si>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</si>
  <si>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</si>
  <si>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</si>
  <si>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</si>
  <si>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</si>
  <si>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</si>
  <si>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</si>
  <si>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</si>
  <si>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</si>
  <si>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</si>
  <si>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</si>
  <si>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</si>
  <si>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</si>
  <si>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</si>
  <si>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</si>
  <si>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</si>
  <si>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</si>
  <si>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</si>
  <si>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</si>
  <si>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</si>
  <si>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</si>
  <si>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</si>
  <si>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</si>
  <si>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</si>
  <si>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</si>
  <si>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</si>
  <si>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</si>
  <si>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</si>
  <si>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</si>
  <si>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</si>
  <si>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</si>
  <si>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</si>
  <si>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</si>
  <si>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</si>
  <si>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</si>
  <si>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</si>
  <si>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</si>
  <si>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</si>
  <si>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</si>
  <si>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</si>
  <si>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</si>
  <si>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</si>
  <si>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</si>
  <si>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</si>
  <si>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</si>
  <si>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</si>
  <si>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</si>
  <si>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</si>
  <si>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</si>
  <si>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</si>
  <si>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</si>
  <si>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</si>
  <si>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</si>
  <si>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</si>
  <si>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</si>
  <si>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</si>
  <si>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</si>
  <si>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</si>
  <si>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</si>
  <si>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</si>
  <si>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</si>
  <si>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</si>
  <si>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</si>
  <si>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</si>
  <si>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</si>
  <si>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</si>
  <si>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</si>
  <si>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</si>
  <si>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</si>
  <si>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</si>
  <si>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</si>
  <si>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</si>
  <si>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</si>
  <si>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</si>
  <si>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</si>
  <si>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</si>
  <si>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</si>
  <si>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</si>
  <si>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</si>
  <si>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</si>
  <si>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</si>
  <si>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</si>
  <si>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</si>
  <si>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</si>
  <si>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</si>
  <si>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</si>
  <si>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</si>
  <si>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</si>
  <si>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</si>
  <si>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</si>
  <si>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</si>
  <si>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</si>
  <si>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</si>
  <si>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</si>
  <si>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</si>
  <si>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</si>
  <si>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</si>
  <si>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</si>
  <si>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</si>
  <si>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</si>
  <si>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</si>
  <si>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</si>
  <si>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</si>
  <si>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</si>
  <si>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</si>
  <si>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</si>
  <si>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</si>
  <si>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</si>
  <si>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</si>
  <si>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</si>
  <si>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</si>
  <si>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</si>
  <si>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</si>
  <si>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</si>
  <si>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</si>
  <si>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</si>
  <si>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</si>
  <si>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</si>
  <si>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</si>
  <si>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</si>
  <si>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</si>
  <si>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</si>
  <si>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</si>
  <si>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</si>
  <si>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</si>
  <si>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</si>
  <si>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</si>
  <si>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</si>
  <si>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</si>
  <si>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</si>
  <si>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</si>
  <si>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</si>
  <si>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</si>
  <si>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</si>
  <si>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</si>
  <si>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</si>
  <si>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</si>
  <si>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</si>
  <si>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</si>
  <si>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</si>
  <si>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</si>
  <si>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</si>
  <si>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</si>
  <si>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</si>
  <si>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</si>
  <si>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</si>
  <si>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</si>
  <si>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</si>
  <si>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</si>
  <si>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</si>
  <si>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</si>
  <si>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</si>
  <si>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</si>
  <si>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</si>
  <si>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</si>
  <si>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</si>
  <si>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</si>
  <si>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</si>
  <si>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</si>
  <si>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</si>
  <si>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</si>
  <si>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</si>
  <si>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</si>
  <si>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</si>
  <si>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</si>
  <si>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</si>
  <si>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</si>
  <si>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</si>
  <si>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</si>
  <si>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</si>
  <si>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</si>
  <si>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</si>
  <si>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</si>
  <si>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</si>
  <si>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</si>
  <si>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</si>
  <si>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</si>
  <si>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</si>
  <si>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</si>
  <si>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</si>
  <si>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</si>
  <si>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</si>
  <si>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</si>
  <si>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</si>
  <si>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</si>
  <si>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</si>
  <si>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</si>
  <si>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</si>
  <si>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</si>
  <si>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</si>
  <si>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</si>
  <si>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</si>
  <si>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</si>
  <si>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</si>
  <si>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</si>
  <si>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</si>
  <si>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</si>
  <si>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</si>
  <si>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</si>
  <si>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</si>
  <si>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</si>
  <si>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</si>
  <si>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</si>
  <si>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</si>
  <si>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</si>
  <si>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</si>
  <si>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</si>
  <si>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</si>
  <si>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</si>
  <si>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</si>
  <si>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</si>
  <si>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</si>
  <si>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</si>
  <si>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</si>
  <si>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</si>
  <si>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</si>
  <si>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</si>
  <si>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</si>
  <si>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</si>
  <si>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</si>
  <si>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</si>
  <si>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</si>
  <si>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</si>
  <si>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</si>
  <si>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</si>
  <si>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</si>
  <si>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</si>
  <si>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</si>
  <si>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</si>
  <si>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</si>
  <si>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</si>
  <si>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</si>
  <si>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</si>
  <si>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</si>
  <si>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</si>
  <si>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</si>
  <si>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</si>
  <si>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</si>
  <si>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</si>
  <si>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</si>
  <si>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</si>
  <si>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</si>
  <si>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</si>
  <si>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</si>
  <si>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</si>
  <si>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</si>
  <si>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</si>
  <si>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</si>
  <si>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</si>
  <si>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</si>
  <si>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</si>
  <si>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</si>
  <si>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</si>
  <si>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</si>
  <si>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</si>
  <si>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</si>
  <si>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</si>
  <si>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</si>
  <si>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</si>
  <si>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</si>
  <si>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</si>
  <si>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</si>
  <si>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</si>
  <si>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</si>
  <si>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</si>
  <si>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</si>
  <si>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</si>
  <si>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</si>
  <si>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</si>
  <si>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</si>
  <si>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</si>
  <si>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</si>
  <si>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</si>
  <si>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</si>
  <si>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</si>
  <si>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</si>
  <si>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</si>
  <si>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</si>
  <si>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</si>
  <si>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</si>
  <si>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</si>
  <si>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</si>
  <si>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</si>
  <si>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</si>
  <si>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</si>
  <si>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</si>
  <si>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</si>
  <si>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</si>
  <si>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</si>
  <si>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</si>
  <si>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</si>
  <si>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</si>
  <si>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</si>
  <si>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</si>
  <si>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</si>
  <si>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</si>
  <si>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</si>
  <si>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</si>
  <si>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</si>
  <si>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</si>
  <si>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</si>
  <si>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</si>
  <si>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</si>
  <si>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</si>
  <si>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</si>
  <si>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</si>
  <si>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</si>
  <si>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</si>
  <si>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</si>
  <si>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</si>
  <si>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</si>
  <si>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</si>
  <si>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</si>
  <si>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</si>
  <si>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</si>
  <si>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</si>
  <si>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</si>
  <si>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</si>
  <si>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</si>
  <si>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</si>
  <si>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</si>
  <si>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</si>
  <si>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</si>
  <si>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</si>
  <si>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</si>
  <si>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</si>
  <si>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</si>
  <si>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</si>
  <si>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</si>
  <si>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</si>
  <si>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</si>
  <si>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</si>
  <si>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</si>
  <si>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</si>
  <si>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</si>
  <si>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</si>
  <si>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</si>
  <si>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</si>
  <si>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</si>
  <si>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</si>
  <si>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</si>
  <si>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</si>
  <si>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</si>
  <si>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</si>
  <si>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</si>
  <si>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</si>
  <si>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</si>
  <si>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</si>
  <si>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</si>
  <si>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</si>
  <si>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</si>
  <si>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</si>
  <si>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</si>
  <si>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</si>
  <si>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</si>
  <si>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</si>
  <si>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</si>
  <si>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</si>
  <si>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</si>
  <si>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</si>
  <si>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</si>
  <si>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</si>
  <si>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</si>
  <si>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</si>
  <si>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</si>
  <si>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</si>
  <si>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</si>
  <si>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</si>
  <si>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</si>
  <si>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</si>
  <si>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</si>
  <si>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</si>
  <si>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</si>
  <si>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</si>
  <si>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</si>
  <si>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</si>
  <si>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</si>
  <si>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</si>
  <si>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</si>
  <si>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</si>
  <si>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</si>
  <si>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</si>
  <si>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</si>
  <si>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</si>
  <si>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</si>
  <si>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</si>
  <si>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</si>
  <si>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</si>
  <si>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</si>
  <si>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</si>
  <si>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</si>
  <si>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</si>
  <si>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</si>
  <si>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</si>
  <si>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</si>
  <si>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</si>
  <si>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</si>
  <si>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</si>
  <si>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</si>
  <si>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</si>
  <si>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</si>
  <si>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</si>
  <si>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</si>
  <si>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</si>
  <si>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</si>
  <si>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</si>
  <si>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</si>
  <si>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</si>
  <si>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</si>
  <si>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</si>
  <si>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</si>
  <si>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</si>
  <si>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</si>
  <si>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</si>
  <si>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</si>
  <si>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</si>
  <si>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</si>
  <si>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</si>
  <si>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</si>
  <si>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</si>
  <si>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</si>
  <si>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</si>
  <si>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</si>
  <si>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</si>
  <si>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</si>
  <si>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</si>
  <si>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</si>
  <si>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</si>
  <si>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</si>
  <si>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</si>
  <si>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</si>
  <si>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</si>
  <si>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</si>
  <si>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</si>
  <si>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</si>
  <si>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</si>
  <si>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</si>
  <si>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</si>
  <si>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</si>
  <si>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</si>
  <si>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</si>
  <si>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</si>
  <si>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</si>
  <si>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</si>
  <si>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</si>
  <si>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</si>
  <si>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</si>
  <si>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</si>
  <si>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</si>
  <si>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</si>
  <si>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</si>
  <si>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</si>
  <si>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</si>
  <si>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</si>
  <si>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</si>
  <si>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</si>
  <si>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</si>
  <si>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</si>
  <si>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</si>
  <si>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</si>
  <si>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</si>
  <si>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</si>
  <si>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</si>
  <si>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</si>
  <si>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</si>
  <si>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</si>
  <si>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</si>
  <si>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</si>
  <si>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</si>
  <si>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</si>
  <si>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</si>
  <si>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</si>
  <si>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</si>
  <si>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</si>
  <si>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</si>
  <si>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</si>
  <si>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</si>
  <si>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</si>
  <si>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</si>
  <si>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</si>
  <si>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</si>
  <si>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</si>
  <si>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</si>
  <si>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</si>
  <si>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</si>
  <si>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</si>
  <si>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</si>
  <si>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</si>
  <si>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</si>
  <si>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</si>
  <si>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</si>
  <si>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</si>
  <si>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</si>
  <si>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</si>
  <si>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</si>
  <si>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</si>
  <si>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</si>
  <si>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</si>
  <si>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</si>
  <si>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</si>
  <si>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</si>
  <si>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</si>
  <si>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</si>
  <si>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</si>
  <si>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</si>
  <si>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</si>
  <si>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</si>
  <si>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</si>
  <si>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</si>
  <si>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</si>
  <si>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</si>
  <si>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</si>
  <si>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</si>
  <si>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</si>
  <si>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</si>
  <si>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</si>
  <si>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</si>
  <si>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</si>
  <si>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</si>
  <si>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</si>
  <si>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</si>
  <si>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</si>
  <si>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</si>
  <si>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</si>
  <si>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</si>
  <si>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</si>
  <si>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</si>
  <si>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</si>
  <si>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</si>
  <si>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</si>
  <si>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</si>
  <si>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</si>
  <si>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</si>
  <si>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</si>
  <si>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</si>
  <si>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</si>
  <si>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</si>
  <si>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</si>
  <si>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</si>
  <si>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</si>
  <si>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</si>
  <si>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</si>
  <si>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</si>
  <si>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</si>
  <si>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</si>
  <si>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</si>
  <si>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</si>
  <si>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</si>
  <si>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</si>
  <si>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</si>
  <si>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</si>
  <si>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</si>
  <si>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</si>
  <si>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</si>
  <si>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</si>
  <si>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</si>
  <si>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</si>
  <si>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</si>
  <si>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</si>
  <si>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</si>
  <si>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</si>
  <si>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</si>
  <si>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</si>
  <si>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</si>
  <si>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</si>
  <si>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</si>
  <si>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</si>
  <si>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</si>
  <si>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</si>
  <si>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</si>
  <si>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</si>
  <si>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</si>
  <si>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</si>
  <si>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</si>
  <si>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</si>
  <si>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</si>
  <si>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</si>
  <si>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</si>
  <si>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</si>
  <si>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</si>
  <si>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</si>
  <si>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</si>
  <si>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</si>
  <si>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</si>
  <si>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</si>
  <si>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</si>
  <si>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</si>
  <si>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</si>
  <si>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</si>
  <si>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</si>
  <si>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</si>
  <si>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</si>
  <si>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</si>
  <si>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</si>
  <si>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</si>
  <si>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</si>
  <si>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</si>
  <si>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</si>
  <si>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</si>
  <si>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</si>
  <si>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</si>
  <si>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</si>
  <si>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</si>
  <si>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</si>
  <si>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</si>
  <si>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</si>
  <si>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</si>
  <si>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</si>
  <si>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</si>
  <si>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</si>
  <si>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</si>
  <si>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</si>
  <si>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</si>
  <si>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</si>
  <si>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</si>
  <si>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</si>
  <si>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</si>
  <si>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</si>
  <si>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</si>
  <si>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</si>
  <si>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</si>
  <si>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</si>
  <si>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</si>
  <si>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</si>
  <si>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</si>
  <si>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</si>
  <si>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</si>
  <si>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</si>
  <si>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</si>
  <si>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</si>
  <si>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</si>
  <si>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</si>
  <si>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</si>
  <si>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</si>
  <si>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</si>
  <si>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</si>
  <si>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</si>
  <si>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</si>
  <si>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</si>
  <si>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</si>
  <si>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</si>
  <si>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</si>
  <si>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</si>
  <si>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</si>
  <si>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</si>
  <si>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</si>
  <si>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</si>
  <si>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</si>
  <si>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</si>
  <si>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</si>
  <si>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</si>
  <si>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</si>
  <si>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</si>
  <si>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</si>
  <si>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</si>
  <si>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</si>
  <si>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</si>
  <si>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</si>
  <si>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</si>
  <si>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</si>
  <si>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</si>
  <si>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</si>
  <si>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</si>
  <si>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</si>
  <si>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</si>
  <si>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</si>
  <si>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</si>
  <si>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</si>
  <si>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</si>
  <si>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</si>
  <si>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</si>
  <si>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</si>
  <si>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</si>
  <si>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</si>
  <si>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</si>
  <si>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</si>
  <si>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</si>
  <si>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</si>
  <si>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</si>
  <si>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</si>
  <si>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</si>
  <si>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</si>
  <si>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</si>
  <si>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</si>
  <si>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</si>
  <si>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</si>
  <si>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</si>
  <si>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</si>
  <si>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</si>
  <si>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</si>
  <si>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</si>
  <si>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</si>
  <si>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</si>
  <si>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</si>
  <si>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</si>
  <si>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</si>
  <si>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</si>
  <si>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</si>
  <si>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</si>
  <si>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</si>
  <si>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</si>
  <si>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</si>
  <si>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</si>
  <si>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</si>
  <si>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</si>
  <si>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</si>
  <si>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</si>
  <si>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</si>
  <si>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</si>
  <si>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</si>
  <si>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</si>
  <si>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</si>
  <si>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</si>
  <si>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</si>
  <si>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</si>
  <si>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</si>
  <si>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</si>
  <si>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</si>
  <si>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</si>
  <si>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</si>
  <si>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</si>
  <si>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</si>
  <si>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</si>
  <si>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</si>
  <si>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</si>
  <si>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</si>
  <si>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</si>
  <si>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</si>
  <si>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</si>
  <si>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</si>
  <si>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</si>
  <si>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</si>
  <si>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</si>
  <si>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</si>
  <si>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</si>
  <si>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</si>
  <si>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</si>
  <si>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</si>
  <si>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</si>
  <si>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</si>
  <si>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</si>
  <si>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</si>
  <si>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</si>
  <si>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</si>
  <si>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</si>
  <si>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</si>
  <si>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</si>
  <si>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</si>
  <si>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</si>
  <si>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</si>
  <si>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</si>
  <si>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</si>
  <si>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</si>
  <si>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</si>
  <si>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</si>
  <si>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</si>
  <si>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</si>
  <si>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</si>
  <si>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</si>
  <si>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</si>
  <si>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</si>
  <si>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</si>
  <si>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</si>
  <si>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</si>
  <si>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</si>
  <si>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</si>
  <si>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</si>
  <si>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</si>
  <si>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</si>
  <si>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</si>
  <si>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</si>
  <si>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</si>
  <si>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</si>
  <si>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</si>
  <si>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</si>
  <si>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</si>
  <si>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</si>
  <si>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</si>
  <si>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</si>
  <si>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</si>
  <si>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</si>
  <si>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</si>
  <si>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</si>
  <si>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</si>
  <si>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</si>
  <si>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</si>
  <si>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</si>
  <si>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</si>
  <si>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</si>
  <si>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</si>
  <si>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</si>
  <si>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</si>
  <si>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</si>
  <si>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</si>
  <si>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</si>
  <si>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</si>
  <si>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</si>
  <si>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</si>
  <si>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</si>
  <si>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</si>
  <si>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</si>
  <si>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</si>
  <si>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</si>
  <si>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</si>
  <si>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</si>
  <si>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</si>
  <si>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</si>
  <si>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</si>
  <si>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</si>
  <si>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</si>
  <si>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</si>
  <si>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</si>
  <si>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</si>
  <si>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</si>
  <si>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</si>
  <si>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</si>
  <si>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</si>
  <si>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</si>
  <si>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</si>
  <si>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</si>
  <si>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</si>
  <si>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</si>
  <si>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</si>
  <si>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</si>
  <si>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</si>
  <si>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</si>
  <si>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</si>
  <si>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</si>
  <si>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</si>
  <si>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</si>
  <si>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</si>
  <si>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</si>
  <si>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</si>
  <si>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</si>
  <si>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</si>
  <si>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</si>
  <si>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</si>
  <si>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</si>
  <si>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</si>
  <si>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</si>
  <si>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</si>
  <si>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</si>
  <si>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</si>
  <si>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</si>
  <si>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</si>
  <si>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</si>
  <si>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</si>
  <si>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</si>
  <si>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</si>
  <si>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</si>
  <si>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</si>
  <si>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</si>
  <si>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</si>
  <si>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</si>
  <si>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</si>
  <si>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</si>
  <si>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</si>
  <si>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</si>
  <si>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</si>
  <si>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</si>
  <si>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</si>
  <si>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</si>
  <si>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</si>
  <si>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</si>
  <si>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</si>
  <si>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</si>
  <si>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</si>
  <si>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</si>
  <si>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</si>
  <si>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</si>
  <si>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</si>
  <si>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</si>
  <si>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</si>
  <si>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</si>
  <si>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</si>
  <si>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</si>
  <si>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</si>
  <si>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</si>
  <si>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</si>
  <si>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</si>
  <si>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</si>
  <si>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</si>
  <si>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</si>
  <si>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</si>
  <si>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</si>
  <si>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</si>
  <si>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</si>
  <si>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</si>
  <si>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</si>
  <si>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</si>
  <si>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</si>
  <si>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</si>
  <si>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</si>
  <si>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</si>
  <si>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</si>
  <si>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</si>
  <si>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</si>
  <si>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</si>
  <si>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</si>
  <si>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</si>
  <si>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</si>
  <si>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</si>
  <si>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</si>
  <si>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</si>
  <si>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</si>
  <si>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</si>
  <si>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</si>
  <si>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</si>
  <si>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</si>
  <si>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</si>
  <si>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</si>
  <si>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</si>
  <si>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</si>
  <si>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</si>
  <si>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</si>
  <si>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</si>
  <si>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</si>
  <si>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</si>
  <si>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</si>
  <si>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</si>
  <si>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</si>
  <si>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</si>
  <si>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</si>
  <si>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</si>
  <si>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</si>
  <si>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</si>
  <si>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</si>
  <si>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</si>
  <si>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</si>
  <si>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</si>
  <si>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</si>
  <si>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</si>
  <si>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</si>
  <si>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</si>
  <si>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</si>
  <si>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</si>
  <si>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</si>
  <si>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</si>
  <si>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</si>
  <si>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</si>
  <si>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</si>
  <si>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</si>
  <si>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</si>
  <si>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</si>
  <si>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</si>
  <si>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</si>
  <si>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</si>
  <si>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</si>
  <si>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</si>
  <si>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</si>
  <si>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</si>
  <si>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</si>
  <si>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</si>
  <si>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</si>
  <si>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</si>
  <si>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</si>
  <si>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</si>
  <si>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</si>
  <si>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</si>
  <si>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</si>
  <si>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</si>
  <si>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</si>
  <si>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</si>
  <si>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</si>
  <si>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</si>
  <si>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</si>
  <si>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</si>
  <si>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</si>
  <si>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</si>
  <si>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</si>
  <si>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</si>
  <si>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</si>
  <si>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</si>
  <si>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</si>
  <si>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</si>
  <si>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</si>
  <si>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</si>
  <si>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</si>
  <si>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</si>
  <si>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</si>
  <si>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</si>
  <si>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</si>
  <si>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</si>
  <si>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</si>
  <si>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</si>
  <si>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</si>
  <si>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</si>
  <si>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</si>
  <si>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</si>
  <si>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</si>
  <si>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</si>
  <si>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</si>
  <si>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</si>
  <si>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</si>
  <si>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</si>
  <si>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</si>
  <si>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</si>
  <si>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</si>
  <si>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</si>
  <si>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</si>
  <si>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</si>
  <si>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</si>
  <si>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</si>
  <si>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</si>
  <si>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</si>
  <si>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</si>
  <si>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</si>
  <si>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</si>
  <si>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</si>
  <si>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</si>
  <si>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</si>
  <si>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</si>
  <si>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</si>
  <si>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</si>
  <si>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</si>
  <si>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</si>
  <si>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</si>
  <si>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</si>
  <si>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</si>
  <si>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</si>
  <si>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</si>
  <si>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</si>
  <si>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</si>
  <si>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</si>
  <si>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</si>
  <si>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</si>
  <si>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</si>
  <si>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</si>
  <si>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</si>
  <si>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</si>
  <si>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</si>
  <si>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</si>
  <si>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</si>
  <si>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</si>
  <si>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</si>
  <si>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</si>
  <si>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</si>
  <si>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</si>
  <si>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</si>
  <si>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</si>
  <si>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</si>
  <si>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</si>
  <si>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</si>
  <si>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</si>
  <si>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</si>
  <si>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</si>
  <si>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</si>
  <si>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</si>
  <si>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</si>
  <si>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</si>
  <si>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</si>
  <si>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</si>
  <si>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</si>
  <si>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</si>
  <si>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</si>
  <si>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</si>
  <si>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</si>
  <si>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</si>
  <si>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</si>
  <si>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</si>
  <si>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</si>
  <si>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</si>
  <si>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</si>
  <si>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</si>
  <si>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</si>
  <si>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</si>
  <si>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</si>
  <si>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</si>
  <si>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</si>
  <si>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</si>
  <si>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</si>
  <si>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</si>
  <si>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</si>
  <si>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</si>
  <si>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</si>
  <si>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</si>
  <si>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</si>
  <si>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</si>
  <si>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</si>
  <si>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</si>
  <si>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</si>
  <si>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</si>
  <si>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</si>
  <si>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</si>
  <si>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</si>
  <si>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</si>
  <si>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</si>
  <si>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</si>
  <si>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</si>
  <si>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</si>
  <si>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</si>
  <si>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</si>
  <si>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</si>
  <si>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</si>
  <si>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</si>
  <si>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</si>
  <si>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</si>
  <si>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</si>
  <si>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</si>
  <si>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</si>
  <si>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</si>
  <si>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</si>
  <si>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</si>
  <si>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</si>
  <si>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</si>
  <si>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</si>
  <si>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</si>
  <si>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</si>
  <si>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</si>
  <si>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</si>
  <si>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</si>
  <si>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</si>
  <si>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</si>
  <si>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</si>
  <si>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</si>
  <si>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</si>
  <si>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</si>
  <si>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</si>
  <si>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</si>
  <si>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</si>
  <si>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</si>
  <si>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</si>
  <si>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</si>
  <si>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</si>
  <si>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</si>
  <si>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</si>
  <si>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</si>
  <si>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</si>
  <si>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</si>
  <si>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</si>
  <si>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</si>
  <si>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</si>
  <si>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</si>
  <si>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</si>
  <si>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</si>
  <si>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</si>
  <si>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</si>
  <si>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</si>
  <si>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</si>
  <si>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</si>
  <si>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</si>
  <si>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</si>
  <si>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</si>
  <si>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</si>
  <si>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</si>
  <si>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</si>
  <si>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</si>
  <si>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</si>
  <si>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</si>
  <si>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</si>
  <si>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</si>
  <si>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</si>
  <si>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</si>
  <si>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</si>
  <si>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</si>
  <si>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</si>
  <si>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</si>
  <si>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</si>
  <si>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</si>
  <si>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</si>
  <si>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</si>
  <si>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</si>
  <si>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</si>
  <si>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</si>
  <si>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</si>
  <si>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</si>
  <si>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</si>
  <si>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</si>
  <si>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</si>
  <si>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</si>
  <si>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</si>
  <si>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</si>
  <si>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</si>
  <si>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</si>
  <si>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</si>
  <si>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</si>
  <si>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</si>
  <si>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</si>
  <si>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</si>
  <si>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</si>
  <si>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</si>
  <si>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</si>
  <si>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</si>
  <si>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</si>
  <si>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</si>
  <si>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</si>
  <si>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</si>
  <si>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</si>
  <si>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</si>
  <si>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</si>
  <si>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</si>
  <si>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</si>
  <si>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</si>
  <si>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</si>
  <si>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</si>
  <si>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</si>
  <si>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</si>
  <si>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</si>
  <si>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</si>
  <si>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</si>
  <si>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</si>
  <si>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</si>
  <si>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</si>
  <si>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</si>
  <si>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</si>
  <si>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</si>
  <si>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</si>
  <si>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</si>
  <si>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</si>
  <si>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</si>
  <si>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</si>
  <si>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</si>
  <si>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</si>
  <si>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</si>
  <si>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</si>
  <si>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</si>
  <si>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</si>
  <si>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</si>
  <si>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</si>
  <si>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</si>
  <si>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</si>
  <si>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</si>
  <si>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</si>
  <si>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</si>
  <si>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</si>
  <si>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</si>
  <si>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</si>
  <si>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</si>
  <si>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</si>
  <si>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</si>
  <si>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</si>
  <si>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</si>
  <si>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</si>
  <si>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</si>
  <si>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</si>
  <si>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</si>
  <si>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</si>
  <si>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</si>
  <si>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</si>
  <si>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</si>
  <si>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</si>
  <si>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</si>
  <si>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</si>
  <si>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</si>
  <si>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</si>
  <si>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</si>
  <si>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</si>
  <si>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</si>
  <si>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</si>
  <si>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</si>
  <si>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</si>
  <si>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</si>
  <si>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</si>
  <si>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</si>
  <si>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</si>
  <si>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</si>
  <si>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</si>
  <si>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</si>
  <si>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</si>
  <si>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</si>
  <si>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</si>
  <si>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</si>
  <si>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</si>
  <si>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</si>
  <si>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</si>
  <si>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</si>
  <si>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</si>
  <si>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</si>
  <si>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</si>
  <si>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</si>
  <si>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</si>
  <si>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</si>
  <si>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</si>
  <si>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</si>
  <si>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</si>
  <si>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</si>
  <si>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</si>
  <si>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</si>
  <si>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</si>
  <si>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</si>
  <si>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</si>
  <si>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</si>
  <si>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</si>
  <si>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</si>
  <si>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</si>
  <si>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</si>
  <si>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</si>
  <si>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</si>
  <si>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</si>
  <si>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</si>
  <si>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</si>
  <si>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</si>
  <si>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</si>
  <si>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</si>
  <si>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</si>
  <si>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</si>
  <si>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</si>
  <si>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</si>
  <si>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</si>
  <si>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</si>
  <si>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</si>
  <si>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</si>
  <si>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</si>
  <si>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</si>
  <si>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</si>
  <si>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</si>
  <si>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</si>
  <si>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</si>
  <si>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</si>
  <si>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</si>
  <si>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</si>
  <si>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</si>
  <si>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</si>
  <si>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</si>
  <si>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</si>
  <si>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</si>
  <si>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</si>
  <si>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</si>
  <si>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</si>
  <si>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</si>
  <si>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</si>
  <si>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</si>
  <si>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</si>
  <si>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</si>
  <si>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</si>
  <si>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</si>
  <si>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</si>
  <si>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</si>
  <si>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</si>
  <si>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</si>
  <si>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</si>
  <si>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</si>
  <si>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</si>
  <si>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</si>
  <si>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</si>
  <si>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</si>
  <si>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</si>
  <si>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</si>
  <si>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</si>
  <si>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</si>
  <si>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</si>
  <si>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</si>
  <si>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</si>
  <si>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</si>
  <si>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</si>
  <si>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</si>
  <si>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</si>
  <si>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</si>
  <si>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</si>
  <si>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</si>
  <si>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</si>
  <si>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</si>
  <si>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</si>
  <si>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</si>
  <si>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</si>
  <si>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</si>
  <si>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</si>
  <si>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</si>
  <si>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</si>
  <si>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</si>
  <si>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</si>
  <si>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</si>
  <si>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</si>
  <si>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</si>
  <si>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</si>
  <si>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</si>
  <si>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</si>
  <si>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</si>
  <si>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</si>
  <si>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</si>
  <si>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</si>
  <si>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</si>
  <si>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</si>
  <si>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</si>
  <si>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</si>
  <si>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</si>
  <si>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</si>
  <si>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</si>
  <si>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</si>
  <si>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</si>
  <si>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</si>
  <si>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</si>
  <si>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</si>
  <si>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</si>
  <si>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</si>
  <si>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</si>
  <si>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</si>
  <si>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</si>
  <si>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</si>
  <si>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</si>
  <si>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</si>
  <si>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</si>
  <si>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</si>
  <si>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</si>
  <si>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</si>
  <si>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</si>
  <si>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</si>
  <si>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</si>
  <si>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</si>
  <si>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</si>
  <si>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</si>
  <si>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</si>
  <si>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</si>
  <si>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</si>
  <si>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</si>
  <si>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</si>
  <si>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</si>
  <si>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</si>
  <si>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</si>
  <si>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</si>
  <si>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</si>
  <si>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</si>
  <si>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</si>
  <si>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</si>
  <si>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</si>
  <si>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</si>
  <si>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</si>
  <si>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</si>
  <si>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</si>
  <si>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</si>
  <si>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</si>
  <si>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</si>
  <si>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</si>
  <si>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</si>
  <si>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</si>
  <si>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</si>
  <si>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</si>
  <si>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</si>
  <si>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</si>
  <si>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</si>
  <si>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</si>
  <si>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</si>
  <si>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</si>
  <si>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</si>
  <si>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</si>
  <si>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</si>
  <si>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</si>
  <si>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</si>
  <si>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</si>
  <si>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</si>
  <si>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</si>
  <si>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</si>
  <si>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</si>
  <si>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</si>
  <si>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</si>
  <si>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</si>
  <si>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</si>
  <si>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</si>
  <si>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</si>
  <si>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</si>
  <si>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</si>
  <si>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</si>
  <si>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</si>
  <si>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</si>
  <si>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</si>
  <si>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</si>
  <si>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</si>
  <si>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</si>
  <si>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</si>
  <si>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</si>
  <si>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</si>
  <si>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</si>
  <si>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</si>
  <si>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</si>
  <si>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</si>
  <si>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</si>
  <si>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</si>
  <si>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</si>
  <si>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</si>
  <si>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</si>
  <si>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</si>
  <si>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</si>
  <si>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</si>
  <si>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</si>
  <si>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</si>
  <si>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</si>
  <si>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</si>
  <si>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</si>
  <si>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</si>
  <si>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</si>
  <si>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</si>
  <si>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</si>
  <si>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</si>
  <si>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</si>
  <si>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</si>
  <si>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</si>
  <si>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</si>
  <si>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</si>
  <si>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</si>
  <si>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</si>
  <si>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</si>
  <si>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</si>
  <si>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</si>
  <si>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</si>
  <si>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</si>
  <si>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</si>
  <si>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</si>
  <si>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</si>
  <si>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</si>
  <si>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</si>
  <si>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</si>
  <si>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</si>
  <si>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</si>
  <si>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</si>
  <si>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</si>
  <si>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</si>
  <si>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</si>
  <si>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</si>
  <si>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</si>
  <si>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</si>
  <si>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</si>
  <si>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</si>
  <si>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</si>
  <si>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</si>
  <si>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</si>
  <si>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</si>
  <si>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</si>
  <si>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</si>
  <si>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</si>
  <si>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</si>
  <si>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</si>
  <si>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</si>
  <si>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</si>
  <si>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</si>
  <si>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</si>
  <si>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</si>
  <si>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</si>
  <si>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</si>
  <si>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</si>
  <si>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</si>
  <si>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</si>
  <si>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</si>
  <si>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</si>
  <si>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</si>
  <si>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</si>
  <si>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</si>
  <si>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</si>
  <si>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</si>
  <si>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</si>
  <si>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</si>
  <si>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</si>
  <si>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</si>
  <si>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</si>
  <si>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</si>
  <si>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</si>
  <si>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</si>
  <si>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</si>
  <si>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</si>
  <si>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</si>
  <si>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</si>
  <si>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</si>
  <si>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</si>
  <si>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</si>
  <si>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</si>
  <si>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</si>
  <si>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</si>
  <si>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</si>
  <si>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</si>
  <si>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</si>
  <si>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</si>
  <si>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</si>
  <si>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</si>
  <si>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</si>
  <si>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</si>
  <si>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</si>
  <si>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</si>
  <si>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</si>
  <si>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</si>
  <si>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</si>
  <si>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</si>
  <si>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</si>
  <si>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</si>
  <si>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</si>
  <si>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</si>
  <si>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</si>
  <si>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</si>
  <si>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</si>
  <si>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</si>
  <si>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</si>
  <si>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</si>
  <si>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</si>
  <si>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</si>
  <si>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</si>
  <si>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</si>
  <si>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</si>
  <si>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</si>
  <si>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</si>
  <si>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</si>
  <si>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</si>
  <si>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</si>
  <si>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</si>
  <si>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</si>
  <si>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</si>
  <si>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</si>
  <si>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</si>
  <si>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</si>
  <si>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</si>
  <si>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</si>
  <si>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</si>
  <si>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</si>
  <si>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</si>
  <si>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</si>
  <si>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</si>
  <si>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</si>
  <si>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</si>
  <si>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</si>
  <si>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</si>
  <si>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</si>
  <si>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</si>
  <si>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</si>
  <si>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</si>
  <si>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</si>
  <si>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</si>
  <si>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</si>
  <si>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</si>
  <si>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</si>
  <si>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</si>
  <si>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</si>
  <si>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</si>
  <si>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</si>
  <si>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</si>
  <si>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</si>
  <si>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</si>
  <si>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</si>
  <si>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</si>
  <si>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</si>
  <si>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</si>
  <si>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</si>
  <si>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</si>
  <si>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</si>
  <si>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</si>
  <si>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</si>
  <si>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</si>
  <si>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</si>
  <si>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</si>
  <si>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</si>
  <si>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</si>
  <si>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</si>
  <si>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</si>
  <si>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</si>
  <si>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</si>
  <si>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</si>
  <si>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</si>
  <si>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</si>
  <si>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</si>
  <si>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</si>
  <si>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</si>
  <si>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</si>
  <si>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</si>
  <si>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</si>
  <si>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</si>
  <si>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</si>
  <si>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</si>
  <si>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</si>
  <si>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</si>
  <si>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</si>
  <si>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</si>
  <si>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</si>
  <si>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</si>
  <si>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</si>
  <si>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</si>
  <si>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</si>
  <si>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</si>
  <si>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</si>
  <si>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</si>
  <si>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</si>
  <si>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</si>
  <si>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</si>
  <si>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</si>
  <si>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</si>
  <si>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</si>
  <si>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</si>
  <si>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</si>
  <si>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</si>
  <si>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</si>
  <si>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</si>
  <si>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</si>
  <si>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</si>
  <si>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</si>
  <si>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</si>
  <si>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</si>
  <si>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</si>
  <si>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</si>
  <si>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</si>
  <si>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</si>
  <si>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</si>
  <si>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</si>
  <si>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</si>
  <si>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</si>
  <si>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</si>
  <si>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</si>
  <si>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</si>
  <si>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</si>
  <si>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</si>
  <si>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</si>
  <si>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</si>
  <si>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</si>
  <si>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</si>
  <si>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</si>
  <si>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</si>
  <si>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</si>
  <si>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</si>
  <si>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</si>
  <si>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</si>
  <si>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</si>
  <si>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</si>
  <si>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</si>
  <si>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</si>
  <si>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</si>
  <si>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</si>
  <si>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</si>
  <si>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</si>
  <si>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</si>
  <si>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</si>
  <si>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</si>
  <si>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</si>
  <si>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</si>
  <si>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</si>
  <si>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</si>
  <si>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</si>
  <si>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</si>
  <si>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</si>
  <si>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</si>
  <si>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</si>
  <si>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</si>
  <si>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</si>
  <si>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</si>
  <si>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</si>
  <si>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</si>
  <si>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</si>
  <si>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</si>
  <si>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</si>
  <si>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</si>
  <si>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</si>
  <si>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</si>
  <si>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</si>
  <si>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</si>
  <si>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</si>
  <si>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</si>
  <si>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</si>
  <si>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</si>
  <si>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</si>
  <si>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</si>
  <si>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</si>
  <si>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</si>
  <si>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</si>
  <si>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</si>
  <si>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</si>
  <si>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</si>
  <si>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</si>
  <si>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</si>
  <si>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</si>
  <si>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</si>
  <si>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</si>
  <si>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</si>
  <si>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</si>
  <si>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</si>
  <si>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</si>
  <si>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</si>
  <si>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</si>
  <si>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</si>
  <si>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</si>
  <si>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</si>
  <si>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</si>
  <si>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</si>
  <si>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</si>
  <si>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</si>
  <si>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</si>
  <si>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</si>
  <si>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</si>
  <si>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</si>
  <si>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</si>
  <si>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</si>
  <si>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</si>
  <si>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</si>
  <si>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</si>
  <si>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</si>
  <si>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</si>
  <si>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</si>
  <si>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</si>
  <si>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</si>
  <si>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</si>
  <si>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</si>
  <si>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</si>
  <si>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</si>
  <si>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</si>
  <si>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</si>
  <si>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</si>
  <si>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</si>
  <si>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</si>
  <si>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</si>
  <si>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</si>
  <si>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</si>
  <si>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</si>
  <si>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</si>
  <si>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</si>
  <si>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</si>
  <si>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</si>
  <si>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</si>
  <si>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</si>
  <si>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</si>
  <si>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</si>
  <si>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</si>
  <si>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</si>
  <si>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</si>
  <si>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</si>
  <si>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</si>
  <si>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</si>
  <si>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</si>
  <si>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</si>
  <si>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</si>
  <si>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</si>
  <si>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</si>
  <si>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</si>
  <si>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</si>
  <si>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</si>
  <si>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</si>
  <si>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</si>
  <si>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</si>
  <si>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</si>
  <si>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</si>
  <si>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</si>
  <si>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</si>
  <si>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</si>
  <si>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</si>
  <si>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</si>
  <si>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</si>
  <si>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</si>
  <si>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</si>
  <si>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</si>
  <si>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</si>
  <si>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</si>
  <si>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</si>
  <si>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</si>
  <si>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</si>
  <si>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</si>
  <si>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</si>
  <si>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</si>
  <si>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</si>
  <si>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</si>
  <si>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</si>
  <si>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</si>
  <si>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</si>
  <si>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</si>
  <si>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</si>
  <si>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</si>
  <si>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</si>
  <si>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</si>
  <si>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</si>
  <si>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</si>
  <si>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</si>
  <si>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</si>
  <si>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</si>
  <si>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</si>
  <si>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</si>
  <si>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</si>
  <si>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</si>
  <si>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</si>
  <si>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</si>
  <si>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</si>
  <si>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</si>
  <si>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</si>
  <si>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</si>
  <si>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</si>
  <si>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</si>
  <si>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</si>
  <si>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</si>
  <si>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</si>
  <si>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</si>
  <si>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</si>
  <si>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</si>
  <si>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</si>
  <si>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</si>
  <si>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</si>
  <si>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</si>
  <si>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</si>
  <si>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</si>
  <si>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</si>
  <si>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</si>
  <si>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</si>
  <si>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</si>
  <si>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</si>
  <si>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</si>
  <si>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</si>
  <si>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</si>
  <si>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</si>
  <si>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</si>
  <si>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</si>
  <si>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</si>
  <si>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</si>
  <si>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</si>
  <si>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</si>
  <si>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</si>
  <si>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</si>
  <si>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</si>
  <si>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</si>
  <si>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</si>
  <si>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</si>
  <si>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</si>
  <si>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</si>
  <si>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</si>
  <si>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</si>
  <si>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</si>
  <si>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</si>
  <si>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</si>
  <si>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</si>
  <si>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</si>
  <si>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</si>
  <si>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</si>
  <si>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</si>
  <si>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</si>
  <si>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</si>
  <si>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</si>
  <si>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</si>
  <si>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</si>
  <si>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</si>
  <si>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</si>
  <si>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</si>
  <si>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</si>
  <si>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</si>
  <si>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</si>
  <si>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</si>
  <si>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</si>
  <si>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</si>
  <si>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</si>
  <si>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</si>
  <si>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</si>
  <si>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</si>
  <si>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</si>
  <si>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</si>
  <si>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</si>
  <si>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</si>
  <si>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</si>
  <si>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</si>
  <si>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</si>
  <si>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</si>
  <si>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</si>
  <si>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</si>
  <si>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</si>
  <si>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</si>
  <si>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</si>
  <si>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</si>
  <si>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</si>
  <si>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</si>
  <si>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</si>
  <si>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</si>
  <si>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</si>
  <si>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</si>
  <si>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</si>
  <si>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</si>
  <si>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</si>
  <si>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</si>
  <si>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</si>
  <si>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</si>
  <si>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</si>
  <si>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</si>
  <si>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</si>
  <si>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</si>
  <si>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</si>
  <si>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</si>
  <si>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</si>
  <si>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</si>
  <si>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</si>
  <si>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</si>
  <si>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</si>
  <si>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</si>
  <si>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</si>
  <si>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</si>
  <si>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</si>
  <si>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</si>
  <si>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</si>
  <si>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</si>
  <si>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</si>
  <si>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</si>
  <si>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</si>
  <si>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</si>
  <si>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</si>
  <si>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</si>
  <si>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</si>
  <si>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</si>
  <si>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</si>
  <si>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</si>
  <si>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</si>
  <si>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</si>
  <si>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</si>
  <si>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</si>
  <si>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</si>
  <si>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</si>
  <si>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</si>
  <si>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</si>
  <si>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</si>
  <si>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URL 1</t>
  </si>
  <si>
    <t>URL 2</t>
  </si>
  <si>
    <t>Jita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</si>
  <si>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</si>
  <si>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</si>
  <si>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</si>
  <si>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</si>
  <si>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</si>
  <si>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</si>
  <si>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</si>
  <si>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</si>
  <si>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</si>
  <si>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</si>
  <si>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</si>
  <si>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</si>
  <si>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</si>
  <si>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</si>
  <si>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</si>
  <si>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</si>
  <si>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</si>
  <si>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</si>
  <si>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</si>
  <si>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</si>
  <si>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</si>
  <si>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</si>
  <si>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</si>
  <si>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</si>
  <si>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</si>
  <si>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</si>
  <si>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</si>
  <si>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</si>
  <si>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</si>
  <si>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</si>
  <si>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region</t>
  </si>
  <si>
    <t>2021-09-26T14:34:57Z</t>
  </si>
  <si>
    <t>2021-10-22T00:42:33Z</t>
  </si>
  <si>
    <t>2021-11-09T20:56:35Z</t>
  </si>
  <si>
    <t>2021-11-04T08:28:29Z</t>
  </si>
  <si>
    <t>2021-11-04T12:51:19Z</t>
  </si>
  <si>
    <t>2021-10-02T19:59:03Z</t>
  </si>
  <si>
    <t>2021-11-11T22:17:01Z</t>
  </si>
  <si>
    <t>2021-10-17T17:36:42Z</t>
  </si>
  <si>
    <t>2021-10-31T08:27:11Z</t>
  </si>
  <si>
    <t>2021-10-04T03:42:36Z</t>
  </si>
  <si>
    <t>2021-11-09T12:17:15Z</t>
  </si>
  <si>
    <t>2021-11-02T22:59:34Z</t>
  </si>
  <si>
    <t>2021-10-30T23:57:10Z</t>
  </si>
  <si>
    <t>2021-10-24T04:54:08Z</t>
  </si>
  <si>
    <t>2021-10-23T17:54:17Z</t>
  </si>
  <si>
    <t>2021-10-08T08:33:38Z</t>
  </si>
  <si>
    <t>2021-10-03T02:24:17Z</t>
  </si>
  <si>
    <t>2021-10-28T15:26:55Z</t>
  </si>
  <si>
    <t>2021-10-06T00:13:40Z</t>
  </si>
  <si>
    <t>2021-10-10T07:35:05Z</t>
  </si>
  <si>
    <t>2021-10-29T07:48:32Z</t>
  </si>
  <si>
    <t>2021-11-11T07:40:47Z</t>
  </si>
  <si>
    <t>2021-10-10T19:21:17Z</t>
  </si>
  <si>
    <t>2021-10-08T02:15:56Z</t>
  </si>
  <si>
    <t>2021-11-01T20:44:04Z</t>
  </si>
  <si>
    <t>2021-11-04T23:59:42Z</t>
  </si>
  <si>
    <t>2021-09-30T13:08:20Z</t>
  </si>
  <si>
    <t>2021-11-03T12:13:16Z</t>
  </si>
  <si>
    <t>2021-10-05T16:39:24Z</t>
  </si>
  <si>
    <t>2021-10-23T03:01:11Z</t>
  </si>
  <si>
    <t>2021-10-31T08:56:08Z</t>
  </si>
  <si>
    <t>2021-10-31T07:22:19Z</t>
  </si>
  <si>
    <t>2021-11-09T20:58:07Z</t>
  </si>
  <si>
    <t>2021-10-11T03:54:04Z</t>
  </si>
  <si>
    <t>2021-11-08T08:04:34Z</t>
  </si>
  <si>
    <t>2021-11-05T02:05:36Z</t>
  </si>
  <si>
    <t>2021-11-05T02:53:39Z</t>
  </si>
  <si>
    <t>2021-10-06T00:15:08Z</t>
  </si>
  <si>
    <t>2021-10-28T15:32:28Z</t>
  </si>
  <si>
    <t>2021-10-23T03:01:22Z</t>
  </si>
  <si>
    <t>2021-10-03T07:29:14Z</t>
  </si>
  <si>
    <t>2021-10-23T03:00:49Z</t>
  </si>
  <si>
    <t>2021-10-01T21:41:51Z</t>
  </si>
  <si>
    <t>2021-09-29T20:36:34Z</t>
  </si>
  <si>
    <t>2021-11-01T01:16:22Z</t>
  </si>
  <si>
    <t>2021-10-13T20:24:11Z</t>
  </si>
  <si>
    <t>2021-11-08T15:14:05Z</t>
  </si>
  <si>
    <t>2021-10-09T04:35:13Z</t>
  </si>
  <si>
    <t>2021-10-07T21:13:57Z</t>
  </si>
  <si>
    <t>2021-10-24T23:02:00Z</t>
  </si>
  <si>
    <t>2021-10-29T07:47:48Z</t>
  </si>
  <si>
    <t>2021-11-09T20:58:42Z</t>
  </si>
  <si>
    <t>2021-10-02T12:54:35Z</t>
  </si>
  <si>
    <t>2021-10-03T19:52:04Z</t>
  </si>
  <si>
    <t>2021-09-26T14:36:33Z</t>
  </si>
  <si>
    <t>2021-11-08T12:53:54Z</t>
  </si>
  <si>
    <t>2021-10-29T02:36:56Z</t>
  </si>
  <si>
    <t>2021-11-10T21:43:51Z</t>
  </si>
  <si>
    <t>2021-10-22T03:13:23Z</t>
  </si>
  <si>
    <t>2021-10-19T14:56:57Z</t>
  </si>
  <si>
    <t>2021-10-20T17:38:02Z</t>
  </si>
  <si>
    <t>2021-10-17T19:48:19Z</t>
  </si>
  <si>
    <t>2021-10-17T09:40:26Z</t>
  </si>
  <si>
    <t>2021-11-05T02:36:43Z</t>
  </si>
  <si>
    <t>2021-11-07T23:27:41Z</t>
  </si>
  <si>
    <t>2021-10-30T14:20:45Z</t>
  </si>
  <si>
    <t>2021-10-31T18:49:46Z</t>
  </si>
  <si>
    <t>2021-10-23T17:54:06Z</t>
  </si>
  <si>
    <t>2021-10-04T22:40:45Z</t>
  </si>
  <si>
    <t>2021-10-02T14:18:15Z</t>
  </si>
  <si>
    <t>2021-10-30T16:14:27Z</t>
  </si>
  <si>
    <t>2021-10-02T15:35:56Z</t>
  </si>
  <si>
    <t>2021-10-29T08:29:00Z</t>
  </si>
  <si>
    <t>2021-09-25T21:49:11Z</t>
  </si>
  <si>
    <t>2021-11-08T12:44:14Z</t>
  </si>
  <si>
    <t>2021-11-10T21:44:39Z</t>
  </si>
  <si>
    <t>2021-11-05T02:37:29Z</t>
  </si>
  <si>
    <t>2021-10-20T17:38:39Z</t>
  </si>
  <si>
    <t>2021-10-18T10:38:44Z</t>
  </si>
  <si>
    <t>2021-10-11T09:47:13Z</t>
  </si>
  <si>
    <t>2021-10-29T07:11:01Z</t>
  </si>
  <si>
    <t>2021-11-06T13:28:31Z</t>
  </si>
  <si>
    <t>2021-11-05T02:38:49Z</t>
  </si>
  <si>
    <t>2021-11-05T07:45:53Z</t>
  </si>
  <si>
    <t>2021-09-26T14:32:31Z</t>
  </si>
  <si>
    <t>2021-11-09T20:59:56Z</t>
  </si>
  <si>
    <t>2021-10-27T18:49:03Z</t>
  </si>
  <si>
    <t>2021-10-31T23:31:46Z</t>
  </si>
  <si>
    <t>2021-10-12T11:55:01Z</t>
  </si>
  <si>
    <t>2021-10-20T17:39:00Z</t>
  </si>
  <si>
    <t>2021-11-05T02:37:38Z</t>
  </si>
  <si>
    <t>2021-10-12T22:26:14Z</t>
  </si>
  <si>
    <t>2021-10-05T10:14:37Z</t>
  </si>
  <si>
    <t>2021-11-05T02:37:50Z</t>
  </si>
  <si>
    <t>2021-10-01T20:07:15Z</t>
  </si>
  <si>
    <t>2021-10-20T23:05:19Z</t>
  </si>
  <si>
    <t>2021-11-06T17:48:57Z</t>
  </si>
  <si>
    <t>2021-10-11T03:58:31Z</t>
  </si>
  <si>
    <t>2021-10-05T15:07:07Z</t>
  </si>
  <si>
    <t>2021-10-07T20:22:07Z</t>
  </si>
  <si>
    <t>2021-11-12T09:25:55Z</t>
  </si>
  <si>
    <t>2021-10-20T17:39:23Z</t>
  </si>
  <si>
    <t>2021-10-20T14:10:00Z</t>
  </si>
  <si>
    <t>2021-10-20T15:57:10Z</t>
  </si>
  <si>
    <t>2021-11-11T22:20:52Z</t>
  </si>
  <si>
    <t>2021-09-27T21:40:45Z</t>
  </si>
  <si>
    <t>2021-11-11T14:56:54Z</t>
  </si>
  <si>
    <t>2021-10-31T15:43:38Z</t>
  </si>
  <si>
    <t>2021-10-24T05:00:18Z</t>
  </si>
  <si>
    <t>2021-11-06T01:02:39Z</t>
  </si>
  <si>
    <t>2021-11-12T00:46:14Z</t>
  </si>
  <si>
    <t>2021-11-05T02:58:26Z</t>
  </si>
  <si>
    <t>2021-10-13T03:50:27Z</t>
  </si>
  <si>
    <t>2021-11-10T03:57:09Z</t>
  </si>
  <si>
    <t>2021-10-11T18:05:23Z</t>
  </si>
  <si>
    <t>2021-10-17T13:15:50Z</t>
  </si>
  <si>
    <t>2021-10-20T17:39:59Z</t>
  </si>
  <si>
    <t>2021-10-15T15:20:50Z</t>
  </si>
  <si>
    <t>2021-10-14T14:12:16Z</t>
  </si>
  <si>
    <t>2021-10-20T15:57:55Z</t>
  </si>
  <si>
    <t>2021-10-18T10:41:08Z</t>
  </si>
  <si>
    <t>2021-11-06T13:29:51Z</t>
  </si>
  <si>
    <t>2021-09-26T14:34:07Z</t>
  </si>
  <si>
    <t>2021-10-02T14:19:36Z</t>
  </si>
  <si>
    <t>2021-11-03T15:09:57Z</t>
  </si>
  <si>
    <t>2021-11-08T22:04:56Z</t>
  </si>
  <si>
    <t>2021-11-11T08:33:05Z</t>
  </si>
  <si>
    <t>2021-10-22T00:04:11Z</t>
  </si>
  <si>
    <t>2021-10-26T08:28:19Z</t>
  </si>
  <si>
    <t>2021-11-03T19:26:32Z</t>
  </si>
  <si>
    <t>2021-10-08T17:23:44Z</t>
  </si>
  <si>
    <t>2021-10-31T09:47:11Z</t>
  </si>
  <si>
    <t>2021-11-07T03:19:39Z</t>
  </si>
  <si>
    <t>2021-11-09T21:11:24Z</t>
  </si>
  <si>
    <t>2021-10-30T22:09:53Z</t>
  </si>
  <si>
    <t>2021-10-16T06:57:51Z</t>
  </si>
  <si>
    <t>2021-10-26T08:29:10Z</t>
  </si>
  <si>
    <t>2021-10-26T09:52:28Z</t>
  </si>
  <si>
    <t>2021-10-29T07:48:09Z</t>
  </si>
  <si>
    <t>2021-10-15T15:21:38Z</t>
  </si>
  <si>
    <t>2021-10-31T15:38:42Z</t>
  </si>
  <si>
    <t>2021-11-07T04:54:39Z</t>
  </si>
  <si>
    <t>2021-11-01T14:45:06Z</t>
  </si>
  <si>
    <t>2021-10-20T19:28:30Z</t>
  </si>
  <si>
    <t>2021-10-08T17:22:45Z</t>
  </si>
  <si>
    <t>2021-10-06T09:10:39Z</t>
  </si>
  <si>
    <t>2021-10-22T03:19:56Z</t>
  </si>
  <si>
    <t>2021-10-11T01:00:03Z</t>
  </si>
  <si>
    <t>2021-11-09T15:02:41Z</t>
  </si>
  <si>
    <t>2021-10-02T15:37:47Z</t>
  </si>
  <si>
    <t>2021-10-26T09:53:02Z</t>
  </si>
  <si>
    <t>2021-11-08T05:42:14Z</t>
  </si>
  <si>
    <t>2021-11-05T02:35:37Z</t>
  </si>
  <si>
    <t>2021-10-20T14:05:53Z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</si>
  <si>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</si>
  <si>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</si>
  <si>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</si>
  <si>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</si>
  <si>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</si>
  <si>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</si>
  <si>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</si>
  <si>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2021-11-02T04:15:07Z</t>
  </si>
  <si>
    <t>2021-10-16T16:57:56Z</t>
  </si>
  <si>
    <t>2021-10-31T15:39:04Z</t>
  </si>
  <si>
    <t>2021-11-08T18:23:23Z</t>
  </si>
  <si>
    <t>2021-10-25T19:09:46Z</t>
  </si>
  <si>
    <t>2021-10-02T14:20:32Z</t>
  </si>
  <si>
    <t>2021-10-29T18:39:19Z</t>
  </si>
  <si>
    <t>2021-10-10T02:34:34Z</t>
  </si>
  <si>
    <t>2021-09-29T20:32:47Z</t>
  </si>
  <si>
    <t>2021-10-27T05:05:58Z</t>
  </si>
  <si>
    <t>2021-10-11T12:50:55Z</t>
  </si>
  <si>
    <t>2021-10-14T14:12:41Z</t>
  </si>
  <si>
    <t>2021-10-16T16:58:20Z</t>
  </si>
  <si>
    <t>2021-11-05T02:40:23Z</t>
  </si>
  <si>
    <t>2021-11-05T01:41:10Z</t>
  </si>
  <si>
    <t>2021-11-05T02:38:56Z</t>
  </si>
  <si>
    <t>2021-10-20T17:42:17Z</t>
  </si>
  <si>
    <t>2021-10-31T08:26:28Z</t>
  </si>
  <si>
    <t>2021-10-15T15:22:32Z</t>
  </si>
  <si>
    <t>2021-10-23T18:54:10Z</t>
  </si>
  <si>
    <t>2021-10-02T14:20:54Z</t>
  </si>
  <si>
    <t>2021-10-30T14:24:10Z</t>
  </si>
  <si>
    <t>2021-11-05T01:41:19Z</t>
  </si>
  <si>
    <t>2021-10-20T14:06:57Z</t>
  </si>
  <si>
    <t>2021-11-10T00:00:02Z</t>
  </si>
  <si>
    <t>2021-10-28T07:20:24Z</t>
  </si>
  <si>
    <t>2021-10-24T07:39:57Z</t>
  </si>
  <si>
    <t>2021-10-05T16:43:55Z</t>
  </si>
  <si>
    <t>2021-10-06T09:12:54Z</t>
  </si>
  <si>
    <t>2021-11-05T17:37:12Z</t>
  </si>
  <si>
    <t>2021-10-26T08:32:13Z</t>
  </si>
  <si>
    <t>2021-10-31T15:39:54Z</t>
  </si>
  <si>
    <t>2021-10-02T10:19:31Z</t>
  </si>
  <si>
    <t>2021-10-26T08:32:40Z</t>
  </si>
  <si>
    <t>2021-09-26T14:35:38Z</t>
  </si>
  <si>
    <t>2021-10-03T19:55:32Z</t>
  </si>
  <si>
    <t>2021-10-27T05:01:23Z</t>
  </si>
  <si>
    <t>2021-10-01T00:13:29Z</t>
  </si>
  <si>
    <t>2021-09-28T02:37:26Z</t>
  </si>
  <si>
    <t>2021-10-26T08:32:55Z</t>
  </si>
  <si>
    <t>2021-10-06T07:58:19Z</t>
  </si>
  <si>
    <t>2021-10-07T15:16:20Z</t>
  </si>
  <si>
    <t>2021-11-04T19:06:29Z</t>
  </si>
  <si>
    <t>2021-11-06T13:32:15Z</t>
  </si>
  <si>
    <t>2021-11-07T05:49:38Z</t>
  </si>
  <si>
    <t>2021-10-10T07:25:02Z</t>
  </si>
  <si>
    <t>2021-11-06T20:07:40Z</t>
  </si>
  <si>
    <t>2021-10-07T15:18:28Z</t>
  </si>
  <si>
    <t>2021-11-01T14:50:36Z</t>
  </si>
  <si>
    <t>2021-09-26T00:04:14Z</t>
  </si>
  <si>
    <t>2021-10-26T08:33:27Z</t>
  </si>
  <si>
    <t>2021-10-18T07:26:15Z</t>
  </si>
  <si>
    <t>2021-10-10T05:05:02Z</t>
  </si>
  <si>
    <t>2021-11-05T10:36:00Z</t>
  </si>
  <si>
    <t>2021-10-06T09:04:30Z</t>
  </si>
  <si>
    <t>2021-09-28T21:07:47Z</t>
  </si>
  <si>
    <t>2021-11-04T19:06:56Z</t>
  </si>
  <si>
    <t>2021-10-27T23:12:00Z</t>
  </si>
  <si>
    <t>2021-10-26T08:33:46Z</t>
  </si>
  <si>
    <t>2021-11-07T05:49:22Z</t>
  </si>
  <si>
    <t>2021-10-04T20:56:50Z</t>
  </si>
  <si>
    <t>2021-10-25T18:06:17Z</t>
  </si>
  <si>
    <t>2021-11-03T00:31:43Z</t>
  </si>
  <si>
    <t>2021-10-05T16:45:07Z</t>
  </si>
  <si>
    <t>2021-10-28T05:45:45Z</t>
  </si>
  <si>
    <t>2021-10-26T08:34:13Z</t>
  </si>
  <si>
    <t>2021-11-03T12:23:06Z</t>
  </si>
  <si>
    <t>2021-10-30T16:38:24Z</t>
  </si>
  <si>
    <t>2021-10-02T14:22:35Z</t>
  </si>
  <si>
    <t>2021-10-15T15:24:12Z</t>
  </si>
  <si>
    <t>2021-10-30T01:49:56Z</t>
  </si>
  <si>
    <t>2021-10-26T08:35:09Z</t>
  </si>
  <si>
    <t>2021-10-15T15:24:25Z</t>
  </si>
  <si>
    <t>2021-10-06T09:15:13Z</t>
  </si>
  <si>
    <t>2021-10-06T09:15:27Z</t>
  </si>
  <si>
    <t>2021-10-20T17:44:55Z</t>
  </si>
  <si>
    <t>2021-10-24T09:40:20Z</t>
  </si>
  <si>
    <t>2021-10-30T01:50:13Z</t>
  </si>
  <si>
    <t>2021-10-23T19:24:50Z</t>
  </si>
  <si>
    <t>2021-10-02T10:21:37Z</t>
  </si>
  <si>
    <t>2021-11-05T03:06:37Z</t>
  </si>
  <si>
    <t>2021-10-30T19:12:18Z</t>
  </si>
  <si>
    <t>2021-11-05T02:11:57Z</t>
  </si>
  <si>
    <t>2021-10-04T19:29:37Z</t>
  </si>
  <si>
    <t>2021-10-11T09:57:53Z</t>
  </si>
  <si>
    <t>2021-09-28T18:54:31Z</t>
  </si>
  <si>
    <t>2021-10-03T11:28:31Z</t>
  </si>
  <si>
    <t>2021-11-11T07:56:53Z</t>
  </si>
  <si>
    <t>2021-10-26T08:36:11Z</t>
  </si>
  <si>
    <t>2021-10-30T22:13:14Z</t>
  </si>
  <si>
    <t>2021-10-25T01:58:34Z</t>
  </si>
  <si>
    <t>2021-10-02T10:22:06Z</t>
  </si>
  <si>
    <t>2021-10-26T08:36:22Z</t>
  </si>
  <si>
    <t>2021-11-09T21:10:43Z</t>
  </si>
  <si>
    <t>2021-11-05T02:29:24Z</t>
  </si>
  <si>
    <t>2021-10-10T13:37:55Z</t>
  </si>
  <si>
    <t>2021-10-26T08:36:36Z</t>
  </si>
  <si>
    <t>2021-10-17T16:08:43Z</t>
  </si>
  <si>
    <t>2021-09-29T14:13:22Z</t>
  </si>
  <si>
    <t>2021-10-23T14:35:25Z</t>
  </si>
  <si>
    <t>2021-10-15T15:24:55Z</t>
  </si>
  <si>
    <t>2021-11-01T14:07:17Z</t>
  </si>
  <si>
    <t>2021-09-30T20:29:35Z</t>
  </si>
  <si>
    <t>2021-10-09T00:08:17Z</t>
  </si>
  <si>
    <t>2021-11-10T14:24:26Z</t>
  </si>
  <si>
    <t>2021-10-30T13:42:16Z</t>
  </si>
  <si>
    <t>2021-10-13T04:56:06Z</t>
  </si>
  <si>
    <t>2021-10-02T11:39:29Z</t>
  </si>
  <si>
    <t>2021-11-05T03:08:01Z</t>
  </si>
  <si>
    <t>2021-10-30T23:04:51Z</t>
  </si>
  <si>
    <t>2021-10-27T18:29:09Z</t>
  </si>
  <si>
    <t>2021-10-01T15:47:32Z</t>
  </si>
  <si>
    <t>2021-10-26T08:37:34Z</t>
  </si>
  <si>
    <t>2021-10-15T15:25:18Z</t>
  </si>
  <si>
    <t>2021-10-31T15:42:13Z</t>
  </si>
  <si>
    <t>2021-11-12T10:54:52Z</t>
  </si>
  <si>
    <t>2021-10-22T05:18:49Z</t>
  </si>
  <si>
    <t>2021-11-05T03:08:25Z</t>
  </si>
  <si>
    <t>2021-10-07T21:44:31Z</t>
  </si>
  <si>
    <t>2021-11-05T03:08:31Z</t>
  </si>
  <si>
    <t>2021-11-12T10:55:10Z</t>
  </si>
  <si>
    <t>2021-10-12T12:10:19Z</t>
  </si>
  <si>
    <t>2021-11-05T03:08:37Z</t>
  </si>
  <si>
    <t>2021-10-20T19:00:52Z</t>
  </si>
  <si>
    <t>2021-11-05T03:08:43Z</t>
  </si>
  <si>
    <t>2021-09-27T22:42:29Z</t>
  </si>
  <si>
    <t>2021-09-28T21:08:09Z</t>
  </si>
  <si>
    <t>2021-10-02T14:24:07Z</t>
  </si>
  <si>
    <t>2021-10-26T08:38:10Z</t>
  </si>
  <si>
    <t>2021-11-01T20:05:01Z</t>
  </si>
  <si>
    <t>2021-10-18T07:40:37Z</t>
  </si>
  <si>
    <t>2021-11-05T03:09:20Z</t>
  </si>
  <si>
    <t>2021-10-09T17:19:57Z</t>
  </si>
  <si>
    <t>2021-11-06T13:34:28Z</t>
  </si>
  <si>
    <t>2021-10-15T02:07:25Z</t>
  </si>
  <si>
    <t>2021-10-03T07:19:44Z</t>
  </si>
  <si>
    <t>2021-10-31T07:20:59Z</t>
  </si>
  <si>
    <t>2021-10-08T04:16:23Z</t>
  </si>
  <si>
    <t>2021-09-27T12:08:18Z</t>
  </si>
  <si>
    <t>2021-10-31T15:42:43Z</t>
  </si>
  <si>
    <t>2021-11-05T03:09:49Z</t>
  </si>
  <si>
    <t>2021-10-07T15:47:28Z</t>
  </si>
  <si>
    <t>2021-11-05T03:09:56Z</t>
  </si>
  <si>
    <t>2021-11-06T02:42:48Z</t>
  </si>
  <si>
    <t>2021-09-30T16:42:47Z</t>
  </si>
  <si>
    <t>2021-11-05T03:10:20Z</t>
  </si>
  <si>
    <t>2021-11-05T03:10:27Z</t>
  </si>
  <si>
    <t>2021-10-31T15:43:02Z</t>
  </si>
  <si>
    <t>2021-10-06T19:46:29Z</t>
  </si>
  <si>
    <t>2021-10-17T20:03:56Z</t>
  </si>
  <si>
    <t>2021-11-05T02:36:58Z</t>
  </si>
  <si>
    <t>2021-10-24T09:35:57Z</t>
  </si>
  <si>
    <t>2021-10-06T01:59:45Z</t>
  </si>
  <si>
    <t>2021-09-26T20:57:56Z</t>
  </si>
  <si>
    <t>2021-11-05T01:47:06Z</t>
  </si>
  <si>
    <t>2021-10-02T11:39:13Z</t>
  </si>
  <si>
    <t>2021-10-27T04:53:12Z</t>
  </si>
  <si>
    <t>2021-10-20T14:12:29Z</t>
  </si>
  <si>
    <t>2021-10-06T02:00:19Z</t>
  </si>
  <si>
    <t>2021-11-05T02:30:42Z</t>
  </si>
  <si>
    <t>2021-11-01T14:31:53Z</t>
  </si>
  <si>
    <t>2021-11-09T15:58:30Z</t>
  </si>
  <si>
    <t>2021-10-21T06:37:20Z</t>
  </si>
  <si>
    <t>2021-11-05T01:47:27Z</t>
  </si>
  <si>
    <t>2021-11-06T13:35:22Z</t>
  </si>
  <si>
    <t>2021-10-06T02:00:40Z</t>
  </si>
  <si>
    <t>2021-11-10T01:29:13Z</t>
  </si>
  <si>
    <t>2021-10-22T16:44:23Z</t>
  </si>
  <si>
    <t>2021-10-06T02:00:53Z</t>
  </si>
  <si>
    <t>2021-10-02T15:03:52Z</t>
  </si>
  <si>
    <t>2021-10-09T21:12:07Z</t>
  </si>
  <si>
    <t>2021-10-12T12:08:38Z</t>
  </si>
  <si>
    <t>2021-10-06T02:01:06Z</t>
  </si>
  <si>
    <t>2021-09-26T00:08:44Z</t>
  </si>
  <si>
    <t>2021-11-11T19:34:27Z</t>
  </si>
  <si>
    <t>2021-11-05T02:14:25Z</t>
  </si>
  <si>
    <t>2021-10-19T17:55:19Z</t>
  </si>
  <si>
    <t>2021-10-05T16:31:24Z</t>
  </si>
  <si>
    <t>2021-11-07T04:38:22Z</t>
  </si>
  <si>
    <t>2021-10-06T02:01:19Z</t>
  </si>
  <si>
    <t>2021-10-31T15:43:58Z</t>
  </si>
  <si>
    <t>2021-10-06T02:01:30Z</t>
  </si>
  <si>
    <t>2021-11-05T01:48:22Z</t>
  </si>
  <si>
    <t>2021-10-16T16:39:32Z</t>
  </si>
  <si>
    <t>2021-10-06T02:01:42Z</t>
  </si>
  <si>
    <t>2021-10-06T02:01:50Z</t>
  </si>
  <si>
    <t>2021-10-31T06:38:47Z</t>
  </si>
  <si>
    <t>2021-10-19T13:15:26Z</t>
  </si>
  <si>
    <t>2021-10-07T11:52:44Z</t>
  </si>
  <si>
    <t>2021-10-25T21:50:45Z</t>
  </si>
  <si>
    <t>2021-10-31T15:44:10Z</t>
  </si>
  <si>
    <t>2021-09-26T06:06:08Z</t>
  </si>
  <si>
    <t>2021-10-12T12:09:29Z</t>
  </si>
  <si>
    <t>2021-10-17T15:04:03Z</t>
  </si>
  <si>
    <t>2021-11-05T02:06:25Z</t>
  </si>
  <si>
    <t>2021-10-30T16:38:48Z</t>
  </si>
  <si>
    <t>2021-10-06T02:02:22Z</t>
  </si>
  <si>
    <t>2021-10-13T04:05:14Z</t>
  </si>
  <si>
    <t>2021-11-06T13:36:03Z</t>
  </si>
  <si>
    <t>2021-10-09T21:12:39Z</t>
  </si>
  <si>
    <t>2021-10-06T23:06:15Z</t>
  </si>
  <si>
    <t>2021-11-03T19:33:17Z</t>
  </si>
  <si>
    <t>2021-11-05T01:49:15Z</t>
  </si>
  <si>
    <t>2021-10-05T02:28:43Z</t>
  </si>
  <si>
    <t>2021-09-26T00:09:38Z</t>
  </si>
  <si>
    <t>2021-11-05T02:38:34Z</t>
  </si>
  <si>
    <t>2021-10-20T07:47:04Z</t>
  </si>
  <si>
    <t>2021-10-31T15:44:30Z</t>
  </si>
  <si>
    <t>2021-10-31T17:24:54Z</t>
  </si>
  <si>
    <t>2021-10-24T09:38:02Z</t>
  </si>
  <si>
    <t>2021-09-30T01:40:54Z</t>
  </si>
  <si>
    <t>2021-11-05T02:33:19Z</t>
  </si>
  <si>
    <t>2021-09-26T06:07:00Z</t>
  </si>
  <si>
    <t>2021-09-27T04:47:10Z</t>
  </si>
  <si>
    <t>2021-11-03T13:07:17Z</t>
  </si>
  <si>
    <t>2021-10-06T00:35:15Z</t>
  </si>
  <si>
    <t>2021-11-05T02:34:24Z</t>
  </si>
  <si>
    <t>2021-11-04T12:36:53Z</t>
  </si>
  <si>
    <t>2021-10-24T09:38:18Z</t>
  </si>
  <si>
    <t>2021-11-05T03:14:39Z</t>
  </si>
  <si>
    <t>2021-10-19T19:03:15Z</t>
  </si>
  <si>
    <t>2021-10-31T06:39:22Z</t>
  </si>
  <si>
    <t>2021-11-05T03:14:50Z</t>
  </si>
  <si>
    <t>2021-10-24T09:38:37Z</t>
  </si>
  <si>
    <t>2021-10-15T15:28:43Z</t>
  </si>
  <si>
    <t>2021-11-12T04:06:35Z</t>
  </si>
  <si>
    <t>2021-10-22T11:38:31Z</t>
  </si>
  <si>
    <t>2021-11-05T03:10:05Z</t>
  </si>
  <si>
    <t>2021-11-10T17:52:31Z</t>
  </si>
  <si>
    <t>2021-10-16T16:37:16Z</t>
  </si>
  <si>
    <t>2021-10-13T13:43:03Z</t>
  </si>
  <si>
    <t>2021-11-06T07:47:21Z</t>
  </si>
  <si>
    <t>2021-10-08T17:00:32Z</t>
  </si>
  <si>
    <t>2021-10-03T04:15:32Z</t>
  </si>
  <si>
    <t>2021-10-28T22:51:58Z</t>
  </si>
  <si>
    <t>2021-10-07T15:16:12Z</t>
  </si>
  <si>
    <t>2021-10-05T02:29:01Z</t>
  </si>
  <si>
    <t>2021-10-03T15:52:29Z</t>
  </si>
  <si>
    <t>2021-10-22T11:39:11Z</t>
  </si>
  <si>
    <t>2021-10-24T09:39:17Z</t>
  </si>
  <si>
    <t>2021-10-18T12:15:18Z</t>
  </si>
  <si>
    <t>2021-09-26T06:08:39Z</t>
  </si>
  <si>
    <t>2021-10-12T12:11:52Z</t>
  </si>
  <si>
    <t>2021-10-17T09:15:33Z</t>
  </si>
  <si>
    <t>2021-10-19T07:57:32Z</t>
  </si>
  <si>
    <t>2021-11-07T15:50:38Z</t>
  </si>
  <si>
    <t>2021-10-12T05:10:18Z</t>
  </si>
  <si>
    <t>2021-10-07T15:17:09Z</t>
  </si>
  <si>
    <t>2021-10-27T05:04:39Z</t>
  </si>
  <si>
    <t>2021-10-27T04:48:04Z</t>
  </si>
  <si>
    <t>2021-10-27T05:02:58Z</t>
  </si>
  <si>
    <t>2021-10-10T02:32:55Z</t>
  </si>
  <si>
    <t>2021-10-27T04:59:17Z</t>
  </si>
  <si>
    <t>2021-10-08T02:02:11Z</t>
  </si>
  <si>
    <t>2021-09-26T06:09:25Z</t>
  </si>
  <si>
    <t>2021-11-05T02:27:20Z</t>
  </si>
  <si>
    <t>2021-11-05T02:40:28Z</t>
  </si>
  <si>
    <t>2021-10-28T00:48:54Z</t>
  </si>
  <si>
    <t>2021-09-26T14:36:14Z</t>
  </si>
  <si>
    <t>2021-10-05T15:18:26Z</t>
  </si>
  <si>
    <t>2021-10-05T16:05:16Z</t>
  </si>
  <si>
    <t>2021-10-20T21:01:00Z</t>
  </si>
  <si>
    <t>2021-10-24T08:47:15Z</t>
  </si>
  <si>
    <t>2021-11-02T07:21:12Z</t>
  </si>
  <si>
    <t>2021-11-05T02:55:21Z</t>
  </si>
  <si>
    <t>2021-10-16T16:27:53Z</t>
  </si>
  <si>
    <t>2021-10-19T04:39:52Z</t>
  </si>
  <si>
    <t>2021-11-08T17:51:57Z</t>
  </si>
  <si>
    <t>2021-10-03T04:17:21Z</t>
  </si>
  <si>
    <t>2021-10-18T14:16:05Z</t>
  </si>
  <si>
    <t>2021-11-05T02:40:33Z</t>
  </si>
  <si>
    <t>2021-10-03T07:30:24Z</t>
  </si>
  <si>
    <t>2021-11-11T11:46:14Z</t>
  </si>
  <si>
    <t>2021-10-19T07:58:01Z</t>
  </si>
  <si>
    <t>2021-10-18T07:42:09Z</t>
  </si>
  <si>
    <t>2021-10-24T13:24:27Z</t>
  </si>
  <si>
    <t>2021-10-21T06:35:52Z</t>
  </si>
  <si>
    <t>2021-10-19T07:58:18Z</t>
  </si>
  <si>
    <t>2021-10-03T17:38:20Z</t>
  </si>
  <si>
    <t>2021-11-03T09:25:57Z</t>
  </si>
  <si>
    <t>2021-11-01T19:59:15Z</t>
  </si>
  <si>
    <t>2021-10-27T05:02:13Z</t>
  </si>
  <si>
    <t>2021-11-11T21:25:28Z</t>
  </si>
  <si>
    <t>2021-10-05T15:19:30Z</t>
  </si>
  <si>
    <t>2021-11-07T15:54:22Z</t>
  </si>
  <si>
    <t>2021-11-08T16:13:05Z</t>
  </si>
  <si>
    <t>2021-10-27T04:51:36Z</t>
  </si>
  <si>
    <t>2021-11-06T13:38:25Z</t>
  </si>
  <si>
    <t>2021-10-27T05:00:15Z</t>
  </si>
  <si>
    <t>2021-11-08T16:13:23Z</t>
  </si>
  <si>
    <t>2021-11-10T07:13:56Z</t>
  </si>
  <si>
    <t>2021-10-13T20:15:00Z</t>
  </si>
  <si>
    <t>2021-09-26T11:42:26Z</t>
  </si>
  <si>
    <t>2021-10-19T07:59:36Z</t>
  </si>
  <si>
    <t>2021-11-05T02:32:55Z</t>
  </si>
  <si>
    <t>2021-10-24T18:58:08Z</t>
  </si>
  <si>
    <t>2021-11-06T20:13:43Z</t>
  </si>
  <si>
    <t>2021-11-05T02:13:33Z</t>
  </si>
  <si>
    <t>2021-10-07T04:43:28Z</t>
  </si>
  <si>
    <t>2021-10-16T08:48:58Z</t>
  </si>
  <si>
    <t>2021-10-05T21:10:35Z</t>
  </si>
  <si>
    <t>2021-10-12T12:14:32Z</t>
  </si>
  <si>
    <t>2021-11-09T21:13:21Z</t>
  </si>
  <si>
    <t>2021-10-31T01:28:13Z</t>
  </si>
  <si>
    <t>2021-10-31T15:43:21Z</t>
  </si>
  <si>
    <t>2021-11-05T02:34:07Z</t>
  </si>
  <si>
    <t>2021-10-24T09:41:47Z</t>
  </si>
  <si>
    <t>2021-10-11T21:56:17Z</t>
  </si>
  <si>
    <t>2021-10-18T13:52:03Z</t>
  </si>
  <si>
    <t>2021-10-05T21:10:55Z</t>
  </si>
  <si>
    <t>2021-10-01T12:40:35Z</t>
  </si>
  <si>
    <t>2021-11-11T21:38:01Z</t>
  </si>
  <si>
    <t>2021-11-06T13:39:31Z</t>
  </si>
  <si>
    <t>2021-11-04T07:35:03Z</t>
  </si>
  <si>
    <t>2021-10-17T18:32:35Z</t>
  </si>
  <si>
    <t>2021-11-09T21:13:47Z</t>
  </si>
  <si>
    <t>2021-11-03T19:37:12Z</t>
  </si>
  <si>
    <t>2021-11-03T10:35:58Z</t>
  </si>
  <si>
    <t>2021-10-03T07:20:21Z</t>
  </si>
  <si>
    <t>2021-11-04T07:40:17Z</t>
  </si>
  <si>
    <t>2021-10-02T06:26:02Z</t>
  </si>
  <si>
    <t>2021-10-05T02:29:53Z</t>
  </si>
  <si>
    <t>2021-10-05T16:52:04Z</t>
  </si>
  <si>
    <t>2021-10-11T04:23:07Z</t>
  </si>
  <si>
    <t>2021-11-06T21:44:41Z</t>
  </si>
  <si>
    <t>2021-10-05T21:11:27Z</t>
  </si>
  <si>
    <t>2021-11-05T02:38:16Z</t>
  </si>
  <si>
    <t>2021-11-11T21:38:27Z</t>
  </si>
  <si>
    <t>2021-10-08T02:03:18Z</t>
  </si>
  <si>
    <t>2021-11-02T07:20:46Z</t>
  </si>
  <si>
    <t>2021-10-05T21:11:37Z</t>
  </si>
  <si>
    <t>2021-11-08T00:15:48Z</t>
  </si>
  <si>
    <t>2021-10-08T02:01:45Z</t>
  </si>
  <si>
    <t>2021-10-02T14:29:50Z</t>
  </si>
  <si>
    <t>2021-10-09T02:12:56Z</t>
  </si>
  <si>
    <t>2021-10-05T21:11:48Z</t>
  </si>
  <si>
    <t>2021-10-05T02:30:00Z</t>
  </si>
  <si>
    <t>2021-10-31T06:38:32Z</t>
  </si>
  <si>
    <t>2021-10-23T19:32:44Z</t>
  </si>
  <si>
    <t>2021-11-07T23:40:05Z</t>
  </si>
  <si>
    <t>2021-10-05T21:11:55Z</t>
  </si>
  <si>
    <t>2021-10-09T14:59:31Z</t>
  </si>
  <si>
    <t>2021-10-25T05:24:07Z</t>
  </si>
  <si>
    <t>2021-11-09T21:14:47Z</t>
  </si>
  <si>
    <t>2021-10-09T02:13:24Z</t>
  </si>
  <si>
    <t>2021-09-28T22:57:04Z</t>
  </si>
  <si>
    <t>2021-11-06T13:40:26Z</t>
  </si>
  <si>
    <t>2021-11-08T22:46:57Z</t>
  </si>
  <si>
    <t>2021-10-23T19:33:08Z</t>
  </si>
  <si>
    <t>2021-10-12T01:48:08Z</t>
  </si>
  <si>
    <t>2021-10-14T19:40:12Z</t>
  </si>
  <si>
    <t>2021-11-09T13:43:13Z</t>
  </si>
  <si>
    <t>2021-10-19T08:02:14Z</t>
  </si>
  <si>
    <t>2021-10-09T21:18:00Z</t>
  </si>
  <si>
    <t>2021-10-28T02:34:56Z</t>
  </si>
  <si>
    <t>2021-10-23T19:33:22Z</t>
  </si>
  <si>
    <t>2021-10-12T12:17:25Z</t>
  </si>
  <si>
    <t>2021-10-14T17:18:04Z</t>
  </si>
  <si>
    <t>2021-10-30T17:25:05Z</t>
  </si>
  <si>
    <t>2021-11-06T00:15:31Z</t>
  </si>
  <si>
    <t>2021-11-01T20:00:49Z</t>
  </si>
  <si>
    <t>2021-10-11T21:03:59Z</t>
  </si>
  <si>
    <t>2021-10-14T19:40:30Z</t>
  </si>
  <si>
    <t>2021-10-08T17:10:50Z</t>
  </si>
  <si>
    <t>2021-10-31T09:49:41Z</t>
  </si>
  <si>
    <t>2021-10-03T20:43:06Z</t>
  </si>
  <si>
    <t>2021-09-26T10:44:53Z</t>
  </si>
  <si>
    <t>2021-10-09T07:41:25Z</t>
  </si>
  <si>
    <t>2021-10-04T07:04:22Z</t>
  </si>
  <si>
    <t>2021-09-26T18:49:22Z</t>
  </si>
  <si>
    <t>2021-10-12T19:04:32Z</t>
  </si>
  <si>
    <t>2021-09-28T19:07:29Z</t>
  </si>
  <si>
    <t>2021-11-10T12:40:35Z</t>
  </si>
  <si>
    <t>2021-10-18T14:27:54Z</t>
  </si>
  <si>
    <t>2021-09-26T10:45:16Z</t>
  </si>
  <si>
    <t>2021-10-09T02:15:34Z</t>
  </si>
  <si>
    <t>2021-11-02T05:19:47Z</t>
  </si>
  <si>
    <t>2021-11-01T07:24:11Z</t>
  </si>
  <si>
    <t>2021-10-23T19:34:26Z</t>
  </si>
  <si>
    <t>2021-10-12T19:04:57Z</t>
  </si>
  <si>
    <t>2021-11-11T21:25:14Z</t>
  </si>
  <si>
    <t>2021-09-29T20:32:32Z</t>
  </si>
  <si>
    <t>2021-10-10T15:43:14Z</t>
  </si>
  <si>
    <t>2021-10-05T15:23:47Z</t>
  </si>
  <si>
    <t>2021-11-08T15:50:37Z</t>
  </si>
  <si>
    <t>2021-09-26T10:45:40Z</t>
  </si>
  <si>
    <t>2021-11-05T14:06:28Z</t>
  </si>
  <si>
    <t>2021-10-12T19:05:21Z</t>
  </si>
  <si>
    <t>2021-10-23T19:34:54Z</t>
  </si>
  <si>
    <t>2021-11-05T12:42:22Z</t>
  </si>
  <si>
    <t>2021-10-02T06:29:47Z</t>
  </si>
  <si>
    <t>2021-09-26T10:45:53Z</t>
  </si>
  <si>
    <t>2021-10-29T07:38:29Z</t>
  </si>
  <si>
    <t>2021-11-05T01:47:52Z</t>
  </si>
  <si>
    <t>2021-11-02T00:55:33Z</t>
  </si>
  <si>
    <t>2021-10-28T19:28:04Z</t>
  </si>
  <si>
    <t>2021-09-26T10:46:06Z</t>
  </si>
  <si>
    <t>2021-10-28T17:48:31Z</t>
  </si>
  <si>
    <t>2021-10-21T02:02:45Z</t>
  </si>
  <si>
    <t>2021-10-14T19:42:09Z</t>
  </si>
  <si>
    <t>2021-11-10T13:42:10Z</t>
  </si>
  <si>
    <t>2021-10-23T16:04:09Z</t>
  </si>
  <si>
    <t>2021-09-30T08:58:23Z</t>
  </si>
  <si>
    <t>2021-10-08T16:28:52Z</t>
  </si>
  <si>
    <t>2021-11-01T21:42:42Z</t>
  </si>
  <si>
    <t>2021-11-11T07:34:17Z</t>
  </si>
  <si>
    <t>2021-09-26T10:46:19Z</t>
  </si>
  <si>
    <t>2021-11-10T13:42:31Z</t>
  </si>
  <si>
    <t>2021-10-23T16:04:26Z</t>
  </si>
  <si>
    <t>2021-11-11T20:16:40Z</t>
  </si>
  <si>
    <t>2021-10-12T19:05:40Z</t>
  </si>
  <si>
    <t>2021-10-18T03:49:23Z</t>
  </si>
  <si>
    <t>2021-10-09T21:20:29Z</t>
  </si>
  <si>
    <t>2021-10-23T19:35:40Z</t>
  </si>
  <si>
    <t>2021-10-05T15:24:51Z</t>
  </si>
  <si>
    <t>2021-10-22T10:04:19Z</t>
  </si>
  <si>
    <t>2021-10-25T17:59:13Z</t>
  </si>
  <si>
    <t>2021-10-02T14:32:35Z</t>
  </si>
  <si>
    <t>2021-11-12T14:41:37Z</t>
  </si>
  <si>
    <t>2021-10-28T00:48:29Z</t>
  </si>
  <si>
    <t>2021-10-14T02:35:19Z</t>
  </si>
  <si>
    <t>2021-09-30T14:47:59Z</t>
  </si>
  <si>
    <t>2021-09-29T10:45:42Z</t>
  </si>
  <si>
    <t>2021-10-03T18:13:55Z</t>
  </si>
  <si>
    <t>2021-10-23T19:35:56Z</t>
  </si>
  <si>
    <t>2021-10-12T12:21:42Z</t>
  </si>
  <si>
    <t>2021-10-14T02:35:43Z</t>
  </si>
  <si>
    <t>2021-10-16T04:36:15Z</t>
  </si>
  <si>
    <t>2021-11-06T17:38:46Z</t>
  </si>
  <si>
    <t>2021-10-18T03:50:24Z</t>
  </si>
  <si>
    <t>2021-10-16T17:10:32Z</t>
  </si>
  <si>
    <t>2021-10-10T07:38:51Z</t>
  </si>
  <si>
    <t>2021-11-08T02:03:22Z</t>
  </si>
  <si>
    <t>2021-10-30T20:52:54Z</t>
  </si>
  <si>
    <t>2021-10-14T17:21:45Z</t>
  </si>
  <si>
    <t>2021-11-10T13:43:45Z</t>
  </si>
  <si>
    <t>2021-10-25T22:14:02Z</t>
  </si>
  <si>
    <t>2021-11-11T19:32:01Z</t>
  </si>
  <si>
    <t>2021-11-06T21:26:07Z</t>
  </si>
  <si>
    <t>2021-10-25T14:43:40Z</t>
  </si>
  <si>
    <t>2021-09-29T10:46:35Z</t>
  </si>
  <si>
    <t>2021-10-25T18:08:11Z</t>
  </si>
  <si>
    <t>2021-11-05T02:16:45Z</t>
  </si>
  <si>
    <t>2021-10-23T16:05:35Z</t>
  </si>
  <si>
    <t>2021-11-08T17:53:48Z</t>
  </si>
  <si>
    <t>2021-10-08T20:51:33Z</t>
  </si>
  <si>
    <t>2021-10-10T17:42:52Z</t>
  </si>
  <si>
    <t>2021-11-11T21:01:47Z</t>
  </si>
  <si>
    <t>2021-11-02T22:24:06Z</t>
  </si>
  <si>
    <t>2021-11-09T16:16:22Z</t>
  </si>
  <si>
    <t>2021-11-09T03:34:09Z</t>
  </si>
  <si>
    <t>2021-10-19T18:27:19Z</t>
  </si>
  <si>
    <t>2021-11-11T09:14:31Z</t>
  </si>
  <si>
    <t>2021-11-08T17:54:06Z</t>
  </si>
  <si>
    <t>2021-11-01T05:51:53Z</t>
  </si>
  <si>
    <t>2021-11-02T01:08:11Z</t>
  </si>
  <si>
    <t>2021-11-02T00:58:14Z</t>
  </si>
  <si>
    <t>2021-10-07T22:36:01Z</t>
  </si>
  <si>
    <t>2021-10-12T12:23:09Z</t>
  </si>
  <si>
    <t>2021-10-05T16:56:51Z</t>
  </si>
  <si>
    <t>2021-10-01T15:45:28Z</t>
  </si>
  <si>
    <t>2021-11-02T09:49:27Z</t>
  </si>
  <si>
    <t>2021-10-10T20:59:42Z</t>
  </si>
  <si>
    <t>2021-11-05T02:36:27Z</t>
  </si>
  <si>
    <t>2021-10-10T01:29:24Z</t>
  </si>
  <si>
    <t>2021-11-05T01:48:39Z</t>
  </si>
  <si>
    <t>2021-11-10T17:52:15Z</t>
  </si>
  <si>
    <t>2021-09-30T01:39:49Z</t>
  </si>
  <si>
    <t>2021-10-19T20:44:41Z</t>
  </si>
  <si>
    <t>2021-11-05T02:05:59Z</t>
  </si>
  <si>
    <t>2021-10-09T21:22:38Z</t>
  </si>
  <si>
    <t>2021-09-26T17:31:54Z</t>
  </si>
  <si>
    <t>2021-11-05T02:08:13Z</t>
  </si>
  <si>
    <t>2021-11-08T07:27:24Z</t>
  </si>
  <si>
    <t>2021-11-05T02:06:14Z</t>
  </si>
  <si>
    <t>2021-11-07T05:47:33Z</t>
  </si>
  <si>
    <t>2021-10-29T15:49:20Z</t>
  </si>
  <si>
    <t>2021-10-23T12:07:18Z</t>
  </si>
  <si>
    <t>2021-10-14T14:12:26Z</t>
  </si>
  <si>
    <t>2021-10-04T08:51:42Z</t>
  </si>
  <si>
    <t>2021-11-09T18:49:22Z</t>
  </si>
  <si>
    <t>2021-10-10T02:46:06Z</t>
  </si>
  <si>
    <t>2021-11-09T20:56:58Z</t>
  </si>
  <si>
    <t>2021-11-03T19:42:13Z</t>
  </si>
  <si>
    <t>2021-11-06T21:43:04Z</t>
  </si>
  <si>
    <t>2021-11-09T14:26:01Z</t>
  </si>
  <si>
    <t>2021-10-10T01:31:11Z</t>
  </si>
  <si>
    <t>2021-10-16T04:39:19Z</t>
  </si>
  <si>
    <t>2021-11-05T02:07:24Z</t>
  </si>
  <si>
    <t>2021-10-20T14:26:01Z</t>
  </si>
  <si>
    <t>2021-11-05T02:07:33Z</t>
  </si>
  <si>
    <t>2021-11-07T10:55:37Z</t>
  </si>
  <si>
    <t>2021-10-05T08:01:44Z</t>
  </si>
  <si>
    <t>2021-10-28T15:27:14Z</t>
  </si>
  <si>
    <t>2021-11-02T20:33:44Z</t>
  </si>
  <si>
    <t>2021-10-23T18:53:04Z</t>
  </si>
  <si>
    <t>2021-10-24T13:18:32Z</t>
  </si>
  <si>
    <t>2021-10-17T22:24:01Z</t>
  </si>
  <si>
    <t>2021-10-23T08:54:17Z</t>
  </si>
  <si>
    <t>2021-10-04T20:26:17Z</t>
  </si>
  <si>
    <t>2021-11-05T02:07:56Z</t>
  </si>
  <si>
    <t>2021-10-16T09:31:52Z</t>
  </si>
  <si>
    <t>2021-09-27T23:01:10Z</t>
  </si>
  <si>
    <t>2021-10-12T12:25:00Z</t>
  </si>
  <si>
    <t>2021-10-20T14:26:27Z</t>
  </si>
  <si>
    <t>2021-10-11T01:31:22Z</t>
  </si>
  <si>
    <t>2021-11-09T14:12:24Z</t>
  </si>
  <si>
    <t>2021-10-04T07:12:14Z</t>
  </si>
  <si>
    <t>2021-10-17T20:04:17Z</t>
  </si>
  <si>
    <t>2021-11-09T18:50:03Z</t>
  </si>
  <si>
    <t>2021-11-05T02:08:20Z</t>
  </si>
  <si>
    <t>2021-10-05T15:28:45Z</t>
  </si>
  <si>
    <t>2021-10-05T16:58:31Z</t>
  </si>
  <si>
    <t>2021-09-26T21:08:00Z</t>
  </si>
  <si>
    <t>2021-11-09T14:26:52Z</t>
  </si>
  <si>
    <t>2021-10-29T07:45:30Z</t>
  </si>
  <si>
    <t>2021-11-05T13:17:29Z</t>
  </si>
  <si>
    <t>2021-10-21T00:13:39Z</t>
  </si>
  <si>
    <t>2021-11-09T14:27:11Z</t>
  </si>
  <si>
    <t>2021-10-29T07:45:52Z</t>
  </si>
  <si>
    <t>2021-10-22T04:02:43Z</t>
  </si>
  <si>
    <t>2021-10-13T17:56:32Z</t>
  </si>
  <si>
    <t>2021-10-22T04:02:52Z</t>
  </si>
  <si>
    <t>2021-10-29T15:51:02Z</t>
  </si>
  <si>
    <t>2021-10-29T07:46:05Z</t>
  </si>
  <si>
    <t>2021-10-01T15:11:29Z</t>
  </si>
  <si>
    <t>2021-10-02T16:30:36Z</t>
  </si>
  <si>
    <t>2021-09-27T14:18:01Z</t>
  </si>
  <si>
    <t>2021-09-27T05:09:28Z</t>
  </si>
  <si>
    <t>2021-09-27T14:18:11Z</t>
  </si>
  <si>
    <t>2021-10-23T17:53:39Z</t>
  </si>
  <si>
    <t>2021-11-04T00:13:06Z</t>
  </si>
  <si>
    <t>2021-10-29T07:46:31Z</t>
  </si>
  <si>
    <t>2021-11-11T21:46:19Z</t>
  </si>
  <si>
    <t>2021-10-10T09:48:14Z</t>
  </si>
  <si>
    <t>2021-10-09T21:24:43Z</t>
  </si>
  <si>
    <t>2021-09-28T09:51:58Z</t>
  </si>
  <si>
    <t>2021-10-23T08:55:45Z</t>
  </si>
  <si>
    <t>2021-10-01T14:26:26Z</t>
  </si>
  <si>
    <t>2021-10-08T18:55:27Z</t>
  </si>
  <si>
    <t>2021-10-29T07:46:54Z</t>
  </si>
  <si>
    <t>2021-10-29T07:47:03Z</t>
  </si>
  <si>
    <t>2021-10-21T16:46:15Z</t>
  </si>
  <si>
    <t>2021-11-05T02:39:45Z</t>
  </si>
  <si>
    <t>2021-11-08T07:31:41Z</t>
  </si>
  <si>
    <t>2021-11-12T03:36:41Z</t>
  </si>
  <si>
    <t>2021-09-27T21:16:43Z</t>
  </si>
  <si>
    <t>2021-10-29T07:47:15Z</t>
  </si>
  <si>
    <t>2021-10-09T21:25:03Z</t>
  </si>
  <si>
    <t>2021-10-27T14:16:20Z</t>
  </si>
  <si>
    <t>2021-10-29T16:38:58Z</t>
  </si>
  <si>
    <t>2021-10-29T07:47:26Z</t>
  </si>
  <si>
    <t>2021-11-08T15:18:21Z</t>
  </si>
  <si>
    <t>2021-11-05T02:10:55Z</t>
  </si>
  <si>
    <t>2021-11-05T02:40:47Z</t>
  </si>
  <si>
    <t>2021-11-05T02:30:29Z</t>
  </si>
  <si>
    <t>2021-11-10T04:33:00Z</t>
  </si>
  <si>
    <t>2021-11-03T05:12:35Z</t>
  </si>
  <si>
    <t>2021-10-18T21:10:42Z</t>
  </si>
  <si>
    <t>2021-11-05T02:18:00Z</t>
  </si>
  <si>
    <t>2021-10-09T21:25:18Z</t>
  </si>
  <si>
    <t>2021-11-09T18:43:06Z</t>
  </si>
  <si>
    <t>2021-11-05T02:41:00Z</t>
  </si>
  <si>
    <t>2021-11-01T08:50:12Z</t>
  </si>
  <si>
    <t>2021-10-17T09:00:45Z</t>
  </si>
  <si>
    <t>2021-11-01T22:30:39Z</t>
  </si>
  <si>
    <t>2021-11-05T02:39:50Z</t>
  </si>
  <si>
    <t>2021-10-13T19:30:48Z</t>
  </si>
  <si>
    <t>2021-11-05T02:40:39Z</t>
  </si>
  <si>
    <t>2021-10-01T00:15:16Z</t>
  </si>
  <si>
    <t>2021-10-11T00:12:14Z</t>
  </si>
  <si>
    <t>2021-10-12T12:27:45Z</t>
  </si>
  <si>
    <t>2021-10-29T23:57:15Z</t>
  </si>
  <si>
    <t>2021-11-03T19:25:44Z</t>
  </si>
  <si>
    <t>2021-11-05T02:39:33Z</t>
  </si>
  <si>
    <t>2021-11-05T02:11:51Z</t>
  </si>
  <si>
    <t>2021-10-12T05:18:58Z</t>
  </si>
  <si>
    <t>2021-11-05T02:39:28Z</t>
  </si>
  <si>
    <t>2021-09-26T13:16:11Z</t>
  </si>
  <si>
    <t>2021-11-05T03:14:32Z</t>
  </si>
  <si>
    <t>2021-11-12T11:36:50Z</t>
  </si>
  <si>
    <t>2021-10-29T16:39:43Z</t>
  </si>
  <si>
    <t>2021-11-01T08:50:59Z</t>
  </si>
  <si>
    <t>2021-10-22T00:44:09Z</t>
  </si>
  <si>
    <t>2021-10-04T13:03:13Z</t>
  </si>
  <si>
    <t>2021-10-20T11:31:25Z</t>
  </si>
  <si>
    <t>2021-11-08T05:57:19Z</t>
  </si>
  <si>
    <t>2021-11-11T07:16:33Z</t>
  </si>
  <si>
    <t>2021-11-09T02:11:29Z</t>
  </si>
  <si>
    <t>2021-11-01T05:50:36Z</t>
  </si>
  <si>
    <t>2021-11-08T07:33:57Z</t>
  </si>
  <si>
    <t>2021-11-05T00:54:28Z</t>
  </si>
  <si>
    <t>2021-10-29T07:48:22Z</t>
  </si>
  <si>
    <t>2021-11-05T00:54:39Z</t>
  </si>
  <si>
    <t>2021-10-04T17:00:30Z</t>
  </si>
  <si>
    <t>2021-10-29T15:53:18Z</t>
  </si>
  <si>
    <t>2021-11-05T02:12:56Z</t>
  </si>
  <si>
    <t>2021-11-06T17:43:04Z</t>
  </si>
  <si>
    <t>2021-11-07T02:39:47Z</t>
  </si>
  <si>
    <t>2021-10-14T17:27:38Z</t>
  </si>
  <si>
    <t>2021-10-07T15:16:33Z</t>
  </si>
  <si>
    <t>2021-11-03T10:12:32Z</t>
  </si>
  <si>
    <t>2021-11-05T02:13:15Z</t>
  </si>
  <si>
    <t>2021-11-07T02:40:10Z</t>
  </si>
  <si>
    <t>2021-10-25T19:33:18Z</t>
  </si>
  <si>
    <t>2021-09-30T18:24:52Z</t>
  </si>
  <si>
    <t>2021-10-09T21:26:45Z</t>
  </si>
  <si>
    <t>2021-11-08T20:42:41Z</t>
  </si>
  <si>
    <t>2021-11-05T02:13:50Z</t>
  </si>
  <si>
    <t>2021-10-23T19:33:45Z</t>
  </si>
  <si>
    <t>2021-09-28T22:24:25Z</t>
  </si>
  <si>
    <t>2021-11-05T02:13:58Z</t>
  </si>
  <si>
    <t>2021-10-07T03:41:39Z</t>
  </si>
  <si>
    <t>2021-11-05T02:14:08Z</t>
  </si>
  <si>
    <t>2021-10-25T18:06:39Z</t>
  </si>
  <si>
    <t>2021-10-19T10:56:26Z</t>
  </si>
  <si>
    <t>2021-10-05T16:16:39Z</t>
  </si>
  <si>
    <t>2021-09-30T20:29:58Z</t>
  </si>
  <si>
    <t>2021-11-01T01:18:55Z</t>
  </si>
  <si>
    <t>2021-11-01T11:47:47Z</t>
  </si>
  <si>
    <t>2021-10-11T23:16:39Z</t>
  </si>
  <si>
    <t>2021-10-10T01:38:22Z</t>
  </si>
  <si>
    <t>2021-10-05T21:23:27Z</t>
  </si>
  <si>
    <t>2021-10-30T14:57:37Z</t>
  </si>
  <si>
    <t>2021-10-24T14:14:01Z</t>
  </si>
  <si>
    <t>2021-10-24T04:15:14Z</t>
  </si>
  <si>
    <t>2021-11-11T06:22:57Z</t>
  </si>
  <si>
    <t>2021-10-17T18:40:48Z</t>
  </si>
  <si>
    <t>2021-10-01T11:33:59Z</t>
  </si>
  <si>
    <t>2021-11-07T23:28:01Z</t>
  </si>
  <si>
    <t>2021-11-07T23:28:11Z</t>
  </si>
  <si>
    <t>2021-11-06T21:19:15Z</t>
  </si>
  <si>
    <t>2021-10-01T11:34:13Z</t>
  </si>
  <si>
    <t>2021-09-28T04:47:54Z</t>
  </si>
  <si>
    <t>2021-10-03T12:50:14Z</t>
  </si>
  <si>
    <t>2021-10-01T11:34:24Z</t>
  </si>
  <si>
    <t>2021-10-29T16:41:22Z</t>
  </si>
  <si>
    <t>2021-11-05T02:31:16Z</t>
  </si>
  <si>
    <t>2021-11-02T14:31:55Z</t>
  </si>
  <si>
    <t>2021-11-02T01:06:58Z</t>
  </si>
  <si>
    <t>2021-10-17T09:03:39Z</t>
  </si>
  <si>
    <t>2021-10-01T00:14:07Z</t>
  </si>
  <si>
    <t>2021-10-03T17:33:07Z</t>
  </si>
  <si>
    <t>2021-09-30T22:40:10Z</t>
  </si>
  <si>
    <t>2021-10-15T11:54:08Z</t>
  </si>
  <si>
    <t>2021-10-18T17:47:57Z</t>
  </si>
  <si>
    <t>2021-11-06T19:43:07Z</t>
  </si>
  <si>
    <t>2021-10-23T15:45:37Z</t>
  </si>
  <si>
    <t>2021-11-09T02:15:56Z</t>
  </si>
  <si>
    <t>2021-10-15T11:54:19Z</t>
  </si>
  <si>
    <t>2021-10-18T07:12:44Z</t>
  </si>
  <si>
    <t>2021-11-05T02:15:44Z</t>
  </si>
  <si>
    <t>2021-10-22T04:10:59Z</t>
  </si>
  <si>
    <t>2021-09-30T09:11:22Z</t>
  </si>
  <si>
    <t>2021-10-28T13:13:36Z</t>
  </si>
  <si>
    <t>2021-10-23T05:26:01Z</t>
  </si>
  <si>
    <t>2021-11-05T02:31:29Z</t>
  </si>
  <si>
    <t>2021-11-05T02:16:06Z</t>
  </si>
  <si>
    <t>2021-10-23T05:25:51Z</t>
  </si>
  <si>
    <t>2021-10-26T15:21:43Z</t>
  </si>
  <si>
    <t>2021-09-27T12:05:13Z</t>
  </si>
  <si>
    <t>2021-10-25T18:04:29Z</t>
  </si>
  <si>
    <t>2021-11-08T12:59:45Z</t>
  </si>
  <si>
    <t>2021-11-06T17:44:44Z</t>
  </si>
  <si>
    <t>2021-11-05T05:26:58Z</t>
  </si>
  <si>
    <t>2021-10-28T13:13:54Z</t>
  </si>
  <si>
    <t>2021-11-05T02:16:36Z</t>
  </si>
  <si>
    <t>2021-10-19T07:55:38Z</t>
  </si>
  <si>
    <t>2021-10-16T15:19:32Z</t>
  </si>
  <si>
    <t>2021-10-18T17:48:45Z</t>
  </si>
  <si>
    <t>2021-11-03T00:47:05Z</t>
  </si>
  <si>
    <t>2021-10-31T18:24:29Z</t>
  </si>
  <si>
    <t>2021-10-17T02:00:39Z</t>
  </si>
  <si>
    <t>2021-11-05T23:32:56Z</t>
  </si>
  <si>
    <t>2021-10-01T02:08:38Z</t>
  </si>
  <si>
    <t>2021-10-20T14:26:43Z</t>
  </si>
  <si>
    <t>2021-11-11T09:14:53Z</t>
  </si>
  <si>
    <t>2021-10-16T18:18:47Z</t>
  </si>
  <si>
    <t>2021-10-11T14:44:04Z</t>
  </si>
  <si>
    <t>2021-11-02T01:08:39Z</t>
  </si>
  <si>
    <t>2021-10-25T18:12:04Z</t>
  </si>
  <si>
    <t>2021-11-09T02:17:43Z</t>
  </si>
  <si>
    <t>2021-10-25T21:12:09Z</t>
  </si>
  <si>
    <t>2021-10-17T02:02:26Z</t>
  </si>
  <si>
    <t>2021-11-03T17:21:18Z</t>
  </si>
  <si>
    <t>2021-10-14T14:04:19Z</t>
  </si>
  <si>
    <t>2021-11-05T02:17:34Z</t>
  </si>
  <si>
    <t>2021-10-31T15:38:17Z</t>
  </si>
  <si>
    <t>2021-10-22T12:01:06Z</t>
  </si>
  <si>
    <t>2021-10-25T18:05:25Z</t>
  </si>
  <si>
    <t>2021-11-11T18:57:34Z</t>
  </si>
  <si>
    <t>2021-11-05T02:17:52Z</t>
  </si>
  <si>
    <t>2021-10-01T21:40:19Z</t>
  </si>
  <si>
    <t>2021-10-29T15:56:18Z</t>
  </si>
  <si>
    <t>2021-09-26T14:33:37Z</t>
  </si>
  <si>
    <t>2021-10-03T17:13:42Z</t>
  </si>
  <si>
    <t>2021-10-15T08:00:27Z</t>
  </si>
  <si>
    <t>2021-11-02T01:09:40Z</t>
  </si>
  <si>
    <t>2021-11-03T19:48:51Z</t>
  </si>
  <si>
    <t>2021-10-01T11:37:05Z</t>
  </si>
  <si>
    <t>2021-11-06T13:50:22Z</t>
  </si>
  <si>
    <t>2021-11-12T13:17:06Z</t>
  </si>
  <si>
    <t>2021-10-01T02:09:53Z</t>
  </si>
  <si>
    <t>2021-11-05T19:29:05Z</t>
  </si>
  <si>
    <t>2021-10-28T03:28:05Z</t>
  </si>
  <si>
    <t>2021-10-18T17:49:44Z</t>
  </si>
  <si>
    <t>2021-11-04T09:31:51Z</t>
  </si>
  <si>
    <t>2021-10-12T12:11:18Z</t>
  </si>
  <si>
    <t>2021-11-11T18:58:05Z</t>
  </si>
  <si>
    <t>2021-10-19T14:34:16Z</t>
  </si>
  <si>
    <t>2021-11-01T02:52:40Z</t>
  </si>
  <si>
    <t>2021-10-01T11:37:33Z</t>
  </si>
  <si>
    <t>2021-10-12T16:10:57Z</t>
  </si>
  <si>
    <t>2021-09-29T18:48:19Z</t>
  </si>
  <si>
    <t>2021-10-01T05:01:50Z</t>
  </si>
  <si>
    <t>2021-10-03T20:52:41Z</t>
  </si>
  <si>
    <t>2021-11-03T17:22:22Z</t>
  </si>
  <si>
    <t>2021-11-02T01:10:32Z</t>
  </si>
  <si>
    <t>2021-10-29T09:11:37Z</t>
  </si>
  <si>
    <t>2021-11-11T19:38:28Z</t>
  </si>
  <si>
    <t>2021-11-12T01:28:30Z</t>
  </si>
  <si>
    <t>2021-11-08T16:27:39Z</t>
  </si>
  <si>
    <t>2021-10-17T15:16:59Z</t>
  </si>
  <si>
    <t>2021-11-05T02:35:45Z</t>
  </si>
  <si>
    <t>2021-10-22T16:44:01Z</t>
  </si>
  <si>
    <t>2021-10-09T21:29:49Z</t>
  </si>
  <si>
    <t>2021-11-07T23:32:33Z</t>
  </si>
  <si>
    <t>2021-10-01T05:02:24Z</t>
  </si>
  <si>
    <t>2021-09-27T06:46:27Z</t>
  </si>
  <si>
    <t>2021-10-30T10:30:48Z</t>
  </si>
  <si>
    <t>2021-10-01T11:38:16Z</t>
  </si>
  <si>
    <t>2021-10-24T04:12:37Z</t>
  </si>
  <si>
    <t>2021-11-03T17:22:54Z</t>
  </si>
  <si>
    <t>2021-10-19T14:34:54Z</t>
  </si>
  <si>
    <t>2021-10-01T11:38:41Z</t>
  </si>
  <si>
    <t>2021-10-05T02:24:05Z</t>
  </si>
  <si>
    <t>2021-10-18T20:52:31Z</t>
  </si>
  <si>
    <t>2021-10-09T21:30:14Z</t>
  </si>
  <si>
    <t>2021-11-05T02:38:25Z</t>
  </si>
  <si>
    <t>2021-11-11T19:32:24Z</t>
  </si>
  <si>
    <t>2021-10-07T22:49:04Z</t>
  </si>
  <si>
    <t>2021-11-08T16:28:07Z</t>
  </si>
  <si>
    <t>2021-09-27T06:46:57Z</t>
  </si>
  <si>
    <t>2021-11-02T01:11:52Z</t>
  </si>
  <si>
    <t>2021-10-30T20:17:52Z</t>
  </si>
  <si>
    <t>2021-10-19T08:00:49Z</t>
  </si>
  <si>
    <t>2021-10-01T05:03:18Z</t>
  </si>
  <si>
    <t>2021-10-10T01:43:29Z</t>
  </si>
  <si>
    <t>2021-09-26T20:33:42Z</t>
  </si>
  <si>
    <t>2021-10-16T08:40:34Z</t>
  </si>
  <si>
    <t>2021-10-10T03:27:22Z</t>
  </si>
  <si>
    <t>2021-11-01T08:59:34Z</t>
  </si>
  <si>
    <t>2021-10-01T05:03:49Z</t>
  </si>
  <si>
    <t>2021-10-29T15:58:07Z</t>
  </si>
  <si>
    <t>2021-11-05T02:05:42Z</t>
  </si>
  <si>
    <t>2021-09-26T18:48:35Z</t>
  </si>
  <si>
    <t>2021-10-30T16:05:12Z</t>
  </si>
  <si>
    <t>2021-10-18T07:19:34Z</t>
  </si>
  <si>
    <t>2021-11-02T01:12:45Z</t>
  </si>
  <si>
    <t>2021-11-05T03:09:38Z</t>
  </si>
  <si>
    <t>2021-10-07T22:49:45Z</t>
  </si>
  <si>
    <t>2021-11-04T03:13:24Z</t>
  </si>
  <si>
    <t>2021-10-18T17:51:23Z</t>
  </si>
  <si>
    <t>2021-11-08T16:28:43Z</t>
  </si>
  <si>
    <t>2021-10-01T11:39:42Z</t>
  </si>
  <si>
    <t>2021-10-19T10:52:17Z</t>
  </si>
  <si>
    <t>2021-10-30T10:32:06Z</t>
  </si>
  <si>
    <t>2021-10-07T17:45:52Z</t>
  </si>
  <si>
    <t>2021-09-30T01:57:15Z</t>
  </si>
  <si>
    <t>2021-11-09T03:34:25Z</t>
  </si>
  <si>
    <t>2021-10-29T09:14:23Z</t>
  </si>
  <si>
    <t>2021-10-11T07:54:06Z</t>
  </si>
  <si>
    <t>2021-11-05T02:05:50Z</t>
  </si>
  <si>
    <t>2021-10-18T07:20:18Z</t>
  </si>
  <si>
    <t>2021-10-30T23:05:45Z</t>
  </si>
  <si>
    <t>2021-09-25T21:46:55Z</t>
  </si>
  <si>
    <t>2021-10-01T11:40:08Z</t>
  </si>
  <si>
    <t>2021-10-18T17:51:40Z</t>
  </si>
  <si>
    <t>2021-10-12T13:58:03Z</t>
  </si>
  <si>
    <t>2021-10-04T20:33:11Z</t>
  </si>
  <si>
    <t>2021-11-08T16:29:03Z</t>
  </si>
  <si>
    <t>2021-10-05T23:45:30Z</t>
  </si>
  <si>
    <t>2021-11-02T01:13:28Z</t>
  </si>
  <si>
    <t>2021-10-09T21:31:18Z</t>
  </si>
  <si>
    <t>2021-10-11T17:43:11Z</t>
  </si>
  <si>
    <t>2021-10-21T13:33:48Z</t>
  </si>
  <si>
    <t>2021-10-11T07:55:04Z</t>
  </si>
  <si>
    <t>2021-11-12T01:29:02Z</t>
  </si>
  <si>
    <t>2021-10-18T07:20:54Z</t>
  </si>
  <si>
    <t>2021-11-08T02:01:35Z</t>
  </si>
  <si>
    <t>2021-10-30T10:35:30Z</t>
  </si>
  <si>
    <t>2021-11-05T14:00:50Z</t>
  </si>
  <si>
    <t>2021-11-08T13:38:59Z</t>
  </si>
  <si>
    <t>2021-10-08T18:55:01Z</t>
  </si>
  <si>
    <t>2021-09-29T20:33:41Z</t>
  </si>
  <si>
    <t>2021-10-10T02:34:49Z</t>
  </si>
  <si>
    <t>2021-11-07T23:34:33Z</t>
  </si>
  <si>
    <t>2021-10-11T07:55:24Z</t>
  </si>
  <si>
    <t>2021-10-18T07:21:26Z</t>
  </si>
  <si>
    <t>2021-10-14T13:09:11Z</t>
  </si>
  <si>
    <t>2021-10-14T21:38:58Z</t>
  </si>
  <si>
    <t>2021-10-19T14:36:38Z</t>
  </si>
  <si>
    <t>2021-11-09T22:23:20Z</t>
  </si>
  <si>
    <t>2021-10-19T14:36:44Z</t>
  </si>
  <si>
    <t>2021-10-16T10:06:49Z</t>
  </si>
  <si>
    <t>2021-11-05T02:34:43Z</t>
  </si>
  <si>
    <t>2021-11-02T01:14:24Z</t>
  </si>
  <si>
    <t>2021-10-24T13:30:13Z</t>
  </si>
  <si>
    <t>2021-11-05T02:35:02Z</t>
  </si>
  <si>
    <t>2021-10-01T17:42:17Z</t>
  </si>
  <si>
    <t>2021-11-02T01:14:42Z</t>
  </si>
  <si>
    <t>2021-10-14T17:34:43Z</t>
  </si>
  <si>
    <t>2021-11-05T02:41:33Z</t>
  </si>
  <si>
    <t>2021-11-10T09:03:20Z</t>
  </si>
  <si>
    <t>2021-10-19T12:33:08Z</t>
  </si>
  <si>
    <t>2021-09-27T15:50:39Z</t>
  </si>
  <si>
    <t>2021-10-23T17:44:09Z</t>
  </si>
  <si>
    <t>2021-10-18T07:22:38Z</t>
  </si>
  <si>
    <t>2021-10-19T14:37:04Z</t>
  </si>
  <si>
    <t>2021-10-15T09:18:58Z</t>
  </si>
  <si>
    <t>2021-10-14T13:08:18Z</t>
  </si>
  <si>
    <t>2021-10-11T07:56:15Z</t>
  </si>
  <si>
    <t>2021-09-27T23:36:33Z</t>
  </si>
  <si>
    <t>2021-09-27T23:35:17Z</t>
  </si>
  <si>
    <t>2021-11-01T02:58:52Z</t>
  </si>
  <si>
    <t>2021-09-27T23:37:43Z</t>
  </si>
  <si>
    <t>2021-10-18T07:23:08Z</t>
  </si>
  <si>
    <t>2021-11-03T03:14:48Z</t>
  </si>
  <si>
    <t>2021-10-19T18:37:31Z</t>
  </si>
  <si>
    <t>2021-10-30T10:33:27Z</t>
  </si>
  <si>
    <t>2021-11-10T09:03:48Z</t>
  </si>
  <si>
    <t>2021-10-28T03:15:41Z</t>
  </si>
  <si>
    <t>2021-10-14T13:07:55Z</t>
  </si>
  <si>
    <t>2021-10-18T07:23:20Z</t>
  </si>
  <si>
    <t>2021-10-28T03:16:17Z</t>
  </si>
  <si>
    <t>2021-10-19T11:19:36Z</t>
  </si>
  <si>
    <t>2021-11-09T19:17:27Z</t>
  </si>
  <si>
    <t>2021-10-29T19:43:44Z</t>
  </si>
  <si>
    <t>2021-10-27T05:01:47Z</t>
  </si>
  <si>
    <t>2021-10-04T20:34:17Z</t>
  </si>
  <si>
    <t>2021-10-18T07:23:48Z</t>
  </si>
  <si>
    <t>2021-10-28T03:15:54Z</t>
  </si>
  <si>
    <t>2021-10-29T15:59:59Z</t>
  </si>
  <si>
    <t>2021-11-08T16:30:35Z</t>
  </si>
  <si>
    <t>2021-10-17T09:14:07Z</t>
  </si>
  <si>
    <t>2021-10-18T07:24:00Z</t>
  </si>
  <si>
    <t>2021-09-28T08:54:41Z</t>
  </si>
  <si>
    <t>2021-10-30T14:03:01Z</t>
  </si>
  <si>
    <t>2021-11-03T03:15:10Z</t>
  </si>
  <si>
    <t>2021-10-21T15:29:26Z</t>
  </si>
  <si>
    <t>2021-11-03T03:15:23Z</t>
  </si>
  <si>
    <t>2021-10-12T11:56:04Z</t>
  </si>
  <si>
    <t>2021-10-30T03:02:23Z</t>
  </si>
  <si>
    <t>2021-11-12T08:46:42Z</t>
  </si>
  <si>
    <t>2021-10-17T15:26:43Z</t>
  </si>
  <si>
    <t>2021-11-05T02:24:56Z</t>
  </si>
  <si>
    <t>2021-10-27T10:28:51Z</t>
  </si>
  <si>
    <t>2021-09-27T00:04:26Z</t>
  </si>
  <si>
    <t>2021-11-02T01:16:45Z</t>
  </si>
  <si>
    <t>2021-11-08T16:31:00Z</t>
  </si>
  <si>
    <t>2021-10-31T09:46:36Z</t>
  </si>
  <si>
    <t>2021-11-07T22:43:41Z</t>
  </si>
  <si>
    <t>2021-10-30T14:03:25Z</t>
  </si>
  <si>
    <t>2021-11-07T23:28:50Z</t>
  </si>
  <si>
    <t>2021-11-07T23:29:29Z</t>
  </si>
  <si>
    <t>2021-11-07T23:27:22Z</t>
  </si>
  <si>
    <t>2021-10-31T08:56:26Z</t>
  </si>
  <si>
    <t>2021-11-07T23:27:52Z</t>
  </si>
  <si>
    <t>2021-09-29T14:15:26Z</t>
  </si>
  <si>
    <t>2021-09-28T08:55:04Z</t>
  </si>
  <si>
    <t>2021-10-08T16:57:43Z</t>
  </si>
  <si>
    <t>2021-10-18T07:24:58Z</t>
  </si>
  <si>
    <t>2021-10-30T14:03:37Z</t>
  </si>
  <si>
    <t>2021-11-10T17:34:36Z</t>
  </si>
  <si>
    <t>2021-10-17T10:00:27Z</t>
  </si>
  <si>
    <t>2021-09-26T12:00:21Z</t>
  </si>
  <si>
    <t>2021-09-28T08:55:23Z</t>
  </si>
  <si>
    <t>2021-10-08T05:13:23Z</t>
  </si>
  <si>
    <t>2021-10-28T03:12:28Z</t>
  </si>
  <si>
    <t>2021-10-30T14:03:49Z</t>
  </si>
  <si>
    <t>2021-10-16T02:07:29Z</t>
  </si>
  <si>
    <t>2021-11-01T03:01:27Z</t>
  </si>
  <si>
    <t>2021-10-02T14:02:52Z</t>
  </si>
  <si>
    <t>2021-11-12T04:51:43Z</t>
  </si>
  <si>
    <t>2021-10-29T16:00:47Z</t>
  </si>
  <si>
    <t>2021-11-01T03:01:46Z</t>
  </si>
  <si>
    <t>2021-10-15T04:58:18Z</t>
  </si>
  <si>
    <t>2021-10-18T20:56:26Z</t>
  </si>
  <si>
    <t>2021-10-02T19:14:57Z</t>
  </si>
  <si>
    <t>2021-11-08T16:31:30Z</t>
  </si>
  <si>
    <t>2021-10-31T08:57:01Z</t>
  </si>
  <si>
    <t>2021-10-30T14:04:02Z</t>
  </si>
  <si>
    <t>2021-10-18T07:26:03Z</t>
  </si>
  <si>
    <t>2021-10-13T13:44:28Z</t>
  </si>
  <si>
    <t>2021-11-04T01:50:45Z</t>
  </si>
  <si>
    <t>2021-10-31T08:57:13Z</t>
  </si>
  <si>
    <t>2021-11-11T00:11:03Z</t>
  </si>
  <si>
    <t>2021-10-19T13:28:13Z</t>
  </si>
  <si>
    <t>2021-10-13T19:30:59Z</t>
  </si>
  <si>
    <t>2021-10-31T08:57:20Z</t>
  </si>
  <si>
    <t>2021-11-01T03:02:21Z</t>
  </si>
  <si>
    <t>2021-11-10T02:26:30Z</t>
  </si>
  <si>
    <t>2021-10-31T17:36:23Z</t>
  </si>
  <si>
    <t>2021-10-30T16:15:34Z</t>
  </si>
  <si>
    <t>2021-10-19T20:58:31Z</t>
  </si>
  <si>
    <t>2021-09-27T00:06:08Z</t>
  </si>
  <si>
    <t>2021-11-02T01:18:48Z</t>
  </si>
  <si>
    <t>2021-10-18T07:26:44Z</t>
  </si>
  <si>
    <t>2021-11-05T02:26:45Z</t>
  </si>
  <si>
    <t>2021-10-08T17:19:30Z</t>
  </si>
  <si>
    <t>2021-10-31T09:48:12Z</t>
  </si>
  <si>
    <t>2021-10-26T08:30:08Z</t>
  </si>
  <si>
    <t>2021-10-31T08:00:41Z</t>
  </si>
  <si>
    <t>2021-11-02T07:21:32Z</t>
  </si>
  <si>
    <t>2021-09-27T18:43:55Z</t>
  </si>
  <si>
    <t>2021-10-18T07:27:22Z</t>
  </si>
  <si>
    <t>2021-10-08T17:25:16Z</t>
  </si>
  <si>
    <t>2021-11-11T19:34:45Z</t>
  </si>
  <si>
    <t>2021-10-06T10:59:45Z</t>
  </si>
  <si>
    <t>2021-10-20T16:02:49Z</t>
  </si>
  <si>
    <t>2021-11-09T21:11:44Z</t>
  </si>
  <si>
    <t>2021-11-07T16:08:17Z</t>
  </si>
  <si>
    <t>2021-10-10T22:04:44Z</t>
  </si>
  <si>
    <t>2021-11-05T02:21:06Z</t>
  </si>
  <si>
    <t>2021-10-11T00:25:50Z</t>
  </si>
  <si>
    <t>2021-10-27T04:58:35Z</t>
  </si>
  <si>
    <t>2021-09-29T20:34:17Z</t>
  </si>
  <si>
    <t>2021-10-27T04:53:37Z</t>
  </si>
  <si>
    <t>2021-10-27T04:50:45Z</t>
  </si>
  <si>
    <t>2021-09-29T20:31:19Z</t>
  </si>
  <si>
    <t>2021-10-27T04:59:38Z</t>
  </si>
  <si>
    <t>2021-10-27T04:53:54Z</t>
  </si>
  <si>
    <t>2021-11-04T23:59:16Z</t>
  </si>
  <si>
    <t>2021-10-19T14:34:26Z</t>
  </si>
  <si>
    <t>2021-10-04T14:52:56Z</t>
  </si>
  <si>
    <t>2021-10-15T15:22:15Z</t>
  </si>
  <si>
    <t>2021-10-16T03:40:19Z</t>
  </si>
  <si>
    <t>2021-11-08T16:12:45Z</t>
  </si>
  <si>
    <t>2021-10-02T15:38:04Z</t>
  </si>
  <si>
    <t>2021-11-10T01:28:28Z</t>
  </si>
  <si>
    <t>2021-10-10T22:05:15Z</t>
  </si>
  <si>
    <t>2021-09-28T08:59:07Z</t>
  </si>
  <si>
    <t>2021-11-09T10:01:00Z</t>
  </si>
  <si>
    <t>2021-10-31T00:47:10Z</t>
  </si>
  <si>
    <t>2021-09-26T12:02:35Z</t>
  </si>
  <si>
    <t>2021-11-11T12:44:04Z</t>
  </si>
  <si>
    <t>2021-11-05T00:00:16Z</t>
  </si>
  <si>
    <t>2021-10-10T00:32:22Z</t>
  </si>
  <si>
    <t>2021-10-27T18:38:20Z</t>
  </si>
  <si>
    <t>2021-10-30T14:23:42Z</t>
  </si>
  <si>
    <t>2021-11-08T06:18:30Z</t>
  </si>
  <si>
    <t>2021-11-01T14:50:29Z</t>
  </si>
  <si>
    <t>2021-10-27T18:38:41Z</t>
  </si>
  <si>
    <t>2021-09-26T23:38:52Z</t>
  </si>
  <si>
    <t>2021-09-29T15:53:02Z</t>
  </si>
  <si>
    <t>2021-09-30T22:40:53Z</t>
  </si>
  <si>
    <t>2021-10-18T17:56:26Z</t>
  </si>
  <si>
    <t>2021-10-01T03:45:05Z</t>
  </si>
  <si>
    <t>2021-10-29T16:03:17Z</t>
  </si>
  <si>
    <t>2021-11-01T17:39:55Z</t>
  </si>
  <si>
    <t>2021-11-07T10:38:29Z</t>
  </si>
  <si>
    <t>2021-11-02T17:41:18Z</t>
  </si>
  <si>
    <t>2021-11-11T19:03:33Z</t>
  </si>
  <si>
    <t>2021-10-28T14:52:10Z</t>
  </si>
  <si>
    <t>2021-10-18T07:30:48Z</t>
  </si>
  <si>
    <t>2021-10-07T17:21:07Z</t>
  </si>
  <si>
    <t>2021-11-05T02:27:02Z</t>
  </si>
  <si>
    <t>2021-11-11T09:29:40Z</t>
  </si>
  <si>
    <t>2021-10-19T02:54:55Z</t>
  </si>
  <si>
    <t>2021-10-01T15:27:52Z</t>
  </si>
  <si>
    <t>2021-11-05T14:06:14Z</t>
  </si>
  <si>
    <t>2021-10-09T17:20:22Z</t>
  </si>
  <si>
    <t>2021-09-28T21:37:00Z</t>
  </si>
  <si>
    <t>2021-10-18T01:21:25Z</t>
  </si>
  <si>
    <t>2021-11-05T02:29:55Z</t>
  </si>
  <si>
    <t>2021-10-27T18:44:48Z</t>
  </si>
  <si>
    <t>2021-10-27T16:23:16Z</t>
  </si>
  <si>
    <t>2021-10-25T20:37:25Z</t>
  </si>
  <si>
    <t>2021-11-07T05:36:19Z</t>
  </si>
  <si>
    <t>2021-10-04T23:16:15Z</t>
  </si>
  <si>
    <t>2021-10-08T17:29:23Z</t>
  </si>
  <si>
    <t>2021-10-08T17:28:34Z</t>
  </si>
  <si>
    <t>2021-10-23T17:45:01Z</t>
  </si>
  <si>
    <t>2021-10-10T14:40:35Z</t>
  </si>
  <si>
    <t>2021-11-09T21:03:24Z</t>
  </si>
  <si>
    <t>2021-10-29T03:47:19Z</t>
  </si>
  <si>
    <t>2021-11-09T14:54:09Z</t>
  </si>
  <si>
    <t>2021-10-17T20:08:39Z</t>
  </si>
  <si>
    <t>2021-11-05T18:54:03Z</t>
  </si>
  <si>
    <t>2021-10-12T11:51:51Z</t>
  </si>
  <si>
    <t>2021-10-21T23:34:08Z</t>
  </si>
  <si>
    <t>2021-10-08T17:31:08Z</t>
  </si>
  <si>
    <t>2021-11-07T05:37:15Z</t>
  </si>
  <si>
    <t>2021-11-09T14:53:25Z</t>
  </si>
  <si>
    <t>2021-11-01T20:05:49Z</t>
  </si>
  <si>
    <t>2021-11-07T05:38:52Z</t>
  </si>
  <si>
    <t>2021-10-13T13:43:48Z</t>
  </si>
  <si>
    <t>2021-11-01T13:46:07Z</t>
  </si>
  <si>
    <t>2021-10-30T03:59:34Z</t>
  </si>
  <si>
    <t>2021-11-06T17:53:14Z</t>
  </si>
  <si>
    <t>2021-10-10T07:01:39Z</t>
  </si>
  <si>
    <t>2021-11-07T05:37:35Z</t>
  </si>
  <si>
    <t>2021-11-11T05:10:46Z</t>
  </si>
  <si>
    <t>2021-10-16T03:38:57Z</t>
  </si>
  <si>
    <t>2021-10-05T08:08:38Z</t>
  </si>
  <si>
    <t>2021-10-18T17:58:31Z</t>
  </si>
  <si>
    <t>2021-11-09T05:42:38Z</t>
  </si>
  <si>
    <t>2021-10-07T19:24:02Z</t>
  </si>
  <si>
    <t>2021-11-07T05:37:55Z</t>
  </si>
  <si>
    <t>2021-10-01T14:40:27Z</t>
  </si>
  <si>
    <t>2021-10-19T02:01:46Z</t>
  </si>
  <si>
    <t>2021-11-07T16:11:04Z</t>
  </si>
  <si>
    <t>2021-11-02T20:20:03Z</t>
  </si>
  <si>
    <t>2021-10-27T18:09:08Z</t>
  </si>
  <si>
    <t>2021-10-17T18:50:17Z</t>
  </si>
  <si>
    <t>2021-10-18T09:09:58Z</t>
  </si>
  <si>
    <t>2021-11-09T21:12:16Z</t>
  </si>
  <si>
    <t>2021-10-10T07:02:40Z</t>
  </si>
  <si>
    <t>2021-10-23T15:49:53Z</t>
  </si>
  <si>
    <t>2021-10-18T07:34:55Z</t>
  </si>
  <si>
    <t>2021-10-19T18:05:56Z</t>
  </si>
  <si>
    <t>2021-11-05T02:41:39Z</t>
  </si>
  <si>
    <t>2021-10-26T23:46:22Z</t>
  </si>
  <si>
    <t>2021-10-18T17:59:23Z</t>
  </si>
  <si>
    <t>2021-10-27T04:51:58Z</t>
  </si>
  <si>
    <t>2021-10-27T04:50:17Z</t>
  </si>
  <si>
    <t>2021-10-27T04:52:45Z</t>
  </si>
  <si>
    <t>2021-10-14T11:37:57Z</t>
  </si>
  <si>
    <t>2021-09-27T14:03:45Z</t>
  </si>
  <si>
    <t>2021-11-07T05:39:50Z</t>
  </si>
  <si>
    <t>2021-11-10T15:54:31Z</t>
  </si>
  <si>
    <t>2021-11-07T23:44:49Z</t>
  </si>
  <si>
    <t>2021-10-29T03:48:14Z</t>
  </si>
  <si>
    <t>2021-11-09T10:29:38Z</t>
  </si>
  <si>
    <t>2021-10-14T20:03:35Z</t>
  </si>
  <si>
    <t>2021-10-25T18:09:17Z</t>
  </si>
  <si>
    <t>2021-10-24T15:05:58Z</t>
  </si>
  <si>
    <t>2021-10-23T17:45:34Z</t>
  </si>
  <si>
    <t>2021-10-25T09:51:19Z</t>
  </si>
  <si>
    <t>2021-10-19T15:35:59Z</t>
  </si>
  <si>
    <t>2021-11-08T07:29:01Z</t>
  </si>
  <si>
    <t>2021-11-01T13:48:04Z</t>
  </si>
  <si>
    <t>2021-10-30T16:20:33Z</t>
  </si>
  <si>
    <t>2021-10-18T07:36:34Z</t>
  </si>
  <si>
    <t>2021-09-30T06:48:44Z</t>
  </si>
  <si>
    <t>2021-10-27T10:57:45Z</t>
  </si>
  <si>
    <t>2021-10-18T07:36:41Z</t>
  </si>
  <si>
    <t>2021-10-24T15:06:19Z</t>
  </si>
  <si>
    <t>2021-11-03T19:23:34Z</t>
  </si>
  <si>
    <t>2021-10-18T18:00:18Z</t>
  </si>
  <si>
    <t>2021-10-24T00:33:19Z</t>
  </si>
  <si>
    <t>2021-10-05T02:30:40Z</t>
  </si>
  <si>
    <t>2021-11-01T16:52:29Z</t>
  </si>
  <si>
    <t>2021-10-27T13:16:25Z</t>
  </si>
  <si>
    <t>2021-10-19T15:36:27Z</t>
  </si>
  <si>
    <t>2021-09-28T22:57:16Z</t>
  </si>
  <si>
    <t>2021-10-05T18:39:26Z</t>
  </si>
  <si>
    <t>2021-09-27T18:29:48Z</t>
  </si>
  <si>
    <t>2021-10-16T02:19:55Z</t>
  </si>
  <si>
    <t>2021-10-29T03:50:25Z</t>
  </si>
  <si>
    <t>2021-11-11T19:24:57Z</t>
  </si>
  <si>
    <t>2021-10-09T00:10:04Z</t>
  </si>
  <si>
    <t>2021-10-11T06:44:44Z</t>
  </si>
  <si>
    <t>2021-10-26T23:48:25Z</t>
  </si>
  <si>
    <t>2021-10-03T15:54:02Z</t>
  </si>
  <si>
    <t>2021-11-02T01:13:43Z</t>
  </si>
  <si>
    <t>2021-11-04T09:43:29Z</t>
  </si>
  <si>
    <t>2021-10-02T21:23:49Z</t>
  </si>
  <si>
    <t>2021-11-08T02:05:12Z</t>
  </si>
  <si>
    <t>2021-11-07T05:41:58Z</t>
  </si>
  <si>
    <t>2021-10-29T16:07:39Z</t>
  </si>
  <si>
    <t>2021-09-30T14:45:35Z</t>
  </si>
  <si>
    <t>2021-11-11T19:32:05Z</t>
  </si>
  <si>
    <t>2021-11-08T02:05:39Z</t>
  </si>
  <si>
    <t>2021-11-06T20:07:10Z</t>
  </si>
  <si>
    <t>2021-10-25T22:31:13Z</t>
  </si>
  <si>
    <t>2021-10-29T12:52:06Z</t>
  </si>
  <si>
    <t>2021-10-28T14:51:51Z</t>
  </si>
  <si>
    <t>2021-11-08T12:56:18Z</t>
  </si>
  <si>
    <t>2021-11-07T05:42:29Z</t>
  </si>
  <si>
    <t>2021-10-26T08:32:29Z</t>
  </si>
  <si>
    <t>2021-10-14T13:08:59Z</t>
  </si>
  <si>
    <t>2021-11-10T16:23:33Z</t>
  </si>
  <si>
    <t>2021-11-08T02:06:03Z</t>
  </si>
  <si>
    <t>2021-10-02T19:59:14Z</t>
  </si>
  <si>
    <t>2021-11-11T12:50:32Z</t>
  </si>
  <si>
    <t>2021-09-28T05:03:24Z</t>
  </si>
  <si>
    <t>2021-10-28T23:47:03Z</t>
  </si>
  <si>
    <t>2021-11-10T19:10:20Z</t>
  </si>
  <si>
    <t>2021-10-31T15:33:15Z</t>
  </si>
  <si>
    <t>2021-10-05T08:13:09Z</t>
  </si>
  <si>
    <t>2021-10-17T14:12:23Z</t>
  </si>
  <si>
    <t>2021-11-08T18:52:43Z</t>
  </si>
  <si>
    <t>2021-11-08T16:31:29Z</t>
  </si>
  <si>
    <t>2021-10-29T14:34:13Z</t>
  </si>
  <si>
    <t>2021-10-25T09:17:16Z</t>
  </si>
  <si>
    <t>2021-10-01T21:28:31Z</t>
  </si>
  <si>
    <t>2021-10-18T17:51:58Z</t>
  </si>
  <si>
    <t>2021-10-03T07:18:53Z</t>
  </si>
  <si>
    <t>2021-10-05T05:20:28Z</t>
  </si>
  <si>
    <t>2021-10-10T09:01:44Z</t>
  </si>
  <si>
    <t>2021-09-27T07:05:39Z</t>
  </si>
  <si>
    <t>2021-10-14T13:07:33Z</t>
  </si>
  <si>
    <t>2021-09-26T12:08:36Z</t>
  </si>
  <si>
    <t>2021-10-06T09:05:22Z</t>
  </si>
  <si>
    <t>2021-10-18T07:40:04Z</t>
  </si>
  <si>
    <t>2021-10-12T13:48:04Z</t>
  </si>
  <si>
    <t>2021-10-03T07:19:16Z</t>
  </si>
  <si>
    <t>2021-10-08T16:04:24Z</t>
  </si>
  <si>
    <t>2021-10-03T07:19:23Z</t>
  </si>
  <si>
    <t>2021-11-04T09:28:54Z</t>
  </si>
  <si>
    <t>2021-10-10T09:02:08Z</t>
  </si>
  <si>
    <t>2021-10-29T16:09:08Z</t>
  </si>
  <si>
    <t>2021-10-24T15:08:09Z</t>
  </si>
  <si>
    <t>2021-10-25T22:33:29Z</t>
  </si>
  <si>
    <t>2021-11-11T19:37:46Z</t>
  </si>
  <si>
    <t>2021-11-02T13:01:39Z</t>
  </si>
  <si>
    <t>2021-09-27T07:06:45Z</t>
  </si>
  <si>
    <t>2021-11-07T23:30:02Z</t>
  </si>
  <si>
    <t>2021-11-11T19:25:35Z</t>
  </si>
  <si>
    <t>2021-11-11T19:34:56Z</t>
  </si>
  <si>
    <t>2021-10-18T07:40:54Z</t>
  </si>
  <si>
    <t>2021-10-14T20:03:48Z</t>
  </si>
  <si>
    <t>2021-10-03T07:19:58Z</t>
  </si>
  <si>
    <t>2021-11-11T19:27:30Z</t>
  </si>
  <si>
    <t>2021-11-09T18:43:22Z</t>
  </si>
  <si>
    <t>2021-09-25T21:58:14Z</t>
  </si>
  <si>
    <t>2021-10-10T07:07:56Z</t>
  </si>
  <si>
    <t>2021-10-18T07:41:10Z</t>
  </si>
  <si>
    <t>2021-10-31T16:09:30Z</t>
  </si>
  <si>
    <t>2021-11-08T02:08:50Z</t>
  </si>
  <si>
    <t>2021-11-11T18:28:27Z</t>
  </si>
  <si>
    <t>2021-10-18T07:41:28Z</t>
  </si>
  <si>
    <t>2021-11-09T12:55:46Z</t>
  </si>
  <si>
    <t>2021-10-08T17:30:51Z</t>
  </si>
  <si>
    <t>2021-11-11T23:24:38Z</t>
  </si>
  <si>
    <t>2021-11-07T05:45:43Z</t>
  </si>
  <si>
    <t>2021-11-03T18:26:05Z</t>
  </si>
  <si>
    <t>2021-11-11T19:37:32Z</t>
  </si>
  <si>
    <t>2021-10-17T03:53:28Z</t>
  </si>
  <si>
    <t>2021-09-29T13:32:52Z</t>
  </si>
  <si>
    <t>2021-10-31T12:44:19Z</t>
  </si>
  <si>
    <t>2021-11-09T14:27:28Z</t>
  </si>
  <si>
    <t>2021-10-03T07:20:33Z</t>
  </si>
  <si>
    <t>2021-10-29T03:57:37Z</t>
  </si>
  <si>
    <t>2021-10-18T07:36:54Z</t>
  </si>
  <si>
    <t>2021-11-07T05:46:00Z</t>
  </si>
  <si>
    <t>2021-10-18T07:42:26Z</t>
  </si>
  <si>
    <t>2021-11-11T19:32:50Z</t>
  </si>
  <si>
    <t>2021-10-19T15:39:36Z</t>
  </si>
  <si>
    <t>2021-11-05T02:35:59Z</t>
  </si>
  <si>
    <t>2021-10-03T07:20:45Z</t>
  </si>
  <si>
    <t>2021-11-11T19:32:53Z</t>
  </si>
  <si>
    <t>2021-10-01T21:30:50Z</t>
  </si>
  <si>
    <t>2021-11-07T05:13:48Z</t>
  </si>
  <si>
    <t>2021-10-03T07:20:55Z</t>
  </si>
  <si>
    <t>2021-10-31T14:51:28Z</t>
  </si>
  <si>
    <t>2021-11-08T02:10:20Z</t>
  </si>
  <si>
    <t>2021-10-18T07:43:10Z</t>
  </si>
  <si>
    <t>2021-10-08T22:19:53Z</t>
  </si>
  <si>
    <t>2021-10-18T07:43:39Z</t>
  </si>
  <si>
    <t>2021-10-29T03:59:09Z</t>
  </si>
  <si>
    <t>2021-09-26T05:42:55Z</t>
  </si>
  <si>
    <t>2021-09-29T13:33:54Z</t>
  </si>
  <si>
    <t>2021-10-18T07:43:56Z</t>
  </si>
  <si>
    <t>2021-10-31T21:31:29Z</t>
  </si>
  <si>
    <t>2021-11-08T02:11:00Z</t>
  </si>
  <si>
    <t>2021-11-07T05:47:14Z</t>
  </si>
  <si>
    <t>2021-10-18T07:44:10Z</t>
  </si>
  <si>
    <t>2021-10-01T04:01:30Z</t>
  </si>
  <si>
    <t>2021-10-18T07:44:21Z</t>
  </si>
  <si>
    <t>2021-10-19T12:50:45Z</t>
  </si>
  <si>
    <t>2021-11-06T17:18:39Z</t>
  </si>
  <si>
    <t>2021-10-15T15:18:13Z</t>
  </si>
  <si>
    <t>2021-11-05T02:36:51Z</t>
  </si>
  <si>
    <t>2021-10-18T07:44:41Z</t>
  </si>
  <si>
    <t>2021-10-14T23:08:12Z</t>
  </si>
  <si>
    <t>2021-10-01T14:47:39Z</t>
  </si>
  <si>
    <t>2021-11-04T09:34:43Z</t>
  </si>
  <si>
    <t>2021-10-01T12:13:20Z</t>
  </si>
  <si>
    <t>2021-10-20T17:43:42Z</t>
  </si>
  <si>
    <t>2021-09-26T02:04:37Z</t>
  </si>
  <si>
    <t>2021-11-03T17:23:21Z</t>
  </si>
  <si>
    <t>2021-11-05T02:09:45Z</t>
  </si>
  <si>
    <t>2021-10-17T02:38:22Z</t>
  </si>
  <si>
    <t>2021-11-01T17:56:26Z</t>
  </si>
  <si>
    <t>2021-10-21T16:37:56Z</t>
  </si>
  <si>
    <t>2021-11-05T21:13:19Z</t>
  </si>
  <si>
    <t>2021-10-18T07:45:30Z</t>
  </si>
  <si>
    <t>2021-11-08T02:12:03Z</t>
  </si>
  <si>
    <t>2021-10-04T13:24:02Z</t>
  </si>
  <si>
    <t>2021-10-20T17:31:50Z</t>
  </si>
  <si>
    <t>2021-10-11T21:33:54Z</t>
  </si>
  <si>
    <t>2021-10-07T23:13:27Z</t>
  </si>
  <si>
    <t>2021-10-07T13:37:45Z</t>
  </si>
  <si>
    <t>2021-11-08T02:12:25Z</t>
  </si>
  <si>
    <t>2021-10-14T23:09:07Z</t>
  </si>
  <si>
    <t>2021-11-11T21:24:35Z</t>
  </si>
  <si>
    <t>2021-10-14T23:09:13Z</t>
  </si>
  <si>
    <t>2021-11-08T02:12:35Z</t>
  </si>
  <si>
    <t>2021-10-08T17:00:55Z</t>
  </si>
  <si>
    <t>2021-10-23T15:54:48Z</t>
  </si>
  <si>
    <t>2021-10-14T23:09:20Z</t>
  </si>
  <si>
    <t>2021-10-07T23:13:46Z</t>
  </si>
  <si>
    <t>2021-09-27T04:14:10Z</t>
  </si>
  <si>
    <t>2021-11-04T09:43:50Z</t>
  </si>
  <si>
    <t>2021-10-10T07:10:58Z</t>
  </si>
  <si>
    <t>2021-11-04T09:35:53Z</t>
  </si>
  <si>
    <t>2021-10-11T14:03:43Z</t>
  </si>
  <si>
    <t>2021-11-11T19:32:19Z</t>
  </si>
  <si>
    <t>2021-10-18T07:22:51Z</t>
  </si>
  <si>
    <t>2021-10-07T23:14:24Z</t>
  </si>
  <si>
    <t>2021-11-11T19:32:12Z</t>
  </si>
  <si>
    <t>2021-10-31T18:45:27Z</t>
  </si>
  <si>
    <t>2021-10-22T11:40:44Z</t>
  </si>
  <si>
    <t>2021-11-07T15:02:47Z</t>
  </si>
  <si>
    <t>2021-10-29T16:07:15Z</t>
  </si>
  <si>
    <t>2021-09-27T04:15:01Z</t>
  </si>
  <si>
    <t>2021-11-05T02:34:17Z</t>
  </si>
  <si>
    <t>2021-11-05T00:36:55Z</t>
  </si>
  <si>
    <t>2021-09-27T23:37:08Z</t>
  </si>
  <si>
    <t>2021-10-09T23:38:03Z</t>
  </si>
  <si>
    <t>2021-10-19T12:53:52Z</t>
  </si>
  <si>
    <t>2021-09-30T21:34:32Z</t>
  </si>
  <si>
    <t>2021-11-04T09:36:53Z</t>
  </si>
  <si>
    <t>2021-10-20T17:32:42Z</t>
  </si>
  <si>
    <t>2021-09-27T20:50:59Z</t>
  </si>
  <si>
    <t>2021-10-19T18:04:58Z</t>
  </si>
  <si>
    <t>2021-10-20T16:42:33Z</t>
  </si>
  <si>
    <t>2021-10-27T21:43:42Z</t>
  </si>
  <si>
    <t>2021-10-03T17:32:20Z</t>
  </si>
  <si>
    <t>2021-11-04T09:37:41Z</t>
  </si>
  <si>
    <t>2021-11-05T02:27:29Z</t>
  </si>
  <si>
    <t>2021-10-17T21:51:39Z</t>
  </si>
  <si>
    <t>2021-10-06T21:29:19Z</t>
  </si>
  <si>
    <t>2021-10-24T09:38:53Z</t>
  </si>
  <si>
    <t>2021-11-04T09:38:16Z</t>
  </si>
  <si>
    <t>2021-11-05T02:39:39Z</t>
  </si>
  <si>
    <t>2021-10-06T19:50:24Z</t>
  </si>
  <si>
    <t>2021-11-08T05:07:36Z</t>
  </si>
  <si>
    <t>2021-11-09T15:46:32Z</t>
  </si>
  <si>
    <t>2021-10-31T14:53:55Z</t>
  </si>
  <si>
    <t>2021-10-13T16:42:33Z</t>
  </si>
  <si>
    <t>2021-10-23T08:22:06Z</t>
  </si>
  <si>
    <t>2021-11-02T20:19:49Z</t>
  </si>
  <si>
    <t>2021-09-30T03:58:30Z</t>
  </si>
  <si>
    <t>2021-10-21T22:08:18Z</t>
  </si>
  <si>
    <t>2021-10-04T08:56:34Z</t>
  </si>
  <si>
    <t>2021-10-11T06:57:27Z</t>
  </si>
  <si>
    <t>2021-10-25T04:47:33Z</t>
  </si>
  <si>
    <t>2021-10-05T21:22:33Z</t>
  </si>
  <si>
    <t>2021-10-20T17:33:40Z</t>
  </si>
  <si>
    <t>2021-10-07T15:20:00Z</t>
  </si>
  <si>
    <t>2021-10-17T17:35:00Z</t>
  </si>
  <si>
    <t>2021-11-04T05:15:26Z</t>
  </si>
  <si>
    <t>2021-11-11T07:36:47Z</t>
  </si>
  <si>
    <t>2021-10-17T21:52:30Z</t>
  </si>
  <si>
    <t>2021-11-11T19:38:16Z</t>
  </si>
  <si>
    <t>2021-11-09T18:47:27Z</t>
  </si>
  <si>
    <t>2021-10-03T07:25:36Z</t>
  </si>
  <si>
    <t>2021-11-02T20:20:15Z</t>
  </si>
  <si>
    <t>2021-10-28T23:46:32Z</t>
  </si>
  <si>
    <t>2021-11-03T13:13:42Z</t>
  </si>
  <si>
    <t>2021-11-09T20:56:00Z</t>
  </si>
  <si>
    <t>2021-10-05T16:36:12Z</t>
  </si>
  <si>
    <t>2021-10-20T07:24:01Z</t>
  </si>
  <si>
    <t>2021-10-05T21:11:11Z</t>
  </si>
  <si>
    <t>2021-11-07T07:57:32Z</t>
  </si>
  <si>
    <t>2021-10-05T02:26:15Z</t>
  </si>
  <si>
    <t>2021-10-19T12:56:23Z</t>
  </si>
  <si>
    <t>2021-10-28T21:29:18Z</t>
  </si>
  <si>
    <t>2021-10-27T21:46:07Z</t>
  </si>
  <si>
    <t>2021-10-12T04:15:32Z</t>
  </si>
  <si>
    <t>2021-10-20T17:34:19Z</t>
  </si>
  <si>
    <t>2021-10-20T17:34:23Z</t>
  </si>
  <si>
    <t>2021-11-01T01:56:59Z</t>
  </si>
  <si>
    <t>2021-10-12T23:16:54Z</t>
  </si>
  <si>
    <t>2021-11-05T19:30:48Z</t>
  </si>
  <si>
    <t>2021-10-28T18:09:46Z</t>
  </si>
  <si>
    <t>2021-11-10T21:43:27Z</t>
  </si>
  <si>
    <t>2021-10-28T03:43:12Z</t>
  </si>
  <si>
    <t>2021-11-06T13:32:53Z</t>
  </si>
  <si>
    <t>2021-10-08T03:53:57Z</t>
  </si>
  <si>
    <t>2021-11-05T02:37:08Z</t>
  </si>
  <si>
    <t>2021-11-09T21:48:26Z</t>
  </si>
  <si>
    <t>2021-10-31T07:20:15Z</t>
  </si>
  <si>
    <t>2021-10-07T23:18:39Z</t>
  </si>
  <si>
    <t>2021-10-06T21:31:39Z</t>
  </si>
  <si>
    <t>2021-11-08T22:58:48Z</t>
  </si>
  <si>
    <t>2021-11-09T04:29:34Z</t>
  </si>
  <si>
    <t>2021-11-05T02:36:21Z</t>
  </si>
  <si>
    <t>2021-10-19T18:06:55Z</t>
  </si>
  <si>
    <t>2021-10-09T19:36:17Z</t>
  </si>
  <si>
    <t>2021-10-31T07:20:34Z</t>
  </si>
  <si>
    <t>2021-10-05T00:12:28Z</t>
  </si>
  <si>
    <t>2021-10-10T10:01:49Z</t>
  </si>
  <si>
    <t>2021-11-03T13:14:08Z</t>
  </si>
  <si>
    <t>2021-10-28T03:44:40Z</t>
  </si>
  <si>
    <t>2021-11-06T15:24:28Z</t>
  </si>
  <si>
    <t>2021-10-07T23:19:31Z</t>
  </si>
  <si>
    <t>2021-10-17T17:36:17Z</t>
  </si>
  <si>
    <t>2021-11-02T20:21:32Z</t>
  </si>
  <si>
    <t>2021-11-11T17:54:43Z</t>
  </si>
  <si>
    <t>2021-10-20T17:35:33Z</t>
  </si>
  <si>
    <t>2021-10-12T17:50:28Z</t>
  </si>
  <si>
    <t>2021-10-27T05:03:47Z</t>
  </si>
  <si>
    <t>2021-11-05T02:28:46Z</t>
  </si>
  <si>
    <t>2021-10-05T02:26:57Z</t>
  </si>
  <si>
    <t>2021-11-03T13:14:33Z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</si>
  <si>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</si>
  <si>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</si>
  <si>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</si>
  <si>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</si>
  <si>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</si>
  <si>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</si>
  <si>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</si>
  <si>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</si>
  <si>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</si>
  <si>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2021-11-16T19:32:36Z</t>
  </si>
  <si>
    <t>2021-11-14T20:33:41Z</t>
  </si>
  <si>
    <t>2021-11-15T05:26:57Z</t>
  </si>
  <si>
    <t>2021-11-15T16:54:38Z</t>
  </si>
  <si>
    <t>2021-11-13T12:45:31Z</t>
  </si>
  <si>
    <t>2021-11-15T11:49:02Z</t>
  </si>
  <si>
    <t>2021-11-16T16:13:45Z</t>
  </si>
  <si>
    <t>2021-11-14T22:03:44Z</t>
  </si>
  <si>
    <t>2021-11-14T02:49:30Z</t>
  </si>
  <si>
    <t>2021-11-13T06:18:23Z</t>
  </si>
  <si>
    <t>2021-11-14T02:49:46Z</t>
  </si>
  <si>
    <t>2021-11-15T14:03:14Z</t>
  </si>
  <si>
    <t>2021-11-15T01:15:33Z</t>
  </si>
  <si>
    <t>2021-11-15T07:53:57Z</t>
  </si>
  <si>
    <t>2021-11-12T21:40:12Z</t>
  </si>
  <si>
    <t>2021-11-14T05:46:07Z</t>
  </si>
  <si>
    <t>2021-11-14T04:35:44Z</t>
  </si>
  <si>
    <t>2021-11-13T00:44:30Z</t>
  </si>
  <si>
    <t>2021-11-13T09:34:25Z</t>
  </si>
  <si>
    <t>2021-11-13T06:17:00Z</t>
  </si>
  <si>
    <t>2021-11-15T19:12:50Z</t>
  </si>
  <si>
    <t>2021-11-16T15:21:30Z</t>
  </si>
  <si>
    <t>2021-11-16T09:11:46Z</t>
  </si>
  <si>
    <t>2021-11-14T17:28:48Z</t>
  </si>
  <si>
    <t>2021-11-14T02:50:58Z</t>
  </si>
  <si>
    <t>2021-11-15T14:48:26Z</t>
  </si>
  <si>
    <t>2021-11-15T22:08:16Z</t>
  </si>
  <si>
    <t>2021-11-16T15:23:15Z</t>
  </si>
  <si>
    <t>2021-11-16T05:41:08Z</t>
  </si>
  <si>
    <t>2021-11-16T09:07:29Z</t>
  </si>
  <si>
    <t>2021-11-15T16:53:01Z</t>
  </si>
  <si>
    <t>2021-11-14T13:39:32Z</t>
  </si>
  <si>
    <t>2021-11-16T09:08:24Z</t>
  </si>
  <si>
    <t>2021-11-14T14:39:32Z</t>
  </si>
  <si>
    <t>2021-11-16T15:24:22Z</t>
  </si>
  <si>
    <t>2021-11-14T14:39:50Z</t>
  </si>
  <si>
    <t>2021-11-14T13:34:46Z</t>
  </si>
  <si>
    <t>2021-11-16T03:17:39Z</t>
  </si>
  <si>
    <t>2021-11-13T00:50:10Z</t>
  </si>
  <si>
    <t>2021-11-16T19:32:24Z</t>
  </si>
  <si>
    <t>2021-11-16T19:32:30Z</t>
  </si>
  <si>
    <t>2021-11-16T09:10:38Z</t>
  </si>
  <si>
    <t>2021-11-16T16:14:47Z</t>
  </si>
  <si>
    <t>2021-11-14T14:41:00Z</t>
  </si>
  <si>
    <t>2021-11-14T14:41:10Z</t>
  </si>
  <si>
    <t>2021-11-16T03:16:46Z</t>
  </si>
  <si>
    <t>2021-11-14T20:11:19Z</t>
  </si>
  <si>
    <t>2021-11-14T14:42:35Z</t>
  </si>
  <si>
    <t>2021-11-13T15:10:51Z</t>
  </si>
  <si>
    <t>2021-11-14T19:58:15Z</t>
  </si>
  <si>
    <t>2021-11-14T14:43:10Z</t>
  </si>
  <si>
    <t>2021-11-14T15:50:13Z</t>
  </si>
  <si>
    <t>2021-11-14T02:52:07Z</t>
  </si>
  <si>
    <t>2021-11-15T17:01:43Z</t>
  </si>
  <si>
    <t>2021-11-16T00:03:47Z</t>
  </si>
  <si>
    <t>2021-11-16T09:16:34Z</t>
  </si>
  <si>
    <t>2021-11-16T09:13:49Z</t>
  </si>
  <si>
    <t>2021-11-14T14:44:14Z</t>
  </si>
  <si>
    <t>2021-11-14T14:44:40Z</t>
  </si>
  <si>
    <t>2021-11-13T03:58:18Z</t>
  </si>
  <si>
    <t>2021-11-14T14:44:55Z</t>
  </si>
  <si>
    <t>2021-11-12T19:59:05Z</t>
  </si>
  <si>
    <t>2021-11-14T17:19:06Z</t>
  </si>
  <si>
    <t>2021-11-16T05:41:38Z</t>
  </si>
  <si>
    <t>2021-11-14T20:00:34Z</t>
  </si>
  <si>
    <t>2021-11-12T20:39:00Z</t>
  </si>
  <si>
    <t>2021-11-16T17:13:06Z</t>
  </si>
  <si>
    <t>2021-11-14T14:45:38Z</t>
  </si>
  <si>
    <t>2021-11-14T14:46:10Z</t>
  </si>
  <si>
    <t>2021-11-14T12:44:12Z</t>
  </si>
  <si>
    <t>2021-11-14T23:16:42Z</t>
  </si>
  <si>
    <t>2021-11-14T14:47:00Z</t>
  </si>
  <si>
    <t>2021-11-14T14:47:10Z</t>
  </si>
  <si>
    <t>2021-11-15T18:38:02Z</t>
  </si>
  <si>
    <t>2021-11-14T02:54:57Z</t>
  </si>
  <si>
    <t>2021-11-14T05:41:07Z</t>
  </si>
  <si>
    <t>2021-11-15T22:07:59Z</t>
  </si>
  <si>
    <t>2021-11-16T05:41:27Z</t>
  </si>
  <si>
    <t>2021-11-14T14:49:03Z</t>
  </si>
  <si>
    <t>2021-11-14T18:02:38Z</t>
  </si>
  <si>
    <t>2021-11-14T14:49:11Z</t>
  </si>
  <si>
    <t>2021-11-14T18:03:03Z</t>
  </si>
  <si>
    <t>2021-11-14T14:43:47Z</t>
  </si>
  <si>
    <t>2021-11-14T14:49:40Z</t>
  </si>
  <si>
    <t>2021-11-14T18:03:20Z</t>
  </si>
  <si>
    <t>2021-11-14T14:49:45Z</t>
  </si>
  <si>
    <t>2021-11-16T05:43:16Z</t>
  </si>
  <si>
    <t>2021-11-14T05:36:06Z</t>
  </si>
  <si>
    <t>2021-11-15T22:10:42Z</t>
  </si>
  <si>
    <t>2021-11-15T22:11:00Z</t>
  </si>
  <si>
    <t>2021-11-15T22:11:17Z</t>
  </si>
  <si>
    <t>2021-11-14T05:47:54Z</t>
  </si>
  <si>
    <t>2021-11-16T05:46:38Z</t>
  </si>
  <si>
    <t>2021-11-14T05:39:37Z</t>
  </si>
  <si>
    <t>2021-11-14T04:58:03Z</t>
  </si>
  <si>
    <t>2021-11-15T14:00:06Z</t>
  </si>
  <si>
    <t>2021-11-16T09:17:34Z</t>
  </si>
  <si>
    <t>2021-11-14T17:27:14Z</t>
  </si>
  <si>
    <t>2021-11-15T12:54:50Z</t>
  </si>
  <si>
    <t>2021-11-14T18:08:00Z</t>
  </si>
  <si>
    <t>2021-11-15T22:16:15Z</t>
  </si>
  <si>
    <t>2021-11-14T02:48:08Z</t>
  </si>
  <si>
    <t>2021-11-15T03:08:16Z</t>
  </si>
  <si>
    <t>2021-11-14T17:27:57Z</t>
  </si>
  <si>
    <t>2021-11-14T02:48:52Z</t>
  </si>
  <si>
    <t>2021-11-14T02:49:06Z</t>
  </si>
  <si>
    <t>2021-11-15T22:17:07Z</t>
  </si>
  <si>
    <t>2021-11-15T22:17:13Z</t>
  </si>
  <si>
    <t>2021-11-14T02:50:11Z</t>
  </si>
  <si>
    <t>2021-11-14T20:10:44Z</t>
  </si>
  <si>
    <t>2021-11-14T20:11:00Z</t>
  </si>
  <si>
    <t>2021-11-14T02:51:11Z</t>
  </si>
  <si>
    <t>2021-11-14T02:51:28Z</t>
  </si>
  <si>
    <t>2021-11-14T02:51:54Z</t>
  </si>
  <si>
    <t>2021-11-14T05:36:38Z</t>
  </si>
  <si>
    <t>2021-11-14T08:42:18Z</t>
  </si>
  <si>
    <t>2021-11-14T02:52:24Z</t>
  </si>
  <si>
    <t>2021-11-15T19:50:12Z</t>
  </si>
  <si>
    <t>2021-11-14T02:52:35Z</t>
  </si>
  <si>
    <t>2021-11-12T20:40:29Z</t>
  </si>
  <si>
    <t>2021-11-14T02:52:47Z</t>
  </si>
  <si>
    <t>2021-11-15T22:08:48Z</t>
  </si>
  <si>
    <t>2021-11-14T02:52:58Z</t>
  </si>
  <si>
    <t>2021-11-14T17:29:46Z</t>
  </si>
  <si>
    <t>2021-11-14T02:53:09Z</t>
  </si>
  <si>
    <t>2021-11-14T02:53:25Z</t>
  </si>
  <si>
    <t>2021-11-14T02:54:14Z</t>
  </si>
  <si>
    <t>2021-11-14T05:39:09Z</t>
  </si>
  <si>
    <t>2021-11-14T02:54:25Z</t>
  </si>
  <si>
    <t>2021-11-14T02:54:44Z</t>
  </si>
  <si>
    <t>2021-11-15T11:50:11Z</t>
  </si>
  <si>
    <t>2021-11-14T02:55:08Z</t>
  </si>
  <si>
    <t>2021-11-14T14:31:58Z</t>
  </si>
  <si>
    <t>2021-11-16T15:50:18Z</t>
  </si>
  <si>
    <t>2021-11-13T18:52:58Z</t>
  </si>
  <si>
    <t>2021-11-14T14:33:45Z</t>
  </si>
  <si>
    <t>2021-11-14T02:56:31Z</t>
  </si>
  <si>
    <t>2021-11-14T02:56:41Z</t>
  </si>
  <si>
    <t>2021-11-14T02:57:01Z</t>
  </si>
  <si>
    <t>2021-11-14T02:57:27Z</t>
  </si>
  <si>
    <t>2021-11-14T02:57:41Z</t>
  </si>
  <si>
    <t>2021-11-14T02:57:15Z</t>
  </si>
  <si>
    <t>2021-11-14T04:11:44Z</t>
  </si>
  <si>
    <t>2021-11-12T21:38:23Z</t>
  </si>
  <si>
    <t>2021-11-12T17:43:54Z</t>
  </si>
  <si>
    <t>2021-11-14T02:58:49Z</t>
  </si>
  <si>
    <t>2021-11-15T16:53:57Z</t>
  </si>
  <si>
    <t>2021-11-14T03:00:23Z</t>
  </si>
  <si>
    <t>2021-11-14T04:15:07Z</t>
  </si>
  <si>
    <t>2021-11-14T03:00:40Z</t>
  </si>
  <si>
    <t>2021-11-12T22:13:21Z</t>
  </si>
  <si>
    <t>2021-11-13T12:45:05Z</t>
  </si>
  <si>
    <t>2021-11-12T22:13:32Z</t>
  </si>
  <si>
    <t>2021-11-14T20:00:52Z</t>
  </si>
  <si>
    <t>2021-11-16T15:55:12Z</t>
  </si>
  <si>
    <t>2021-11-16T18:22:27Z</t>
  </si>
  <si>
    <t>2021-11-14T20:23:02Z</t>
  </si>
  <si>
    <t>2021-11-14T13:39:57Z</t>
  </si>
  <si>
    <t>2021-11-13T00:20:04Z</t>
  </si>
  <si>
    <t>2021-11-14T02:58:19Z</t>
  </si>
  <si>
    <t>2021-11-13T06:44:49Z</t>
  </si>
  <si>
    <t>2021-11-13T03:56:31Z</t>
  </si>
  <si>
    <t>2021-11-14T05:37:05Z</t>
  </si>
  <si>
    <t>2021-11-14T14:45:58Z</t>
  </si>
  <si>
    <t>2021-11-16T09:58:39Z</t>
  </si>
  <si>
    <t>2021-11-14T05:34:39Z</t>
  </si>
  <si>
    <t>2021-11-16T17:54:43Z</t>
  </si>
  <si>
    <t>2021-11-16T17:38:23Z</t>
  </si>
  <si>
    <t>2021-11-15T16:10:36Z</t>
  </si>
  <si>
    <t>2021-11-13T06:47:21Z</t>
  </si>
  <si>
    <t>2021-11-13T00:19:46Z</t>
  </si>
  <si>
    <t>2021-11-16T10:00:26Z</t>
  </si>
  <si>
    <t>2021-11-15T03:20:24Z</t>
  </si>
  <si>
    <t>2021-11-13T02:46:59Z</t>
  </si>
  <si>
    <t>2021-11-14T04:13:20Z</t>
  </si>
  <si>
    <t>2021-11-13T00:21:27Z</t>
  </si>
  <si>
    <t>2021-11-14T01:56:54Z</t>
  </si>
  <si>
    <t>2021-11-12T19:54:24Z</t>
  </si>
  <si>
    <t>2021-11-16T17:38:10Z</t>
  </si>
  <si>
    <t>2021-11-12T20:41:44Z</t>
  </si>
  <si>
    <t>2021-11-16T17:38:35Z</t>
  </si>
  <si>
    <t>2021-11-14T02:53:47Z</t>
  </si>
  <si>
    <t>2021-11-14T11:35:59Z</t>
  </si>
  <si>
    <t>2021-11-13T00:25:41Z</t>
  </si>
  <si>
    <t>2021-11-12T20:43:02Z</t>
  </si>
  <si>
    <t>2021-11-15T03:42:20Z</t>
  </si>
  <si>
    <t>2021-11-15T20:28:50Z</t>
  </si>
  <si>
    <t>2021-11-13T00:26:41Z</t>
  </si>
  <si>
    <t>2021-11-16T09:59:23Z</t>
  </si>
  <si>
    <t>2021-11-12T20:36:07Z</t>
  </si>
  <si>
    <t>2021-11-14T13:43:32Z</t>
  </si>
  <si>
    <t>2021-11-13T07:29:02Z</t>
  </si>
  <si>
    <t>2021-11-15T10:39:05Z</t>
  </si>
  <si>
    <t>2021-11-14T06:56:51Z</t>
  </si>
  <si>
    <t>2021-11-15T03:45:06Z</t>
  </si>
  <si>
    <t>2021-11-14T03:12:34Z</t>
  </si>
  <si>
    <t>2021-11-12T19:36:38Z</t>
  </si>
  <si>
    <t>2021-11-14T05:38:45Z</t>
  </si>
  <si>
    <t>2021-11-13T00:33:27Z</t>
  </si>
  <si>
    <t>2021-11-15T22:15:57Z</t>
  </si>
  <si>
    <t>2021-11-14T09:50:49Z</t>
  </si>
  <si>
    <t>2021-11-14T17:29:30Z</t>
  </si>
  <si>
    <t>2021-11-14T03:14:00Z</t>
  </si>
  <si>
    <t>2021-11-14T12:27:48Z</t>
  </si>
  <si>
    <t>2021-11-15T22:36:24Z</t>
  </si>
  <si>
    <t>2021-11-14T03:15:24Z</t>
  </si>
  <si>
    <t>2021-11-14T03:15:37Z</t>
  </si>
  <si>
    <t>2021-11-15T03:21:09Z</t>
  </si>
  <si>
    <t>2021-11-15T03:21:16Z</t>
  </si>
  <si>
    <t>2021-11-14T12:28:40Z</t>
  </si>
  <si>
    <t>2021-11-15T12:17:15Z</t>
  </si>
  <si>
    <t>2021-11-13T00:35:30Z</t>
  </si>
  <si>
    <t>2021-11-16T08:54:59Z</t>
  </si>
  <si>
    <t>2021-11-12T19:40:58Z</t>
  </si>
  <si>
    <t>2021-11-14T03:16:58Z</t>
  </si>
  <si>
    <t>2021-11-15T03:20:15Z</t>
  </si>
  <si>
    <t>2021-11-14T02:11:54Z</t>
  </si>
  <si>
    <t>2021-11-13T02:47:12Z</t>
  </si>
  <si>
    <t>2021-11-14T05:02:12Z</t>
  </si>
  <si>
    <t>2021-11-13T12:14:29Z</t>
  </si>
  <si>
    <t>2021-11-13T00:39:50Z</t>
  </si>
  <si>
    <t>2021-11-12T20:37:16Z</t>
  </si>
  <si>
    <t>2021-11-19T04:13:34Z</t>
  </si>
  <si>
    <t>2021-11-20T10:44:49Z</t>
  </si>
  <si>
    <t>2021-11-19T16:11:43Z</t>
  </si>
  <si>
    <t>2021-11-18T05:59:57Z</t>
  </si>
  <si>
    <t>2021-11-19T22:55:58Z</t>
  </si>
  <si>
    <t>2021-11-19T07:28:53Z</t>
  </si>
  <si>
    <t>2021-11-18T18:15:14Z</t>
  </si>
  <si>
    <t>2021-11-17T05:22:20Z</t>
  </si>
  <si>
    <t>2021-11-18T06:01:51Z</t>
  </si>
  <si>
    <t>2021-11-20T09:02:18Z</t>
  </si>
  <si>
    <t>2021-11-20T10:46:05Z</t>
  </si>
  <si>
    <t>2021-11-19T18:18:08Z</t>
  </si>
  <si>
    <t>2021-11-18T05:50:29Z</t>
  </si>
  <si>
    <t>2021-11-19T07:30:48Z</t>
  </si>
  <si>
    <t>2021-11-19T18:18:24Z</t>
  </si>
  <si>
    <t>2021-11-19T08:27:38Z</t>
  </si>
  <si>
    <t>2021-11-17T06:08:11Z</t>
  </si>
  <si>
    <t>2021-11-18T20:38:49Z</t>
  </si>
  <si>
    <t>2021-11-18T05:40:46Z</t>
  </si>
  <si>
    <t>2021-11-19T21:33:08Z</t>
  </si>
  <si>
    <t>2021-11-19T07:33:40Z</t>
  </si>
  <si>
    <t>2021-11-19T15:48:02Z</t>
  </si>
  <si>
    <t>2021-11-20T06:09:00Z</t>
  </si>
  <si>
    <t>2021-11-20T10:48:41Z</t>
  </si>
  <si>
    <t>2021-11-20T06:09:33Z</t>
  </si>
  <si>
    <t>2021-11-19T15:48:36Z</t>
  </si>
  <si>
    <t>2021-11-17T11:44:57Z</t>
  </si>
  <si>
    <t>2021-11-16T22:59:05Z</t>
  </si>
  <si>
    <t>2021-11-20T16:41:52Z</t>
  </si>
  <si>
    <t>2021-11-19T21:32:34Z</t>
  </si>
  <si>
    <t>2021-11-20T10:50:05Z</t>
  </si>
  <si>
    <t>2021-11-19T04:14:30Z</t>
  </si>
  <si>
    <t>2021-11-19T15:49:34Z</t>
  </si>
  <si>
    <t>2021-11-19T21:34:31Z</t>
  </si>
  <si>
    <t>2021-11-19T15:50:07Z</t>
  </si>
  <si>
    <t>2021-11-16T23:00:25Z</t>
  </si>
  <si>
    <t>2021-11-16T23:00:36Z</t>
  </si>
  <si>
    <t>2021-11-19T23:51:43Z</t>
  </si>
  <si>
    <t>2021-11-18T06:12:16Z</t>
  </si>
  <si>
    <t>2021-11-16T23:00:59Z</t>
  </si>
  <si>
    <t>2021-11-17T05:22:39Z</t>
  </si>
  <si>
    <t>2021-11-18T18:28:58Z</t>
  </si>
  <si>
    <t>2021-11-19T15:50:29Z</t>
  </si>
  <si>
    <t>2021-11-17T23:16:43Z</t>
  </si>
  <si>
    <t>2021-11-18T06:13:09Z</t>
  </si>
  <si>
    <t>2021-11-20T08:42:13Z</t>
  </si>
  <si>
    <t>2021-11-18T06:14:24Z</t>
  </si>
  <si>
    <t>2021-11-20T12:06:51Z</t>
  </si>
  <si>
    <t>2021-11-19T15:51:30Z</t>
  </si>
  <si>
    <t>2021-11-20T20:01:33Z</t>
  </si>
  <si>
    <t>2021-11-17T22:40:15Z</t>
  </si>
  <si>
    <t>2021-11-19T21:30:54Z</t>
  </si>
  <si>
    <t>2021-11-19T07:41:28Z</t>
  </si>
  <si>
    <t>2021-11-20T10:53:44Z</t>
  </si>
  <si>
    <t>2021-11-18T06:18:19Z</t>
  </si>
  <si>
    <t>2021-11-19T07:42:51Z</t>
  </si>
  <si>
    <t>2021-11-20T16:41:39Z</t>
  </si>
  <si>
    <t>2021-11-20T16:09:51Z</t>
  </si>
  <si>
    <t>2021-11-19T01:27:41Z</t>
  </si>
  <si>
    <t>2021-11-18T10:05:48Z</t>
  </si>
  <si>
    <t>2021-11-17T16:37:26Z</t>
  </si>
  <si>
    <t>2021-11-19T17:10:57Z</t>
  </si>
  <si>
    <t>2021-11-18T02:28:48Z</t>
  </si>
  <si>
    <t>2021-11-19T21:26:00Z</t>
  </si>
  <si>
    <t>2021-11-19T04:33:24Z</t>
  </si>
  <si>
    <t>2021-11-18T06:23:03Z</t>
  </si>
  <si>
    <t>2021-11-19T21:33:16Z</t>
  </si>
  <si>
    <t>2021-11-19T07:47:07Z</t>
  </si>
  <si>
    <t>2021-11-19T08:00:34Z</t>
  </si>
  <si>
    <t>2021-11-18T06:23:45Z</t>
  </si>
  <si>
    <t>2021-11-20T05:19:12Z</t>
  </si>
  <si>
    <t>2021-11-19T06:08:53Z</t>
  </si>
  <si>
    <t>2021-11-18T06:25:19Z</t>
  </si>
  <si>
    <t>2021-11-19T07:49:06Z</t>
  </si>
  <si>
    <t>2021-11-17T23:18:12Z</t>
  </si>
  <si>
    <t>2021-11-18T06:27:20Z</t>
  </si>
  <si>
    <t>2021-11-19T22:23:23Z</t>
  </si>
  <si>
    <t>2021-11-19T07:51:00Z</t>
  </si>
  <si>
    <t>2021-11-19T03:00:44Z</t>
  </si>
  <si>
    <t>2021-11-16T23:30:55Z</t>
  </si>
  <si>
    <t>2021-11-18T04:42:34Z</t>
  </si>
  <si>
    <t>2021-11-20T16:41:23Z</t>
  </si>
  <si>
    <t>2021-11-19T06:56:45Z</t>
  </si>
  <si>
    <t>2021-11-18T04:43:49Z</t>
  </si>
  <si>
    <t>2021-11-18T09:43:31Z</t>
  </si>
  <si>
    <t>2021-11-20T10:46:52Z</t>
  </si>
  <si>
    <t>2021-11-16T23:11:48Z</t>
  </si>
  <si>
    <t>2021-11-20T17:50:41Z</t>
  </si>
  <si>
    <t>2021-11-16T23:12:06Z</t>
  </si>
  <si>
    <t>2021-11-17T17:14:33Z</t>
  </si>
  <si>
    <t>2021-11-19T07:53:47Z</t>
  </si>
  <si>
    <t>2021-11-20T17:28:33Z</t>
  </si>
  <si>
    <t>2021-11-18T04:46:06Z</t>
  </si>
  <si>
    <t>2021-11-19T21:31:16Z</t>
  </si>
  <si>
    <t>2021-11-18T22:52:14Z</t>
  </si>
  <si>
    <t>2021-11-19T16:51:46Z</t>
  </si>
  <si>
    <t>2021-11-17T03:32:29Z</t>
  </si>
  <si>
    <t>2021-11-19T21:35:03Z</t>
  </si>
  <si>
    <t>2021-11-20T06:30:24Z</t>
  </si>
  <si>
    <t>2021-11-19T07:57:33Z</t>
  </si>
  <si>
    <t>2021-11-19T21:36:00Z</t>
  </si>
  <si>
    <t>2021-11-19T19:19:00Z</t>
  </si>
  <si>
    <t>2021-11-18T05:00:24Z</t>
  </si>
  <si>
    <t>2021-11-20T17:07:21Z</t>
  </si>
  <si>
    <t>2021-11-19T07:58:37Z</t>
  </si>
  <si>
    <t>2021-11-19T07:59:52Z</t>
  </si>
  <si>
    <t>2021-11-18T22:57:00Z</t>
  </si>
  <si>
    <t>2021-11-18T04:57:45Z</t>
  </si>
  <si>
    <t>2021-11-20T16:41:10Z</t>
  </si>
  <si>
    <t>2021-11-17T16:47:17Z</t>
  </si>
  <si>
    <t>2021-11-19T17:40:01Z</t>
  </si>
  <si>
    <t>2021-11-20T06:33:22Z</t>
  </si>
  <si>
    <t>2021-11-18T22:17:15Z</t>
  </si>
  <si>
    <t>2021-11-20T06:33:37Z</t>
  </si>
  <si>
    <t>2021-11-19T21:28:27Z</t>
  </si>
  <si>
    <t>2021-11-17T11:46:33Z</t>
  </si>
  <si>
    <t>2021-11-19T21:32:58Z</t>
  </si>
  <si>
    <t>2021-11-20T06:33:20Z</t>
  </si>
  <si>
    <t>2021-11-20T11:23:45Z</t>
  </si>
  <si>
    <t>2021-11-19T21:29:27Z</t>
  </si>
  <si>
    <t>2021-11-19T21:24:53Z</t>
  </si>
  <si>
    <t>2021-11-17T16:49:58Z</t>
  </si>
  <si>
    <t>2021-11-20T02:24:24Z</t>
  </si>
  <si>
    <t>2021-11-18T04:33:44Z</t>
  </si>
  <si>
    <t>2021-11-20T06:44:22Z</t>
  </si>
  <si>
    <t>2021-11-16T16:12:09Z</t>
  </si>
  <si>
    <t>2021-11-19T07:00:01Z</t>
  </si>
  <si>
    <t>2021-11-19T21:41:45Z</t>
  </si>
  <si>
    <t>2021-11-17T23:09:08Z</t>
  </si>
  <si>
    <t>2021-11-18T06:38:40Z</t>
  </si>
  <si>
    <t>2021-11-19T22:23:53Z</t>
  </si>
  <si>
    <t>2021-11-17T23:20:46Z</t>
  </si>
  <si>
    <t>2021-11-18T07:09:02Z</t>
  </si>
  <si>
    <t>2021-11-17T23:20:42Z</t>
  </si>
  <si>
    <t>2021-11-17T06:07:25Z</t>
  </si>
  <si>
    <t>2021-11-18T04:37:19Z</t>
  </si>
  <si>
    <t>2021-11-18T04:38:06Z</t>
  </si>
  <si>
    <t>2021-11-19T16:11:10Z</t>
  </si>
  <si>
    <t>2021-11-19T03:24:50Z</t>
  </si>
  <si>
    <t>2021-11-17T03:49:36Z</t>
  </si>
  <si>
    <t>2021-11-19T19:27:19Z</t>
  </si>
  <si>
    <t>2021-11-20T15:53:45Z</t>
  </si>
  <si>
    <t>2021-11-17T22:01:14Z</t>
  </si>
  <si>
    <t>2021-11-20T10:36:46Z</t>
  </si>
  <si>
    <t>2021-11-18T06:26:35Z</t>
  </si>
  <si>
    <t>2021-11-16T21:24:03Z</t>
  </si>
  <si>
    <t>2021-11-18T00:25:12Z</t>
  </si>
  <si>
    <t>2021-11-19T21:23:27Z</t>
  </si>
  <si>
    <t>2021-11-16T23:29:40Z</t>
  </si>
  <si>
    <t>2021-11-19T12:46:53Z</t>
  </si>
  <si>
    <t>2021-11-20T18:57:34Z</t>
  </si>
  <si>
    <t>2021-11-16T23:29:54Z</t>
  </si>
  <si>
    <t>2021-11-17T23:07:38Z</t>
  </si>
  <si>
    <t>2021-11-19T12:47:24Z</t>
  </si>
  <si>
    <t>2021-11-19T21:24:10Z</t>
  </si>
  <si>
    <t>2021-11-17T23:10:17Z</t>
  </si>
  <si>
    <t>2021-11-19T12:46:43Z</t>
  </si>
  <si>
    <t>2021-11-18T19:27:25Z</t>
  </si>
  <si>
    <t>2021-11-20T07:13:54Z</t>
  </si>
  <si>
    <t>2021-11-18T06:41:25Z</t>
  </si>
  <si>
    <t>2021-11-20T15:58:30Z</t>
  </si>
  <si>
    <t>2021-11-18T18:10:27Z</t>
  </si>
  <si>
    <t>2021-11-17T05:23:18Z</t>
  </si>
  <si>
    <t>2021-11-18T05:20:00Z</t>
  </si>
  <si>
    <t>2021-11-19T21:27:52Z</t>
  </si>
  <si>
    <t>2021-11-17T23:13:08Z</t>
  </si>
  <si>
    <t>2021-11-18T19:28:55Z</t>
  </si>
  <si>
    <t>2021-11-19T21:25:46Z</t>
  </si>
  <si>
    <t>2021-11-19T21:25:18Z</t>
  </si>
  <si>
    <t>2021-11-19T12:48:52Z</t>
  </si>
  <si>
    <t>2021-11-20T18:12:29Z</t>
  </si>
  <si>
    <t>2021-11-18T05:21:39Z</t>
  </si>
  <si>
    <t>2021-11-17T05:29:41Z</t>
  </si>
  <si>
    <t>2021-11-19T17:10:08Z</t>
  </si>
  <si>
    <t>2021-11-17T06:13:48Z</t>
  </si>
  <si>
    <t>2021-11-17T23:14:48Z</t>
  </si>
  <si>
    <t>2021-11-19T17:10:33Z</t>
  </si>
  <si>
    <t>2021-11-18T06:43:06Z</t>
  </si>
  <si>
    <t>2021-11-19T21:29:50Z</t>
  </si>
  <si>
    <t>2021-11-19T21:33:27Z</t>
  </si>
  <si>
    <t>2021-11-19T08:28:32Z</t>
  </si>
  <si>
    <t>2021-11-19T22:50:47Z</t>
  </si>
  <si>
    <t>2021-11-19T06:53:51Z</t>
  </si>
  <si>
    <t>2021-11-19T16:52:00Z</t>
  </si>
  <si>
    <t>2021-11-19T21:32:18Z</t>
  </si>
  <si>
    <t>2021-11-16T23:00:49Z</t>
  </si>
  <si>
    <t>2021-11-19T08:30:17Z</t>
  </si>
  <si>
    <t>2021-11-19T20:18:51Z</t>
  </si>
  <si>
    <t>2021-11-19T08:31:03Z</t>
  </si>
  <si>
    <t>2021-11-19T07:52:19Z</t>
  </si>
  <si>
    <t>2021-11-18T22:13:41Z</t>
  </si>
  <si>
    <t>2021-11-19T08:31:48Z</t>
  </si>
  <si>
    <t>2021-11-17T06:11:17Z</t>
  </si>
  <si>
    <t>2021-11-18T19:32:42Z</t>
  </si>
  <si>
    <t>2021-11-19T17:18:56Z</t>
  </si>
  <si>
    <t>2021-11-19T06:58:47Z</t>
  </si>
  <si>
    <t>2021-11-17T23:19:35Z</t>
  </si>
  <si>
    <t>2021-11-18T05:18:37Z</t>
  </si>
  <si>
    <t>2021-11-19T17:19:03Z</t>
  </si>
  <si>
    <t>2021-11-19T17:19:16Z</t>
  </si>
  <si>
    <t>2021-11-19T21:33:36Z</t>
  </si>
  <si>
    <t>2021-11-18T05:31:13Z</t>
  </si>
  <si>
    <t>2021-11-19T07:01:40Z</t>
  </si>
  <si>
    <t>2021-11-19T17:19:36Z</t>
  </si>
  <si>
    <t>2021-11-19T07:38:51Z</t>
  </si>
  <si>
    <t>2021-11-18T05:33:35Z</t>
  </si>
  <si>
    <t>2021-11-19T21:26:58Z</t>
  </si>
  <si>
    <t>2021-11-18T06:16:55Z</t>
  </si>
  <si>
    <t>2021-11-20T02:53:23Z</t>
  </si>
  <si>
    <t>2021-11-17T08:54:36Z</t>
  </si>
  <si>
    <t>2021-11-18T05:35:58Z</t>
  </si>
  <si>
    <t>2021-11-18T12:14:52Z</t>
  </si>
  <si>
    <t>2021-11-18T12:15:16Z</t>
  </si>
  <si>
    <t>2021-11-18T05:37:18Z</t>
  </si>
  <si>
    <t>2021-11-19T02:22:32Z</t>
  </si>
  <si>
    <t>2021-11-20T10:33:44Z</t>
  </si>
  <si>
    <t>2021-11-19T17:20:03Z</t>
  </si>
  <si>
    <t>2021-11-19T08:38:25Z</t>
  </si>
  <si>
    <t>2021-11-18T05:38:25Z</t>
  </si>
  <si>
    <t>2021-11-20T21:17:47Z</t>
  </si>
  <si>
    <t>2021-11-19T21:32:09Z</t>
  </si>
  <si>
    <t>2021-11-20T06:30:00Z</t>
  </si>
  <si>
    <t>2021-11-19T07:39:36Z</t>
  </si>
  <si>
    <t>2021-11-18T04:29:55Z</t>
  </si>
  <si>
    <t>2021-11-19T21:22:56Z</t>
  </si>
  <si>
    <t>2021-11-17T22:23:59Z</t>
  </si>
  <si>
    <t>2021-11-18T19:00:35Z</t>
  </si>
  <si>
    <t>2021-11-20T05:21:24Z</t>
  </si>
  <si>
    <t>2021-11-18T07:08:50Z</t>
  </si>
  <si>
    <t>2021-11-18T04:30:30Z</t>
  </si>
  <si>
    <t>2021-11-17T06:13:38Z</t>
  </si>
  <si>
    <t>2021-11-18T19:39:01Z</t>
  </si>
  <si>
    <t>2021-11-17T06:14:26Z</t>
  </si>
  <si>
    <t>2021-11-19T16:46:07Z</t>
  </si>
  <si>
    <t>2021-11-18T22:54:49Z</t>
  </si>
  <si>
    <t>2021-11-17T11:44:16Z</t>
  </si>
  <si>
    <t>2021-11-20T05:21:53Z</t>
  </si>
  <si>
    <t>2021-11-19T21:25:28Z</t>
  </si>
  <si>
    <t>2021-11-19T21:30:44Z</t>
  </si>
  <si>
    <t>2021-11-20T19:50:39Z</t>
  </si>
  <si>
    <t>2021-11-19T21:24:40Z</t>
  </si>
  <si>
    <t>2021-11-19T21:27:42Z</t>
  </si>
  <si>
    <t>2021-11-18T08:21:47Z</t>
  </si>
  <si>
    <t>2021-11-20T05:22:14Z</t>
  </si>
  <si>
    <t>2021-11-18T05:46:14Z</t>
  </si>
  <si>
    <t>2021-11-19T21:31:02Z</t>
  </si>
  <si>
    <t>2021-11-17T06:05:14Z</t>
  </si>
  <si>
    <t>2021-11-19T21:26:32Z</t>
  </si>
  <si>
    <t>2021-11-19T21:27:17Z</t>
  </si>
  <si>
    <t>2021-11-17T06:06:03Z</t>
  </si>
  <si>
    <t>2021-11-17T06:06:16Z</t>
  </si>
  <si>
    <t>2021-11-20T10:39:05Z</t>
  </si>
  <si>
    <t>2021-11-17T22:24:27Z</t>
  </si>
  <si>
    <t>2021-11-17T22:24:40Z</t>
  </si>
  <si>
    <t>2021-11-17T22:24:56Z</t>
  </si>
  <si>
    <t>2021-11-17T06:07:19Z</t>
  </si>
  <si>
    <t>2021-11-18T05:49:00Z</t>
  </si>
  <si>
    <t>2021-11-17T22:25:40Z</t>
  </si>
  <si>
    <t>2021-11-17T06:08:45Z</t>
  </si>
  <si>
    <t>2021-11-18T04:31:54Z</t>
  </si>
  <si>
    <t>2021-11-17T06:08:57Z</t>
  </si>
  <si>
    <t>2021-11-19T22:07:49Z</t>
  </si>
  <si>
    <t>2021-11-19T05:41:17Z</t>
  </si>
  <si>
    <t>2021-11-19T07:55:27Z</t>
  </si>
  <si>
    <t>2021-11-18T03:27:33Z</t>
  </si>
  <si>
    <t>2021-11-19T07:51:14Z</t>
  </si>
  <si>
    <t>2021-11-19T21:12:12Z</t>
  </si>
  <si>
    <t>2021-11-18T05:51:34Z</t>
  </si>
  <si>
    <t>2021-11-18T04:32:21Z</t>
  </si>
  <si>
    <t>2021-11-20T10:41:17Z</t>
  </si>
  <si>
    <t>2021-11-18T04:32:35Z</t>
  </si>
  <si>
    <t>2021-11-18T05:57:33Z</t>
  </si>
  <si>
    <t>2021-11-19T05:42:54Z</t>
  </si>
  <si>
    <t>2021-11-18T05:53:00Z</t>
  </si>
  <si>
    <t>2021-11-18T22:28:43Z</t>
  </si>
  <si>
    <t>2021-11-18T04:33:07Z</t>
  </si>
  <si>
    <t>2021-11-19T05:43:51Z</t>
  </si>
  <si>
    <t>2021-11-17T06:12:37Z</t>
  </si>
  <si>
    <t>2021-11-18T05:54:42Z</t>
  </si>
  <si>
    <t>2021-11-17T06:12:57Z</t>
  </si>
  <si>
    <t>2021-11-20T16:17:16Z</t>
  </si>
  <si>
    <t>2021-11-19T21:18:23Z</t>
  </si>
  <si>
    <t>2021-11-17T06:13:56Z</t>
  </si>
  <si>
    <t>2021-11-19T07:25:03Z</t>
  </si>
  <si>
    <t>2021-11-19T08:28:43Z</t>
  </si>
  <si>
    <t>2021-11-17T06:14:48Z</t>
  </si>
  <si>
    <t>2021-11-18T04:36:06Z</t>
  </si>
  <si>
    <t>INDEX Formula</t>
  </si>
  <si>
    <t>"=INDEX(MARKET_INPUT[Column1.price],MATCH(B2,MARKET_INPUT[Column1.type_id]))"</t>
  </si>
  <si>
    <t>EVE Swagger URL</t>
  </si>
  <si>
    <t>https://esi.evetech.net/ui/</t>
  </si>
  <si>
    <t>2021-11-23T07:22:19Z</t>
  </si>
  <si>
    <t>2021-11-21T19:57:25Z</t>
  </si>
  <si>
    <t>2021-11-26T12:53:57Z</t>
  </si>
  <si>
    <t>2021-11-26T07:10:59Z</t>
  </si>
  <si>
    <t>2021-11-26T13:09:14Z</t>
  </si>
  <si>
    <t>2021-11-23T07:22:32Z</t>
  </si>
  <si>
    <t>2021-11-28T18:43:41Z</t>
  </si>
  <si>
    <t>2021-11-26T07:11:54Z</t>
  </si>
  <si>
    <t>2021-11-26T00:47:21Z</t>
  </si>
  <si>
    <t>2021-11-28T00:17:22Z</t>
  </si>
  <si>
    <t>2021-11-25T19:21:11Z</t>
  </si>
  <si>
    <t>2021-11-23T18:55:23Z</t>
  </si>
  <si>
    <t>2021-11-28T18:44:13Z</t>
  </si>
  <si>
    <t>2021-11-26T07:12:34Z</t>
  </si>
  <si>
    <t>2021-11-28T23:28:34Z</t>
  </si>
  <si>
    <t>2021-11-22T01:41:36Z</t>
  </si>
  <si>
    <t>2021-11-20T23:17:12Z</t>
  </si>
  <si>
    <t>2021-11-28T10:05:53Z</t>
  </si>
  <si>
    <t>2021-11-26T08:34:56Z</t>
  </si>
  <si>
    <t>2021-11-22T00:22:46Z</t>
  </si>
  <si>
    <t>2021-11-21T16:41:49Z</t>
  </si>
  <si>
    <t>2021-11-26T07:13:43Z</t>
  </si>
  <si>
    <t>2021-11-22T01:43:10Z</t>
  </si>
  <si>
    <t>2021-11-25T20:13:16Z</t>
  </si>
  <si>
    <t>2021-11-28T18:45:07Z</t>
  </si>
  <si>
    <t>2021-11-23T06:39:13Z</t>
  </si>
  <si>
    <t>2021-11-24T15:35:18Z</t>
  </si>
  <si>
    <t>2021-11-26T03:43:42Z</t>
  </si>
  <si>
    <t>2021-11-28T16:39:09Z</t>
  </si>
  <si>
    <t>2021-11-28T18:45:25Z</t>
  </si>
  <si>
    <t>2021-11-28T16:44:35Z</t>
  </si>
  <si>
    <t>2021-11-26T13:09:24Z</t>
  </si>
  <si>
    <t>2021-11-21T16:05:31Z</t>
  </si>
  <si>
    <t>2021-11-27T22:33:28Z</t>
  </si>
  <si>
    <t>2021-11-26T15:31:44Z</t>
  </si>
  <si>
    <t>2021-11-24T15:36:39Z</t>
  </si>
  <si>
    <t>2021-11-21T19:20:07Z</t>
  </si>
  <si>
    <t>2021-11-27T15:31:45Z</t>
  </si>
  <si>
    <t>2021-11-21T16:43:15Z</t>
  </si>
  <si>
    <t>2021-11-24T15:23:42Z</t>
  </si>
  <si>
    <t>2021-11-24T15:36:55Z</t>
  </si>
  <si>
    <t>2021-11-22T13:31:37Z</t>
  </si>
  <si>
    <t>2021-11-26T17:58:55Z</t>
  </si>
  <si>
    <t>2021-11-24T20:17:54Z</t>
  </si>
  <si>
    <t>2021-11-21T17:26:53Z</t>
  </si>
  <si>
    <t>2021-11-21T16:44:00Z</t>
  </si>
  <si>
    <t>2021-11-25T00:13:36Z</t>
  </si>
  <si>
    <t>2021-11-21T17:13:19Z</t>
  </si>
  <si>
    <t>2021-11-23T06:43:28Z</t>
  </si>
  <si>
    <t>2021-11-28T09:01:43Z</t>
  </si>
  <si>
    <t>2021-11-27T21:06:58Z</t>
  </si>
  <si>
    <t>2021-11-26T19:28:48Z</t>
  </si>
  <si>
    <t>2021-11-25T04:34:39Z</t>
  </si>
  <si>
    <t>2021-11-24T02:37:23Z</t>
  </si>
  <si>
    <t>2021-11-26T16:22:23Z</t>
  </si>
  <si>
    <t>2021-11-24T18:25:44Z</t>
  </si>
  <si>
    <t>2021-11-25T04:35:03Z</t>
  </si>
  <si>
    <t>2021-11-21T19:22:08Z</t>
  </si>
  <si>
    <t>2021-11-23T15:40:19Z</t>
  </si>
  <si>
    <t>2021-11-24T18:24:56Z</t>
  </si>
  <si>
    <t>2021-11-28T20:56:40Z</t>
  </si>
  <si>
    <t>2021-11-28T16:06:14Z</t>
  </si>
  <si>
    <t>2021-11-28T21:55:23Z</t>
  </si>
  <si>
    <t>2021-11-24T15:15:14Z</t>
  </si>
  <si>
    <t>2021-11-27T18:06:36Z</t>
  </si>
  <si>
    <t>2021-11-28T23:34:11Z</t>
  </si>
  <si>
    <t>2021-11-21T15:09:20Z</t>
  </si>
  <si>
    <t>2021-11-28T15:23:30Z</t>
  </si>
  <si>
    <t>2021-11-27T10:43:12Z</t>
  </si>
  <si>
    <t>2021-11-23T20:16:00Z</t>
  </si>
  <si>
    <t>2021-11-28T20:57:46Z</t>
  </si>
  <si>
    <t>2021-11-24T03:31:22Z</t>
  </si>
  <si>
    <t>2021-11-20T23:25:14Z</t>
  </si>
  <si>
    <t>2021-11-28T16:04:58Z</t>
  </si>
  <si>
    <t>2021-11-28T15:23:52Z</t>
  </si>
  <si>
    <t>2021-11-27T13:28:36Z</t>
  </si>
  <si>
    <t>2021-11-21T01:44:26Z</t>
  </si>
  <si>
    <t>2021-11-26T21:00:41Z</t>
  </si>
  <si>
    <t>2021-11-21T15:09:32Z</t>
  </si>
  <si>
    <t>2021-11-28T10:11:45Z</t>
  </si>
  <si>
    <t>2021-11-28T20:58:45Z</t>
  </si>
  <si>
    <t>2021-11-27T10:43:41Z</t>
  </si>
  <si>
    <t>2021-11-26T16:25:26Z</t>
  </si>
  <si>
    <t>2021-11-28T23:37:16Z</t>
  </si>
  <si>
    <t>2021-11-23T09:47:45Z</t>
  </si>
  <si>
    <t>2021-11-24T17:31:46Z</t>
  </si>
  <si>
    <t>2021-11-28T20:59:01Z</t>
  </si>
  <si>
    <t>2021-11-27T20:19:29Z</t>
  </si>
  <si>
    <t>2021-11-20T16:18:16Z</t>
  </si>
  <si>
    <t>2021-11-27T11:09:50Z</t>
  </si>
  <si>
    <t>2021-11-26T12:38:03Z</t>
  </si>
  <si>
    <t>2021-11-28T16:06:01Z</t>
  </si>
  <si>
    <t>2021-11-24T18:25:18Z</t>
  </si>
  <si>
    <t>2021-11-27T09:53:50Z</t>
  </si>
  <si>
    <t>2021-11-28T20:59:49Z</t>
  </si>
  <si>
    <t>2021-11-28T10:16:07Z</t>
  </si>
  <si>
    <t>2021-11-27T09:54:05Z</t>
  </si>
  <si>
    <t>2021-11-24T05:54:53Z</t>
  </si>
  <si>
    <t>2021-11-21T16:27:44Z</t>
  </si>
  <si>
    <t>2021-11-22T15:24:33Z</t>
  </si>
  <si>
    <t>2021-11-27T09:54:24Z</t>
  </si>
  <si>
    <t>2021-11-28T10:16:30Z</t>
  </si>
  <si>
    <t>2021-11-27T07:59:21Z</t>
  </si>
  <si>
    <t>2021-11-27T22:41:11Z</t>
  </si>
  <si>
    <t>2021-11-27T09:54:52Z</t>
  </si>
  <si>
    <t>2021-11-28T10:17:11Z</t>
  </si>
  <si>
    <t>2021-11-20T16:10:21Z</t>
  </si>
  <si>
    <t>2021-11-21T05:43:33Z</t>
  </si>
  <si>
    <t>2021-11-24T20:49:42Z</t>
  </si>
  <si>
    <t>2021-11-25T00:05:49Z</t>
  </si>
  <si>
    <t>2021-11-25T00:16:58Z</t>
  </si>
  <si>
    <t>2021-11-28T10:17:49Z</t>
  </si>
  <si>
    <t>2021-11-26T12:44:56Z</t>
  </si>
  <si>
    <t>2021-11-26T12:45:25Z</t>
  </si>
  <si>
    <t>2021-11-26T12:51:19Z</t>
  </si>
  <si>
    <t>2021-11-26T12:51:29Z</t>
  </si>
  <si>
    <t>2021-11-26T12:34:46Z</t>
  </si>
  <si>
    <t>2021-11-28T10:18:09Z</t>
  </si>
  <si>
    <t>2021-11-27T18:16:54Z</t>
  </si>
  <si>
    <t>2021-11-27T09:56:35Z</t>
  </si>
  <si>
    <t>2021-11-28T10:18:30Z</t>
  </si>
  <si>
    <t>2021-11-25T00:31:21Z</t>
  </si>
  <si>
    <t>2021-11-28T10:18:50Z</t>
  </si>
  <si>
    <t>2021-11-27T09:57:17Z</t>
  </si>
  <si>
    <t>2021-11-28T10:19:11Z</t>
  </si>
  <si>
    <t>2021-11-21T15:22:07Z</t>
  </si>
  <si>
    <t>2021-11-25T20:05:30Z</t>
  </si>
  <si>
    <t>2021-11-28T10:19:28Z</t>
  </si>
  <si>
    <t>2021-11-21T16:51:05Z</t>
  </si>
  <si>
    <t>2021-11-25T08:08:15Z</t>
  </si>
  <si>
    <t>2021-11-21T16:09:46Z</t>
  </si>
  <si>
    <t>2021-11-21T20:07:58Z</t>
  </si>
  <si>
    <t>2021-11-28T10:20:08Z</t>
  </si>
  <si>
    <t>2021-11-26T21:05:04Z</t>
  </si>
  <si>
    <t>2021-11-28T10:20:24Z</t>
  </si>
  <si>
    <t>2021-11-20T23:59:46Z</t>
  </si>
  <si>
    <t>2021-11-25T00:11:59Z</t>
  </si>
  <si>
    <t>2021-11-21T16:53:56Z</t>
  </si>
  <si>
    <t>2021-11-28T00:08:56Z</t>
  </si>
  <si>
    <t>2021-11-24T15:16:15Z</t>
  </si>
  <si>
    <t>2021-11-28T14:05:23Z</t>
  </si>
  <si>
    <t>2021-11-28T10:21:10Z</t>
  </si>
  <si>
    <t>2021-11-21T17:23:05Z</t>
  </si>
  <si>
    <t>2021-11-25T19:21:02Z</t>
  </si>
  <si>
    <t>2021-11-26T02:52:22Z</t>
  </si>
  <si>
    <t>2021-11-28T20:19:07Z</t>
  </si>
  <si>
    <t>2021-11-28T10:21:31Z</t>
  </si>
  <si>
    <t>2021-11-21T17:21:58Z</t>
  </si>
  <si>
    <t>2021-11-25T13:46:30Z</t>
  </si>
  <si>
    <t>2021-11-22T06:26:19Z</t>
  </si>
  <si>
    <t>2021-11-24T05:10:27Z</t>
  </si>
  <si>
    <t>2021-11-21T16:52:48Z</t>
  </si>
  <si>
    <t>2021-11-26T02:53:47Z</t>
  </si>
  <si>
    <t>2021-11-25T13:46:56Z</t>
  </si>
  <si>
    <t>2021-11-20T23:59:32Z</t>
  </si>
  <si>
    <t>2021-11-21T00:00:22Z</t>
  </si>
  <si>
    <t>2021-11-26T02:54:10Z</t>
  </si>
  <si>
    <t>2021-11-27T20:16:15Z</t>
  </si>
  <si>
    <t>2021-11-24T20:49:09Z</t>
  </si>
  <si>
    <t>2021-11-24T16:45:58Z</t>
  </si>
  <si>
    <t>2021-11-25T13:47:28Z</t>
  </si>
  <si>
    <t>2021-11-26T21:06:59Z</t>
  </si>
  <si>
    <t>2021-11-26T02:54:53Z</t>
  </si>
  <si>
    <t>2021-11-24T05:07:50Z</t>
  </si>
  <si>
    <t>2021-11-26T02:55:10Z</t>
  </si>
  <si>
    <t>2021-11-27T19:38:58Z</t>
  </si>
  <si>
    <t>2021-11-25T13:47:43Z</t>
  </si>
  <si>
    <t>2021-11-25T13:47:57Z</t>
  </si>
  <si>
    <t>2021-11-22T05:17:26Z</t>
  </si>
  <si>
    <t>2021-11-24T05:18:24Z</t>
  </si>
  <si>
    <t>2021-11-21T16:53:46Z</t>
  </si>
  <si>
    <t>2021-11-24T05:01:12Z</t>
  </si>
  <si>
    <t>2021-11-24T20:49:56Z</t>
  </si>
  <si>
    <t>2021-11-21T14:00:55Z</t>
  </si>
  <si>
    <t>2021-11-24T20:02:59Z</t>
  </si>
  <si>
    <t>2021-11-24T03:46:01Z</t>
  </si>
  <si>
    <t>2021-11-27T17:39:05Z</t>
  </si>
  <si>
    <t>2021-11-21T13:10:25Z</t>
  </si>
  <si>
    <t>2021-11-22T15:23:45Z</t>
  </si>
  <si>
    <t>2021-11-27T17:39:10Z</t>
  </si>
  <si>
    <t>2021-11-24T02:36:41Z</t>
  </si>
  <si>
    <t>2021-11-28T10:24:47Z</t>
  </si>
  <si>
    <t>2021-11-24T20:00:17Z</t>
  </si>
  <si>
    <t>2021-11-25T14:48:10Z</t>
  </si>
  <si>
    <t>2021-11-21T19:22:24Z</t>
  </si>
  <si>
    <t>2021-11-26T16:59:49Z</t>
  </si>
  <si>
    <t>2021-11-28T10:25:27Z</t>
  </si>
  <si>
    <t>2021-11-23T06:03:58Z</t>
  </si>
  <si>
    <t>2021-11-28T10:25:47Z</t>
  </si>
  <si>
    <t>2021-11-21T01:55:00Z</t>
  </si>
  <si>
    <t>2021-11-24T05:12:10Z</t>
  </si>
  <si>
    <t>2021-11-28T10:26:04Z</t>
  </si>
  <si>
    <t>2021-11-23T18:50:56Z</t>
  </si>
  <si>
    <t>2021-11-25T00:15:57Z</t>
  </si>
  <si>
    <t>2021-11-24T02:36:57Z</t>
  </si>
  <si>
    <t>2021-11-28T04:57:28Z</t>
  </si>
  <si>
    <t>2021-11-28T12:13:05Z</t>
  </si>
  <si>
    <t>2021-11-21T11:30:17Z</t>
  </si>
  <si>
    <t>2021-11-26T15:44:23Z</t>
  </si>
  <si>
    <t>2021-11-27T13:06:37Z</t>
  </si>
  <si>
    <t>2021-11-21T04:33:54Z</t>
  </si>
  <si>
    <t>2021-11-25T00:13:48Z</t>
  </si>
  <si>
    <t>2021-11-21T04:34:07Z</t>
  </si>
  <si>
    <t>2021-11-26T20:25:05Z</t>
  </si>
  <si>
    <t>2021-11-21T04:34:47Z</t>
  </si>
  <si>
    <t>2021-11-24T16:49:56Z</t>
  </si>
  <si>
    <t>2021-11-24T07:59:41Z</t>
  </si>
  <si>
    <t>2021-11-22T08:19:07Z</t>
  </si>
  <si>
    <t>2021-11-25T08:13:39Z</t>
  </si>
  <si>
    <t>2021-11-28T10:28:40Z</t>
  </si>
  <si>
    <t>2021-11-28T18:16:15Z</t>
  </si>
  <si>
    <t>2021-11-21T16:15:50Z</t>
  </si>
  <si>
    <t>2021-11-27T16:54:18Z</t>
  </si>
  <si>
    <t>2021-11-21T03:10:04Z</t>
  </si>
  <si>
    <t>2021-11-24T08:00:47Z</t>
  </si>
  <si>
    <t>2021-11-27T20:23:22Z</t>
  </si>
  <si>
    <t>2021-11-24T08:01:24Z</t>
  </si>
  <si>
    <t>2021-11-27T16:54:42Z</t>
  </si>
  <si>
    <t>2021-11-21T16:57:33Z</t>
  </si>
  <si>
    <t>2021-11-21T20:15:02Z</t>
  </si>
  <si>
    <t>2021-11-24T03:09:53Z</t>
  </si>
  <si>
    <t>2021-11-21T17:22:45Z</t>
  </si>
  <si>
    <t>2021-11-24T17:44:32Z</t>
  </si>
  <si>
    <t>2021-11-24T03:10:17Z</t>
  </si>
  <si>
    <t>2021-11-24T08:02:27Z</t>
  </si>
  <si>
    <t>2021-11-21T16:16:40Z</t>
  </si>
  <si>
    <t>2021-11-24T03:11:07Z</t>
  </si>
  <si>
    <t>2021-11-28T12:36:52Z</t>
  </si>
  <si>
    <t>2021-11-26T18:31:57Z</t>
  </si>
  <si>
    <t>2021-11-24T08:03:15Z</t>
  </si>
  <si>
    <t>2021-11-24T03:11:22Z</t>
  </si>
  <si>
    <t>2021-11-28T12:37:03Z</t>
  </si>
  <si>
    <t>2021-11-27T20:24:22Z</t>
  </si>
  <si>
    <t>2021-11-28T10:30:13Z</t>
  </si>
  <si>
    <t>2021-11-21T02:53:11Z</t>
  </si>
  <si>
    <t>2021-11-21T16:58:31Z</t>
  </si>
  <si>
    <t>2021-11-21T03:13:54Z</t>
  </si>
  <si>
    <t>2021-11-24T03:12:24Z</t>
  </si>
  <si>
    <t>2021-11-24T08:04:31Z</t>
  </si>
  <si>
    <t>2021-11-21T09:33:21Z</t>
  </si>
  <si>
    <t>2021-11-26T15:48:01Z</t>
  </si>
  <si>
    <t>2021-11-26T20:27:25Z</t>
  </si>
  <si>
    <t>2021-11-21T19:20:17Z</t>
  </si>
  <si>
    <t>2021-11-25T08:19:08Z</t>
  </si>
  <si>
    <t>2021-11-24T23:04:40Z</t>
  </si>
  <si>
    <t>2021-11-24T08:05:16Z</t>
  </si>
  <si>
    <t>2021-11-26T15:48:14Z</t>
  </si>
  <si>
    <t>2021-11-24T19:19:30Z</t>
  </si>
  <si>
    <t>2021-11-22T05:31:10Z</t>
  </si>
  <si>
    <t>2021-11-25T08:19:45Z</t>
  </si>
  <si>
    <t>2021-11-26T20:27:55Z</t>
  </si>
  <si>
    <t>2021-11-26T15:48:40Z</t>
  </si>
  <si>
    <t>2021-11-27T22:55:36Z</t>
  </si>
  <si>
    <t>2021-11-27T16:57:06Z</t>
  </si>
  <si>
    <t>2021-11-25T13:56:27Z</t>
  </si>
  <si>
    <t>2021-11-24T08:06:37Z</t>
  </si>
  <si>
    <t>2021-11-25T17:48:03Z</t>
  </si>
  <si>
    <t>2021-11-25T13:56:43Z</t>
  </si>
  <si>
    <t>2021-11-25T08:21:27Z</t>
  </si>
  <si>
    <t>2021-11-26T12:35:24Z</t>
  </si>
  <si>
    <t>2021-11-24T23:52:26Z</t>
  </si>
  <si>
    <t>2021-11-24T08:07:22Z</t>
  </si>
  <si>
    <t>2021-11-28T06:16:13Z</t>
  </si>
  <si>
    <t>2021-11-24T05:15:40Z</t>
  </si>
  <si>
    <t>2021-11-26T15:49:51Z</t>
  </si>
  <si>
    <t>2021-11-25T08:22:29Z</t>
  </si>
  <si>
    <t>2021-11-23T20:18:47Z</t>
  </si>
  <si>
    <t>2021-11-22T05:34:31Z</t>
  </si>
  <si>
    <t>2021-11-24T00:09:49Z</t>
  </si>
  <si>
    <t>2021-11-24T15:11:45Z</t>
  </si>
  <si>
    <t>2021-11-24T08:08:19Z</t>
  </si>
  <si>
    <t>2021-11-26T15:50:19Z</t>
  </si>
  <si>
    <t>2021-11-28T10:33:38Z</t>
  </si>
  <si>
    <t>2021-11-24T08:09:13Z</t>
  </si>
  <si>
    <t>2021-11-26T20:30:00Z</t>
  </si>
  <si>
    <t>2021-11-27T15:31:11Z</t>
  </si>
  <si>
    <t>2021-11-26T15:50:47Z</t>
  </si>
  <si>
    <t>2021-11-24T14:38:05Z</t>
  </si>
  <si>
    <t>2021-11-21T16:57:36Z</t>
  </si>
  <si>
    <t>2021-11-24T08:10:11Z</t>
  </si>
  <si>
    <t>2021-11-22T12:36:52Z</t>
  </si>
  <si>
    <t>2021-11-26T15:51:19Z</t>
  </si>
  <si>
    <t>2021-11-25T20:06:41Z</t>
  </si>
  <si>
    <t>2021-11-28T10:34:48Z</t>
  </si>
  <si>
    <t>2021-11-21T16:53:14Z</t>
  </si>
  <si>
    <t>2021-11-26T15:51:40Z</t>
  </si>
  <si>
    <t>2021-11-24T22:03:17Z</t>
  </si>
  <si>
    <t>2021-11-26T20:30:54Z</t>
  </si>
  <si>
    <t>2021-11-28T10:35:15Z</t>
  </si>
  <si>
    <t>2021-11-25T08:25:44Z</t>
  </si>
  <si>
    <t>2021-11-23T20:08:30Z</t>
  </si>
  <si>
    <t>2021-11-24T15:14:43Z</t>
  </si>
  <si>
    <t>2021-11-28T10:35:49Z</t>
  </si>
  <si>
    <t>2021-11-24T05:14:20Z</t>
  </si>
  <si>
    <t>2021-11-26T15:52:23Z</t>
  </si>
  <si>
    <t>2021-11-25T00:34:53Z</t>
  </si>
  <si>
    <t>2021-11-24T08:12:07Z</t>
  </si>
  <si>
    <t>2021-11-21T03:22:06Z</t>
  </si>
  <si>
    <t>2021-11-28T10:36:10Z</t>
  </si>
  <si>
    <t>2021-11-26T15:52:45Z</t>
  </si>
  <si>
    <t>2021-11-21T14:55:26Z</t>
  </si>
  <si>
    <t>2021-11-21T03:22:31Z</t>
  </si>
  <si>
    <t>2021-11-24T22:04:33Z</t>
  </si>
  <si>
    <t>2021-11-24T05:02:44Z</t>
  </si>
  <si>
    <t>2021-11-26T20:31:34Z</t>
  </si>
  <si>
    <t>2021-11-24T08:12:55Z</t>
  </si>
  <si>
    <t>2021-11-24T03:22:06Z</t>
  </si>
  <si>
    <t>2021-11-21T03:23:23Z</t>
  </si>
  <si>
    <t>2021-11-26T15:53:10Z</t>
  </si>
  <si>
    <t>2021-11-28T03:39:35Z</t>
  </si>
  <si>
    <t>2021-11-25T21:40:53Z</t>
  </si>
  <si>
    <t>2021-11-24T05:04:26Z</t>
  </si>
  <si>
    <t>2021-11-26T22:07:51Z</t>
  </si>
  <si>
    <t>2021-11-23T16:05:17Z</t>
  </si>
  <si>
    <t>2021-11-24T08:14:26Z</t>
  </si>
  <si>
    <t>2021-11-24T15:12:49Z</t>
  </si>
  <si>
    <t>2021-11-26T15:54:11Z</t>
  </si>
  <si>
    <t>2021-11-28T10:38:06Z</t>
  </si>
  <si>
    <t>2021-11-24T23:51:53Z</t>
  </si>
  <si>
    <t>2021-11-22T02:10:11Z</t>
  </si>
  <si>
    <t>2021-11-26T15:54:24Z</t>
  </si>
  <si>
    <t>2021-11-24T08:15:20Z</t>
  </si>
  <si>
    <t>2021-11-27T20:19:58Z</t>
  </si>
  <si>
    <t>2021-11-23T16:05:23Z</t>
  </si>
  <si>
    <t>2021-11-28T10:38:32Z</t>
  </si>
  <si>
    <t>2021-11-27T09:12:42Z</t>
  </si>
  <si>
    <t>2021-11-28T03:41:59Z</t>
  </si>
  <si>
    <t>2021-11-23T16:06:16Z</t>
  </si>
  <si>
    <t>2021-11-25T21:42:32Z</t>
  </si>
  <si>
    <t>2021-11-23T20:10:37Z</t>
  </si>
  <si>
    <t>2021-11-24T08:16:03Z</t>
  </si>
  <si>
    <t>2021-11-21T19:21:08Z</t>
  </si>
  <si>
    <t>2021-11-25T20:11:28Z</t>
  </si>
  <si>
    <t>2021-11-23T16:57:07Z</t>
  </si>
  <si>
    <t>2021-11-25T21:43:06Z</t>
  </si>
  <si>
    <t>2021-11-25T19:20:50Z</t>
  </si>
  <si>
    <t>2021-11-26T09:23:26Z</t>
  </si>
  <si>
    <t>2021-11-24T02:24:40Z</t>
  </si>
  <si>
    <t>2021-11-28T08:58:32Z</t>
  </si>
  <si>
    <t>2021-11-27T18:07:50Z</t>
  </si>
  <si>
    <t>2021-11-26T15:55:32Z</t>
  </si>
  <si>
    <t>2021-11-24T05:02:07Z</t>
  </si>
  <si>
    <t>2021-11-28T14:19:41Z</t>
  </si>
  <si>
    <t>2021-11-26T12:12:39Z</t>
  </si>
  <si>
    <t>2021-11-24T05:08:51Z</t>
  </si>
  <si>
    <t>2021-11-24T05:02:55Z</t>
  </si>
  <si>
    <t>2021-11-24T15:12:40Z</t>
  </si>
  <si>
    <t>2021-11-27T10:17:32Z</t>
  </si>
  <si>
    <t>2021-11-26T15:56:23Z</t>
  </si>
  <si>
    <t>2021-11-22T15:26:14Z</t>
  </si>
  <si>
    <t>2021-11-24T22:08:13Z</t>
  </si>
  <si>
    <t>2021-11-26T15:05:03Z</t>
  </si>
  <si>
    <t>2021-11-24T05:09:10Z</t>
  </si>
  <si>
    <t>2021-11-28T10:40:49Z</t>
  </si>
  <si>
    <t>2021-11-23T18:44:01Z</t>
  </si>
  <si>
    <t>2021-11-26T15:56:51Z</t>
  </si>
  <si>
    <t>2021-11-24T03:28:05Z</t>
  </si>
  <si>
    <t>2021-11-21T14:13:58Z</t>
  </si>
  <si>
    <t>2021-11-22T23:06:53Z</t>
  </si>
  <si>
    <t>2021-11-21T15:12:14Z</t>
  </si>
  <si>
    <t>2021-11-26T12:42:43Z</t>
  </si>
  <si>
    <t>2021-11-23T20:12:26Z</t>
  </si>
  <si>
    <t>2021-11-24T05:55:31Z</t>
  </si>
  <si>
    <t>2021-11-22T20:02:34Z</t>
  </si>
  <si>
    <t>2021-11-24T17:54:15Z</t>
  </si>
  <si>
    <t>2021-11-21T09:43:59Z</t>
  </si>
  <si>
    <t>2021-11-24T03:29:19Z</t>
  </si>
  <si>
    <t>2021-11-28T10:42:00Z</t>
  </si>
  <si>
    <t>2021-11-27T17:21:29Z</t>
  </si>
  <si>
    <t>2021-11-25T20:15:23Z</t>
  </si>
  <si>
    <t>2021-11-24T15:14:03Z</t>
  </si>
  <si>
    <t>2021-11-22T20:00:11Z</t>
  </si>
  <si>
    <t>2021-11-25T12:11:23Z</t>
  </si>
  <si>
    <t>2021-11-26T15:57:51Z</t>
  </si>
  <si>
    <t>2021-11-20T16:45:31Z</t>
  </si>
  <si>
    <t>2021-11-24T15:14:18Z</t>
  </si>
  <si>
    <t>2021-11-28T08:59:51Z</t>
  </si>
  <si>
    <t>2021-11-26T16:59:15Z</t>
  </si>
  <si>
    <t>2021-11-27T15:38:23Z</t>
  </si>
  <si>
    <t>2021-11-28T14:20:22Z</t>
  </si>
  <si>
    <t>2021-11-24T04:58:06Z</t>
  </si>
  <si>
    <t>2021-11-26T15:58:32Z</t>
  </si>
  <si>
    <t>2021-11-20T23:55:34Z</t>
  </si>
  <si>
    <t>2021-11-23T20:14:06Z</t>
  </si>
  <si>
    <t>2021-11-27T19:13:35Z</t>
  </si>
  <si>
    <t>2021-11-24T22:10:55Z</t>
  </si>
  <si>
    <t>2021-11-20T23:56:03Z</t>
  </si>
  <si>
    <t>2021-11-23T20:14:33Z</t>
  </si>
  <si>
    <t>2021-11-23T04:27:51Z</t>
  </si>
  <si>
    <t>2021-11-23T06:01:37Z</t>
  </si>
  <si>
    <t>2021-11-25T20:08:56Z</t>
  </si>
  <si>
    <t>2021-11-24T05:07:30Z</t>
  </si>
  <si>
    <t>2021-11-23T20:15:48Z</t>
  </si>
  <si>
    <t>2021-11-25T15:06:17Z</t>
  </si>
  <si>
    <t>2021-11-27T20:26:28Z</t>
  </si>
  <si>
    <t>2021-11-26T06:40:32Z</t>
  </si>
  <si>
    <t>2021-11-24T05:05:05Z</t>
  </si>
  <si>
    <t>2021-11-24T05:17:58Z</t>
  </si>
  <si>
    <t>2021-11-24T15:50:34Z</t>
  </si>
  <si>
    <t>2021-11-26T06:41:17Z</t>
  </si>
  <si>
    <t>2021-11-20T23:58:53Z</t>
  </si>
  <si>
    <t>2021-11-23T20:16:37Z</t>
  </si>
  <si>
    <t>2021-11-21T17:45:33Z</t>
  </si>
  <si>
    <t>2021-11-26T16:52:16Z</t>
  </si>
  <si>
    <t>2021-11-26T06:42:12Z</t>
  </si>
  <si>
    <t>2021-11-23T20:16:53Z</t>
  </si>
  <si>
    <t>2021-11-22T01:16:38Z</t>
  </si>
  <si>
    <t>2021-11-21T03:36:14Z</t>
  </si>
  <si>
    <t>2021-11-20T23:59:56Z</t>
  </si>
  <si>
    <t>2021-11-21T00:00:12Z</t>
  </si>
  <si>
    <t>2021-11-26T06:43:07Z</t>
  </si>
  <si>
    <t>2021-11-27T06:57:14Z</t>
  </si>
  <si>
    <t>2021-11-21T00:00:36Z</t>
  </si>
  <si>
    <t>2021-11-26T06:43:48Z</t>
  </si>
  <si>
    <t>2021-11-21T16:38:18Z</t>
  </si>
  <si>
    <t>2021-11-26T06:44:23Z</t>
  </si>
  <si>
    <t>2021-11-28T08:58:58Z</t>
  </si>
  <si>
    <t>2021-11-21T23:58:08Z</t>
  </si>
  <si>
    <t>2021-11-25T17:43:31Z</t>
  </si>
  <si>
    <t>2021-11-25T08:44:11Z</t>
  </si>
  <si>
    <t>2021-11-25T11:58:05Z</t>
  </si>
  <si>
    <t>2021-11-27T01:27:07Z</t>
  </si>
  <si>
    <t>2021-11-22T01:18:55Z</t>
  </si>
  <si>
    <t>2021-11-24T15:14:57Z</t>
  </si>
  <si>
    <t>2021-11-22T01:19:08Z</t>
  </si>
  <si>
    <t>2021-11-27T14:56:31Z</t>
  </si>
  <si>
    <t>2021-11-27T09:24:38Z</t>
  </si>
  <si>
    <t>2021-11-24T15:12:16Z</t>
  </si>
  <si>
    <t>2021-11-24T19:59:42Z</t>
  </si>
  <si>
    <t>2021-11-28T03:55:53Z</t>
  </si>
  <si>
    <t>2021-11-24T19:58:22Z</t>
  </si>
  <si>
    <t>2021-11-27T14:56:50Z</t>
  </si>
  <si>
    <t>2021-11-28T17:08:13Z</t>
  </si>
  <si>
    <t>2021-11-28T16:09:52Z</t>
  </si>
  <si>
    <t>2021-11-25T11:59:27Z</t>
  </si>
  <si>
    <t>2021-11-27T18:13:01Z</t>
  </si>
  <si>
    <t>2021-11-26T06:47:09Z</t>
  </si>
  <si>
    <t>2021-11-23T00:04:53Z</t>
  </si>
  <si>
    <t>2021-11-26T06:47:43Z</t>
  </si>
  <si>
    <t>2021-11-22T01:20:53Z</t>
  </si>
  <si>
    <t>2021-11-22T23:25:37Z</t>
  </si>
  <si>
    <t>2021-11-23T18:44:47Z</t>
  </si>
  <si>
    <t>2021-11-25T08:53:03Z</t>
  </si>
  <si>
    <t>2021-11-28T16:28:54Z</t>
  </si>
  <si>
    <t>2021-11-21T16:38:38Z</t>
  </si>
  <si>
    <t>2021-11-26T02:52:58Z</t>
  </si>
  <si>
    <t>2021-11-26T12:43:29Z</t>
  </si>
  <si>
    <t>2021-11-24T17:33:30Z</t>
  </si>
  <si>
    <t>2021-11-24T03:44:40Z</t>
  </si>
  <si>
    <t>2021-11-28T00:13:11Z</t>
  </si>
  <si>
    <t>2021-11-25T15:20:13Z</t>
  </si>
  <si>
    <t>2021-11-24T15:20:13Z</t>
  </si>
  <si>
    <t>2021-11-25T22:56:25Z</t>
  </si>
  <si>
    <t>2021-11-26T06:49:44Z</t>
  </si>
  <si>
    <t>2021-11-24T15:20:25Z</t>
  </si>
  <si>
    <t>2021-11-21T00:05:20Z</t>
  </si>
  <si>
    <t>2021-11-24T15:20:37Z</t>
  </si>
  <si>
    <t>2021-11-24T15:20:52Z</t>
  </si>
  <si>
    <t>2021-11-24T20:03:12Z</t>
  </si>
  <si>
    <t>2021-11-22T02:38:07Z</t>
  </si>
  <si>
    <t>2021-11-24T15:21:05Z</t>
  </si>
  <si>
    <t>2021-11-26T06:51:01Z</t>
  </si>
  <si>
    <t>2021-11-25T19:21:15Z</t>
  </si>
  <si>
    <t>2021-11-24T15:11:27Z</t>
  </si>
  <si>
    <t>2021-11-24T15:21:20Z</t>
  </si>
  <si>
    <t>2021-11-26T00:28:41Z</t>
  </si>
  <si>
    <t>2021-11-27T11:43:52Z</t>
  </si>
  <si>
    <t>2021-11-24T15:11:16Z</t>
  </si>
  <si>
    <t>2021-11-24T15:21:34Z</t>
  </si>
  <si>
    <t>2021-11-22T23:20:29Z</t>
  </si>
  <si>
    <t>2021-11-26T04:31:04Z</t>
  </si>
  <si>
    <t>2021-11-24T15:21:56Z</t>
  </si>
  <si>
    <t>2021-11-21T17:46:10Z</t>
  </si>
  <si>
    <t>2021-11-26T00:29:44Z</t>
  </si>
  <si>
    <t>2021-11-27T11:44:32Z</t>
  </si>
  <si>
    <t>2021-11-24T20:19:43Z</t>
  </si>
  <si>
    <t>2021-11-26T06:53:22Z</t>
  </si>
  <si>
    <t>2021-11-24T15:22:12Z</t>
  </si>
  <si>
    <t>2021-11-25T23:00:05Z</t>
  </si>
  <si>
    <t>2021-11-24T15:22:44Z</t>
  </si>
  <si>
    <t>2021-11-24T18:25:33Z</t>
  </si>
  <si>
    <t>2021-11-27T11:45:08Z</t>
  </si>
  <si>
    <t>2021-11-26T06:54:25Z</t>
  </si>
  <si>
    <t>2021-11-24T15:22:55Z</t>
  </si>
  <si>
    <t>2021-11-25T04:12:24Z</t>
  </si>
  <si>
    <t>2021-11-25T04:12:39Z</t>
  </si>
  <si>
    <t>2021-11-24T15:23:22Z</t>
  </si>
  <si>
    <t>2021-11-24T22:20:29Z</t>
  </si>
  <si>
    <t>2021-11-26T06:55:16Z</t>
  </si>
  <si>
    <t>2021-11-22T18:40:11Z</t>
  </si>
  <si>
    <t>2021-11-25T17:48:29Z</t>
  </si>
  <si>
    <t>2021-11-21T15:51:35Z</t>
  </si>
  <si>
    <t>2021-11-24T23:55:28Z</t>
  </si>
  <si>
    <t>2021-11-23T18:55:55Z</t>
  </si>
  <si>
    <t>2021-11-22T00:06:56Z</t>
  </si>
  <si>
    <t>2021-11-24T22:22:49Z</t>
  </si>
  <si>
    <t>2021-11-26T06:56:15Z</t>
  </si>
  <si>
    <t>2021-11-24T05:06:48Z</t>
  </si>
  <si>
    <t>2021-11-27T12:40:01Z</t>
  </si>
  <si>
    <t>2021-11-24T23:55:42Z</t>
  </si>
  <si>
    <t>2021-11-25T19:24:15Z</t>
  </si>
  <si>
    <t>2021-11-24T17:15:00Z</t>
  </si>
  <si>
    <t>2021-11-26T06:57:24Z</t>
  </si>
  <si>
    <t>2021-11-26T16:26:16Z</t>
  </si>
  <si>
    <t>2021-11-21T15:52:31Z</t>
  </si>
  <si>
    <t>2021-11-26T06:57:57Z</t>
  </si>
  <si>
    <t>2021-11-25T19:28:13Z</t>
  </si>
  <si>
    <t>2021-11-28T09:04:15Z</t>
  </si>
  <si>
    <t>2021-11-25T19:24:50Z</t>
  </si>
  <si>
    <t>2021-11-23T12:20:40Z</t>
  </si>
  <si>
    <t>2021-11-26T06:58:31Z</t>
  </si>
  <si>
    <t>2021-11-28T10:09:28Z</t>
  </si>
  <si>
    <t>2021-11-28T09:04:51Z</t>
  </si>
  <si>
    <t>2021-11-23T20:25:27Z</t>
  </si>
  <si>
    <t>2021-11-23T12:24:49Z</t>
  </si>
  <si>
    <t>2021-11-28T23:19:39Z</t>
  </si>
  <si>
    <t>2021-11-26T06:59:33Z</t>
  </si>
  <si>
    <t>2021-11-24T23:57:45Z</t>
  </si>
  <si>
    <t>2021-11-28T18:12:22Z</t>
  </si>
  <si>
    <t>2021-11-26T09:47:22Z</t>
  </si>
  <si>
    <t>2021-11-24T16:25:10Z</t>
  </si>
  <si>
    <t>2021-11-28T17:55:57Z</t>
  </si>
  <si>
    <t>2021-11-27T12:42:28Z</t>
  </si>
  <si>
    <t>2021-11-21T04:02:39Z</t>
  </si>
  <si>
    <t>2021-11-24T02:16:44Z</t>
  </si>
  <si>
    <t>2021-11-26T17:02:02Z</t>
  </si>
  <si>
    <t>2021-11-21T19:52:33Z</t>
  </si>
  <si>
    <t>2021-11-25T19:28:45Z</t>
  </si>
  <si>
    <t>2021-11-26T07:01:39Z</t>
  </si>
  <si>
    <t>2021-11-25T20:18:20Z</t>
  </si>
  <si>
    <t>2021-11-26T17:02:37Z</t>
  </si>
  <si>
    <t>2021-11-26T03:41:34Z</t>
  </si>
  <si>
    <t>2021-11-21T15:12:07Z</t>
  </si>
  <si>
    <t>2021-11-28T23:50:42Z</t>
  </si>
  <si>
    <t>2021-11-25T20:13:03Z</t>
  </si>
  <si>
    <t>2021-11-28T23:22:02Z</t>
  </si>
  <si>
    <t>2021-11-25T19:28:57Z</t>
  </si>
  <si>
    <t>2021-11-21T23:09:36Z</t>
  </si>
  <si>
    <t>2021-11-25T19:29:07Z</t>
  </si>
  <si>
    <t>2021-11-25T19:29:16Z</t>
  </si>
  <si>
    <t>2021-11-24T03:32:48Z</t>
  </si>
  <si>
    <t>2021-11-26T17:03:18Z</t>
  </si>
  <si>
    <t>2021-11-21T16:53:32Z</t>
  </si>
  <si>
    <t>2021-11-26T07:03:34Z</t>
  </si>
  <si>
    <t>2021-11-25T19:29:24Z</t>
  </si>
  <si>
    <t>2021-11-28T20:21:43Z</t>
  </si>
  <si>
    <t>2021-11-21T02:36:52Z</t>
  </si>
  <si>
    <t>2021-11-21T16:37:47Z</t>
  </si>
  <si>
    <t>2021-11-25T19:29:37Z</t>
  </si>
  <si>
    <t>2021-11-25T19:20:07Z</t>
  </si>
  <si>
    <t>2021-11-26T07:04:43Z</t>
  </si>
  <si>
    <t>2021-11-28T09:09:08Z</t>
  </si>
  <si>
    <t>2021-11-21T04:03:55Z</t>
  </si>
  <si>
    <t>2021-11-26T07:05:24Z</t>
  </si>
  <si>
    <t>2021-11-25T20:04:44Z</t>
  </si>
  <si>
    <t>2021-11-28T20:25:01Z</t>
  </si>
  <si>
    <t>2021-11-25T19:29:58Z</t>
  </si>
  <si>
    <t>2021-11-28T19:23:54Z</t>
  </si>
  <si>
    <t>2021-11-26T08:30:32Z</t>
  </si>
  <si>
    <t>2021-11-26T07:06:47Z</t>
  </si>
  <si>
    <t>2021-11-24T15:12:30Z</t>
  </si>
  <si>
    <t>2021-11-28T14:35:19Z</t>
  </si>
  <si>
    <t>2021-11-23T12:26:59Z</t>
  </si>
  <si>
    <t>2021-11-21T16:38:54Z</t>
  </si>
  <si>
    <t>2021-11-25T14:25:50Z</t>
  </si>
  <si>
    <t>2021-11-24T19:20:17Z</t>
  </si>
  <si>
    <t>2021-11-21T16:38:57Z</t>
  </si>
  <si>
    <t>2021-11-28T18:41:55Z</t>
  </si>
  <si>
    <t>2021-11-26T12:44:31Z</t>
  </si>
  <si>
    <t>2021-11-26T12:33:35Z</t>
  </si>
  <si>
    <t>2021-11-26T07:07:33Z</t>
  </si>
  <si>
    <t>2021-11-24T16:55:09Z</t>
  </si>
  <si>
    <t>2021-11-24T04:57:45Z</t>
  </si>
  <si>
    <t>2021-11-25T19:30:28Z</t>
  </si>
  <si>
    <t>2021-11-26T07:08:16Z</t>
  </si>
  <si>
    <t>2021-11-24T16:21:34Z</t>
  </si>
  <si>
    <t>2021-11-28T00:28:04Z</t>
  </si>
  <si>
    <t>2021-11-23T00:48:51Z</t>
  </si>
  <si>
    <t>2021-11-23T18:56:42Z</t>
  </si>
  <si>
    <t>2021-11-26T23:25:20Z</t>
  </si>
  <si>
    <t>2021-11-26T07:09:11Z</t>
  </si>
  <si>
    <t>2021-11-24T22:31:30Z</t>
  </si>
  <si>
    <t>2021-11-24T05:52:54Z</t>
  </si>
  <si>
    <t>2021-11-21T16:39:55Z</t>
  </si>
  <si>
    <t>2021-11-28T15:24:18Z</t>
  </si>
  <si>
    <t>2021-11-28T18:43:03Z</t>
  </si>
  <si>
    <t>2021-11-26T07:10:13Z</t>
  </si>
  <si>
    <t>TypeID</t>
  </si>
  <si>
    <t>Tax Rate</t>
  </si>
  <si>
    <t>Profit</t>
  </si>
  <si>
    <t>Buy</t>
  </si>
  <si>
    <t>#</t>
  </si>
  <si>
    <t>Category</t>
  </si>
  <si>
    <t>Ammo</t>
  </si>
  <si>
    <t>Drone</t>
  </si>
  <si>
    <t>Skillbook</t>
  </si>
  <si>
    <t xml:space="preserve"> </t>
  </si>
  <si>
    <t>Order Date</t>
  </si>
  <si>
    <t>2021-12-02T04:17:41Z</t>
  </si>
  <si>
    <t>2021-12-08T07:55:47Z</t>
  </si>
  <si>
    <t>2021-12-05T21:13:44Z</t>
  </si>
  <si>
    <t>2021-12-04T21:24:39Z</t>
  </si>
  <si>
    <t>2021-12-02T21:49:07Z</t>
  </si>
  <si>
    <t>2021-12-02T04:18:13Z</t>
  </si>
  <si>
    <t>2021-12-03T12:46:05Z</t>
  </si>
  <si>
    <t>2021-12-02T05:03:14Z</t>
  </si>
  <si>
    <t>2021-11-29T19:31:15Z</t>
  </si>
  <si>
    <t>2021-12-02T04:56:21Z</t>
  </si>
  <si>
    <t>2021-12-10T21:18:03Z</t>
  </si>
  <si>
    <t>2021-12-06T23:35:06Z</t>
  </si>
  <si>
    <t>2021-12-09T03:47:23Z</t>
  </si>
  <si>
    <t>2021-12-06T04:23:10Z</t>
  </si>
  <si>
    <t>2021-12-09T07:12:28Z</t>
  </si>
  <si>
    <t>2021-12-07T06:15:49Z</t>
  </si>
  <si>
    <t>2021-12-02T04:19:27Z</t>
  </si>
  <si>
    <t>2021-12-10T21:18:19Z</t>
  </si>
  <si>
    <t>2021-12-05T00:31:47Z</t>
  </si>
  <si>
    <t>2021-12-02T04:19:40Z</t>
  </si>
  <si>
    <t>2021-12-11T16:19:15Z</t>
  </si>
  <si>
    <t>2021-12-11T18:49:34Z</t>
  </si>
  <si>
    <t>2021-12-06T10:01:17Z</t>
  </si>
  <si>
    <t>2021-12-05T11:31:24Z</t>
  </si>
  <si>
    <t>2021-12-04T15:09:28Z</t>
  </si>
  <si>
    <t>2021-12-11T07:02:33Z</t>
  </si>
  <si>
    <t>2021-12-02T04:56:26Z</t>
  </si>
  <si>
    <t>2021-12-01T19:42:59Z</t>
  </si>
  <si>
    <t>2021-12-04T21:25:37Z</t>
  </si>
  <si>
    <t>2021-12-01T20:37:52Z</t>
  </si>
  <si>
    <t>2021-12-09T10:11:41Z</t>
  </si>
  <si>
    <t>2021-11-30T18:02:09Z</t>
  </si>
  <si>
    <t>2021-11-29T16:28:55Z</t>
  </si>
  <si>
    <t>2021-12-08T08:25:11Z</t>
  </si>
  <si>
    <t>2021-12-05T21:15:22Z</t>
  </si>
  <si>
    <t>2021-11-30T22:21:16Z</t>
  </si>
  <si>
    <t>2021-12-02T11:42:24Z</t>
  </si>
  <si>
    <t>2021-12-04T22:13:33Z</t>
  </si>
  <si>
    <t>2021-12-09T11:52:50Z</t>
  </si>
  <si>
    <t>2021-12-07T05:52:26Z</t>
  </si>
  <si>
    <t>2021-11-30T22:21:34Z</t>
  </si>
  <si>
    <t>2021-12-06T19:48:20Z</t>
  </si>
  <si>
    <t>2021-12-08T11:27:37Z</t>
  </si>
  <si>
    <t>2021-12-04T12:49:26Z</t>
  </si>
  <si>
    <t>2021-12-10T19:06:40Z</t>
  </si>
  <si>
    <t>2021-12-05T11:32:25Z</t>
  </si>
  <si>
    <t>2021-11-30T22:21:42Z</t>
  </si>
  <si>
    <t>2021-12-09T11:52:59Z</t>
  </si>
  <si>
    <t>2021-12-03T23:26:59Z</t>
  </si>
  <si>
    <t>2021-11-29T10:54:16Z</t>
  </si>
  <si>
    <t>2021-12-02T04:22:16Z</t>
  </si>
  <si>
    <t>2021-12-04T00:37:33Z</t>
  </si>
  <si>
    <t>2021-12-11T13:37:19Z</t>
  </si>
  <si>
    <t>2021-12-11T13:42:56Z</t>
  </si>
  <si>
    <t>2021-12-02T04:22:55Z</t>
  </si>
  <si>
    <t>2021-12-09T11:53:16Z</t>
  </si>
  <si>
    <t>2021-11-30T22:22:03Z</t>
  </si>
  <si>
    <t>2021-12-04T15:37:45Z</t>
  </si>
  <si>
    <t>2021-12-08T15:44:33Z</t>
  </si>
  <si>
    <t>2021-11-29T13:36:23Z</t>
  </si>
  <si>
    <t>2021-12-10T13:33:24Z</t>
  </si>
  <si>
    <t>2021-12-05T06:00:38Z</t>
  </si>
  <si>
    <t>2021-12-09T08:45:35Z</t>
  </si>
  <si>
    <t>2021-12-08T05:22:04Z</t>
  </si>
  <si>
    <t>2021-11-29T16:29:59Z</t>
  </si>
  <si>
    <t>2021-12-02T04:23:31Z</t>
  </si>
  <si>
    <t>2021-12-02T04:36:34Z</t>
  </si>
  <si>
    <t>2021-12-11T13:37:43Z</t>
  </si>
  <si>
    <t>2021-12-02T04:23:42Z</t>
  </si>
  <si>
    <t>2021-12-11T13:20:46Z</t>
  </si>
  <si>
    <t>2021-12-05T11:33:43Z</t>
  </si>
  <si>
    <t>2021-12-11T16:17:50Z</t>
  </si>
  <si>
    <t>2021-12-08T14:45:35Z</t>
  </si>
  <si>
    <t>2021-12-02T04:24:32Z</t>
  </si>
  <si>
    <t>2021-12-05T06:00:16Z</t>
  </si>
  <si>
    <t>2021-12-10T10:09:19Z</t>
  </si>
  <si>
    <t>2021-12-04T08:54:41Z</t>
  </si>
  <si>
    <t>2021-12-11T14:11:14Z</t>
  </si>
  <si>
    <t>2021-12-05T10:08:38Z</t>
  </si>
  <si>
    <t>2021-12-02T04:25:26Z</t>
  </si>
  <si>
    <t>2021-12-05T07:01:56Z</t>
  </si>
  <si>
    <t>2021-12-05T21:08:21Z</t>
  </si>
  <si>
    <t>2021-12-06T17:14:46Z</t>
  </si>
  <si>
    <t>2021-12-05T21:08:36Z</t>
  </si>
  <si>
    <t>2021-12-05T15:49:38Z</t>
  </si>
  <si>
    <t>2021-12-01T04:11:17Z</t>
  </si>
  <si>
    <t>2021-12-11T16:22:35Z</t>
  </si>
  <si>
    <t>2021-12-05T21:08:54Z</t>
  </si>
  <si>
    <t>2021-11-29T16:31:28Z</t>
  </si>
  <si>
    <t>2021-12-05T21:09:07Z</t>
  </si>
  <si>
    <t>2021-12-11T16:19:03Z</t>
  </si>
  <si>
    <t>2021-12-02T20:07:24Z</t>
  </si>
  <si>
    <t>2021-12-03T15:14:12Z</t>
  </si>
  <si>
    <t>2021-12-02T18:37:05Z</t>
  </si>
  <si>
    <t>2021-12-05T21:11:19Z</t>
  </si>
  <si>
    <t>2021-12-07T23:56:12Z</t>
  </si>
  <si>
    <t>2021-12-11T19:29:45Z</t>
  </si>
  <si>
    <t>2021-12-05T07:03:51Z</t>
  </si>
  <si>
    <t>2021-12-04T20:57:30Z</t>
  </si>
  <si>
    <t>2021-12-08T02:59:03Z</t>
  </si>
  <si>
    <t>2021-12-06T09:42:33Z</t>
  </si>
  <si>
    <t>2021-12-06T09:42:46Z</t>
  </si>
  <si>
    <t>2021-12-05T21:09:18Z</t>
  </si>
  <si>
    <t>2021-12-07T03:05:36Z</t>
  </si>
  <si>
    <t>2021-12-02T20:58:00Z</t>
  </si>
  <si>
    <t>2021-12-07T16:49:16Z</t>
  </si>
  <si>
    <t>2021-12-02T04:30:11Z</t>
  </si>
  <si>
    <t>2021-12-01T16:28:10Z</t>
  </si>
  <si>
    <t>2021-12-02T11:43:48Z</t>
  </si>
  <si>
    <t>2021-12-02T04:56:43Z</t>
  </si>
  <si>
    <t>2021-12-02T20:08:16Z</t>
  </si>
  <si>
    <t>2021-12-05T21:09:31Z</t>
  </si>
  <si>
    <t>2021-12-02T05:03:23Z</t>
  </si>
  <si>
    <t>2021-12-10T09:01:10Z</t>
  </si>
  <si>
    <t>2021-12-11T18:37:14Z</t>
  </si>
  <si>
    <t>2021-12-04T15:16:06Z</t>
  </si>
  <si>
    <t>2021-12-03T15:14:37Z</t>
  </si>
  <si>
    <t>2021-12-06T09:44:21Z</t>
  </si>
  <si>
    <t>2021-11-29T19:32:01Z</t>
  </si>
  <si>
    <t>2021-11-29T02:00:09Z</t>
  </si>
  <si>
    <t>2021-12-02T04:31:18Z</t>
  </si>
  <si>
    <t>2021-12-08T14:48:53Z</t>
  </si>
  <si>
    <t>2021-12-01T05:35:00Z</t>
  </si>
  <si>
    <t>2021-12-06T09:44:49Z</t>
  </si>
  <si>
    <t>2021-12-08T03:00:28Z</t>
  </si>
  <si>
    <t>2021-12-03T15:14:46Z</t>
  </si>
  <si>
    <t>2021-11-29T12:35:30Z</t>
  </si>
  <si>
    <t>2021-12-09T16:34:10Z</t>
  </si>
  <si>
    <t>2021-12-08T07:10:22Z</t>
  </si>
  <si>
    <t>2021-12-03T16:39:52Z</t>
  </si>
  <si>
    <t>2021-11-30T22:26:41Z</t>
  </si>
  <si>
    <t>2021-11-30T20:34:39Z</t>
  </si>
  <si>
    <t>2021-12-06T20:43:43Z</t>
  </si>
  <si>
    <t>2021-12-01T16:41:06Z</t>
  </si>
  <si>
    <t>2021-12-06T19:59:47Z</t>
  </si>
  <si>
    <t>2021-12-09T17:22:50Z</t>
  </si>
  <si>
    <t>2021-11-30T07:13:25Z</t>
  </si>
  <si>
    <t>2021-12-07T20:31:26Z</t>
  </si>
  <si>
    <t>2021-12-07T16:49:55Z</t>
  </si>
  <si>
    <t>2021-12-10T23:55:47Z</t>
  </si>
  <si>
    <t>2021-11-29T23:29:03Z</t>
  </si>
  <si>
    <t>2021-12-10T09:03:15Z</t>
  </si>
  <si>
    <t>2021-11-30T22:27:15Z</t>
  </si>
  <si>
    <t>2021-12-07T06:58:57Z</t>
  </si>
  <si>
    <t>2021-12-10T08:01:21Z</t>
  </si>
  <si>
    <t>2021-12-06T09:45:55Z</t>
  </si>
  <si>
    <t>2021-12-02T04:33:55Z</t>
  </si>
  <si>
    <t>2021-12-04T19:16:23Z</t>
  </si>
  <si>
    <t>2021-12-02T04:34:01Z</t>
  </si>
  <si>
    <t>2021-12-09T06:28:11Z</t>
  </si>
  <si>
    <t>2021-12-11T01:08:44Z</t>
  </si>
  <si>
    <t>2021-12-06T09:46:17Z</t>
  </si>
  <si>
    <t>2021-11-29T17:18:10Z</t>
  </si>
  <si>
    <t>2021-11-30T02:13:39Z</t>
  </si>
  <si>
    <t>2021-12-05T12:25:52Z</t>
  </si>
  <si>
    <t>2021-12-02T04:34:28Z</t>
  </si>
  <si>
    <t>2021-11-30T02:13:54Z</t>
  </si>
  <si>
    <t>2021-12-08T01:20:12Z</t>
  </si>
  <si>
    <t>2021-12-06T09:46:43Z</t>
  </si>
  <si>
    <t>2021-12-05T17:12:43Z</t>
  </si>
  <si>
    <t>2021-12-06T01:09:52Z</t>
  </si>
  <si>
    <t>2021-12-07T13:35:47Z</t>
  </si>
  <si>
    <t>2021-12-05T07:08:59Z</t>
  </si>
  <si>
    <t>2021-12-04T08:48:03Z</t>
  </si>
  <si>
    <t>2021-12-06T21:44:41Z</t>
  </si>
  <si>
    <t>2021-12-02T04:35:11Z</t>
  </si>
  <si>
    <t>2021-12-01T19:31:06Z</t>
  </si>
  <si>
    <t>2021-12-08T01:20:36Z</t>
  </si>
  <si>
    <t>2021-12-02T04:35:23Z</t>
  </si>
  <si>
    <t>2021-12-11T20:01:57Z</t>
  </si>
  <si>
    <t>2021-12-01T19:27:16Z</t>
  </si>
  <si>
    <t>2021-12-11T01:09:45Z</t>
  </si>
  <si>
    <t>2021-11-29T23:30:43Z</t>
  </si>
  <si>
    <t>2021-11-30T17:22:10Z</t>
  </si>
  <si>
    <t>2021-12-05T21:09:50Z</t>
  </si>
  <si>
    <t>2021-12-09T17:24:10Z</t>
  </si>
  <si>
    <t>2021-11-30T02:15:14Z</t>
  </si>
  <si>
    <t>2021-12-06T09:47:47Z</t>
  </si>
  <si>
    <t>2021-12-08T18:43:28Z</t>
  </si>
  <si>
    <t>2021-12-05T15:48:32Z</t>
  </si>
  <si>
    <t>2021-12-08T19:15:14Z</t>
  </si>
  <si>
    <t>2021-12-05T15:50:27Z</t>
  </si>
  <si>
    <t>2021-12-09T17:24:26Z</t>
  </si>
  <si>
    <t>2021-12-08T19:14:55Z</t>
  </si>
  <si>
    <t>2021-12-06T09:48:17Z</t>
  </si>
  <si>
    <t>2021-12-07T13:36:33Z</t>
  </si>
  <si>
    <t>2021-12-02T04:36:40Z</t>
  </si>
  <si>
    <t>2021-12-06T09:48:29Z</t>
  </si>
  <si>
    <t>2021-12-06T09:48:44Z</t>
  </si>
  <si>
    <t>2021-12-03T12:45:04Z</t>
  </si>
  <si>
    <t>2021-12-03T12:48:29Z</t>
  </si>
  <si>
    <t>2021-12-07T13:36:56Z</t>
  </si>
  <si>
    <t>2021-12-08T07:08:12Z</t>
  </si>
  <si>
    <t>2021-12-02T05:04:05Z</t>
  </si>
  <si>
    <t>2021-12-06T09:48:58Z</t>
  </si>
  <si>
    <t>2021-12-02T20:30:24Z</t>
  </si>
  <si>
    <t>2021-12-07T09:21:30Z</t>
  </si>
  <si>
    <t>2021-12-10T09:06:28Z</t>
  </si>
  <si>
    <t>2021-12-03T14:45:53Z</t>
  </si>
  <si>
    <t>2021-12-02T04:37:52Z</t>
  </si>
  <si>
    <t>2021-12-06T09:49:44Z</t>
  </si>
  <si>
    <t>2021-12-08T14:53:17Z</t>
  </si>
  <si>
    <t>2021-12-07T03:06:15Z</t>
  </si>
  <si>
    <t>2021-12-05T04:23:47Z</t>
  </si>
  <si>
    <t>2021-12-08T04:06:53Z</t>
  </si>
  <si>
    <t>2021-11-29T17:17:53Z</t>
  </si>
  <si>
    <t>2021-12-08T07:56:10Z</t>
  </si>
  <si>
    <t>2021-12-05T18:27:50Z</t>
  </si>
  <si>
    <t>2021-12-02T04:38:41Z</t>
  </si>
  <si>
    <t>2021-12-10T09:07:08Z</t>
  </si>
  <si>
    <t>2021-12-08T04:07:34Z</t>
  </si>
  <si>
    <t>2021-12-02T05:04:23Z</t>
  </si>
  <si>
    <t>2021-12-05T07:11:43Z</t>
  </si>
  <si>
    <t>2021-12-11T13:43:49Z</t>
  </si>
  <si>
    <t>2021-12-01T13:20:04Z</t>
  </si>
  <si>
    <t>2021-12-05T20:35:14Z</t>
  </si>
  <si>
    <t>2021-12-02T11:43:56Z</t>
  </si>
  <si>
    <t>2021-12-07T02:51:00Z</t>
  </si>
  <si>
    <t>2021-12-08T11:43:21Z</t>
  </si>
  <si>
    <t>2021-12-05T17:20:02Z</t>
  </si>
  <si>
    <t>2021-12-10T16:52:23Z</t>
  </si>
  <si>
    <t>2021-12-08T18:38:31Z</t>
  </si>
  <si>
    <t>2021-12-02T04:39:21Z</t>
  </si>
  <si>
    <t>2021-12-08T19:13:44Z</t>
  </si>
  <si>
    <t>2021-12-02T06:23:40Z</t>
  </si>
  <si>
    <t>2021-12-11T16:23:55Z</t>
  </si>
  <si>
    <t>2021-12-09T11:43:29Z</t>
  </si>
  <si>
    <t>2021-12-04T15:11:09Z</t>
  </si>
  <si>
    <t>2021-12-06T09:51:44Z</t>
  </si>
  <si>
    <t>2021-12-05T07:12:32Z</t>
  </si>
  <si>
    <t>2021-12-02T04:39:54Z</t>
  </si>
  <si>
    <t>2021-12-03T03:27:57Z</t>
  </si>
  <si>
    <t>2021-11-29T10:01:58Z</t>
  </si>
  <si>
    <t>2021-12-05T07:12:49Z</t>
  </si>
  <si>
    <t>2021-11-29T03:42:24Z</t>
  </si>
  <si>
    <t>2021-12-11T16:24:23Z</t>
  </si>
  <si>
    <t>2021-12-02T04:40:28Z</t>
  </si>
  <si>
    <t>2021-12-11T13:44:29Z</t>
  </si>
  <si>
    <t>2021-12-07T17:38:28Z</t>
  </si>
  <si>
    <t>2021-12-07T04:30:11Z</t>
  </si>
  <si>
    <t>2021-11-29T03:53:06Z</t>
  </si>
  <si>
    <t>2021-12-06T23:58:21Z</t>
  </si>
  <si>
    <t>2021-11-29T15:42:21Z</t>
  </si>
  <si>
    <t>2021-12-02T04:56:35Z</t>
  </si>
  <si>
    <t>2021-12-04T15:13:30Z</t>
  </si>
  <si>
    <t>2021-11-29T03:42:51Z</t>
  </si>
  <si>
    <t>2021-12-02T04:41:07Z</t>
  </si>
  <si>
    <t>2021-12-11T13:44:51Z</t>
  </si>
  <si>
    <t>2021-11-29T12:41:57Z</t>
  </si>
  <si>
    <t>2021-11-29T17:19:47Z</t>
  </si>
  <si>
    <t>2021-12-02T06:24:50Z</t>
  </si>
  <si>
    <t>2021-11-29T03:43:25Z</t>
  </si>
  <si>
    <t>2021-12-10T09:08:39Z</t>
  </si>
  <si>
    <t>2021-12-03T12:42:37Z</t>
  </si>
  <si>
    <t>2021-12-03T12:43:32Z</t>
  </si>
  <si>
    <t>2021-12-03T12:46:55Z</t>
  </si>
  <si>
    <t>2021-12-03T12:44:54Z</t>
  </si>
  <si>
    <t>2021-12-02T06:25:17Z</t>
  </si>
  <si>
    <t>2021-12-02T04:42:09Z</t>
  </si>
  <si>
    <t>2021-12-01T19:31:45Z</t>
  </si>
  <si>
    <t>2021-12-02T04:42:13Z</t>
  </si>
  <si>
    <t>2021-12-11T13:45:13Z</t>
  </si>
  <si>
    <t>2021-12-02T04:27:14Z</t>
  </si>
  <si>
    <t>2021-12-10T16:59:31Z</t>
  </si>
  <si>
    <t>2021-12-11T18:07:53Z</t>
  </si>
  <si>
    <t>2021-12-06T09:54:08Z</t>
  </si>
  <si>
    <t>2021-12-04T00:53:13Z</t>
  </si>
  <si>
    <t>2021-12-04T06:38:23Z</t>
  </si>
  <si>
    <t>2021-12-10T16:59:44Z</t>
  </si>
  <si>
    <t>2021-12-11T01:14:55Z</t>
  </si>
  <si>
    <t>2021-12-06T09:54:20Z</t>
  </si>
  <si>
    <t>2021-12-05T21:10:49Z</t>
  </si>
  <si>
    <t>2021-12-08T04:10:46Z</t>
  </si>
  <si>
    <t>2021-12-06T19:10:17Z</t>
  </si>
  <si>
    <t>2021-12-03T03:27:33Z</t>
  </si>
  <si>
    <t>2021-12-02T05:04:44Z</t>
  </si>
  <si>
    <t>2021-12-10T21:27:50Z</t>
  </si>
  <si>
    <t>2021-12-06T09:54:46Z</t>
  </si>
  <si>
    <t>2021-12-02T04:43:51Z</t>
  </si>
  <si>
    <t>2021-12-08T07:20:08Z</t>
  </si>
  <si>
    <t>2021-12-07T10:43:31Z</t>
  </si>
  <si>
    <t>2021-12-02T04:57:21Z</t>
  </si>
  <si>
    <t>2021-12-06T09:55:11Z</t>
  </si>
  <si>
    <t>2021-12-06T21:49:06Z</t>
  </si>
  <si>
    <t>2021-12-04T06:39:51Z</t>
  </si>
  <si>
    <t>2021-12-07T15:37:41Z</t>
  </si>
  <si>
    <t>2021-12-06T19:59:26Z</t>
  </si>
  <si>
    <t>2021-12-06T15:47:54Z</t>
  </si>
  <si>
    <t>2021-12-08T02:48:12Z</t>
  </si>
  <si>
    <t>2021-11-29T21:27:58Z</t>
  </si>
  <si>
    <t>2021-12-03T12:49:07Z</t>
  </si>
  <si>
    <t>2021-12-02T04:56:52Z</t>
  </si>
  <si>
    <t>2021-12-06T09:56:02Z</t>
  </si>
  <si>
    <t>2021-12-11T13:51:29Z</t>
  </si>
  <si>
    <t>2021-11-30T18:13:39Z</t>
  </si>
  <si>
    <t>2021-11-29T15:47:12Z</t>
  </si>
  <si>
    <t>2021-12-08T02:53:52Z</t>
  </si>
  <si>
    <t>2021-12-01T01:27:49Z</t>
  </si>
  <si>
    <t>2021-12-05T17:12:29Z</t>
  </si>
  <si>
    <t>2021-12-05T20:38:13Z</t>
  </si>
  <si>
    <t>2021-11-29T15:47:30Z</t>
  </si>
  <si>
    <t>2021-12-06T09:56:27Z</t>
  </si>
  <si>
    <t>2021-12-11T13:46:49Z</t>
  </si>
  <si>
    <t>2021-12-02T14:01:19Z</t>
  </si>
  <si>
    <t>2021-12-07T03:23:59Z</t>
  </si>
  <si>
    <t>2021-12-09T16:20:54Z</t>
  </si>
  <si>
    <t>2021-12-02T04:45:49Z</t>
  </si>
  <si>
    <t>2021-12-07T06:17:58Z</t>
  </si>
  <si>
    <t>2021-12-10T08:03:08Z</t>
  </si>
  <si>
    <t>2021-12-04T22:26:39Z</t>
  </si>
  <si>
    <t>2021-11-29T17:19:40Z</t>
  </si>
  <si>
    <t>2021-11-29T17:13:55Z</t>
  </si>
  <si>
    <t>2021-12-08T19:16:54Z</t>
  </si>
  <si>
    <t>2021-12-08T14:28:34Z</t>
  </si>
  <si>
    <t>2021-12-06T21:57:36Z</t>
  </si>
  <si>
    <t>2021-12-09T04:33:36Z</t>
  </si>
  <si>
    <t>2021-12-07T12:40:31Z</t>
  </si>
  <si>
    <t>2021-12-11T13:47:34Z</t>
  </si>
  <si>
    <t>2021-11-29T09:55:17Z</t>
  </si>
  <si>
    <t>2021-12-11T02:27:38Z</t>
  </si>
  <si>
    <t>2021-12-08T01:00:20Z</t>
  </si>
  <si>
    <t>2021-12-10T09:13:22Z</t>
  </si>
  <si>
    <t>2021-12-07T06:20:24Z</t>
  </si>
  <si>
    <t>2021-12-06T13:51:57Z</t>
  </si>
  <si>
    <t>2021-12-11T13:47:50Z</t>
  </si>
  <si>
    <t>2021-11-29T07:24:58Z</t>
  </si>
  <si>
    <t>2021-11-30T02:27:08Z</t>
  </si>
  <si>
    <t>2021-12-06T13:52:25Z</t>
  </si>
  <si>
    <t>2021-12-02T20:10:41Z</t>
  </si>
  <si>
    <t>2021-12-07T13:44:28Z</t>
  </si>
  <si>
    <t>2021-11-30T05:41:01Z</t>
  </si>
  <si>
    <t>2021-12-06T13:52:51Z</t>
  </si>
  <si>
    <t>2021-11-29T07:23:00Z</t>
  </si>
  <si>
    <t>2021-12-07T13:44:54Z</t>
  </si>
  <si>
    <t>2021-12-03T23:27:23Z</t>
  </si>
  <si>
    <t>2021-12-11T13:48:29Z</t>
  </si>
  <si>
    <t>2021-12-08T17:02:13Z</t>
  </si>
  <si>
    <t>2021-12-10T20:37:48Z</t>
  </si>
  <si>
    <t>2021-12-04T18:42:52Z</t>
  </si>
  <si>
    <t>2021-12-09T18:54:57Z</t>
  </si>
  <si>
    <t>2021-12-09T06:09:57Z</t>
  </si>
  <si>
    <t>2021-12-11T13:48:45Z</t>
  </si>
  <si>
    <t>2021-12-11T18:23:13Z</t>
  </si>
  <si>
    <t>2021-12-07T06:23:58Z</t>
  </si>
  <si>
    <t>2021-12-06T16:52:19Z</t>
  </si>
  <si>
    <t>2021-12-05T08:31:27Z</t>
  </si>
  <si>
    <t>2021-12-07T06:24:35Z</t>
  </si>
  <si>
    <t>2021-12-11T13:49:01Z</t>
  </si>
  <si>
    <t>2021-12-08T12:59:26Z</t>
  </si>
  <si>
    <t>2021-12-07T09:31:50Z</t>
  </si>
  <si>
    <t>2021-12-07T06:24:56Z</t>
  </si>
  <si>
    <t>2021-12-07T13:45:51Z</t>
  </si>
  <si>
    <t>2021-11-29T05:53:04Z</t>
  </si>
  <si>
    <t>2021-12-03T03:29:03Z</t>
  </si>
  <si>
    <t>2021-12-07T06:25:05Z</t>
  </si>
  <si>
    <t>2021-12-11T01:20:26Z</t>
  </si>
  <si>
    <t>2021-12-07T06:25:16Z</t>
  </si>
  <si>
    <t>2021-12-09T20:17:49Z</t>
  </si>
  <si>
    <t>2021-12-02T04:57:04Z</t>
  </si>
  <si>
    <t>2021-12-06T10:00:12Z</t>
  </si>
  <si>
    <t>2021-12-11T13:52:29Z</t>
  </si>
  <si>
    <t>2021-12-07T06:25:28Z</t>
  </si>
  <si>
    <t>2021-11-29T17:18:57Z</t>
  </si>
  <si>
    <t>2021-12-02T04:54:30Z</t>
  </si>
  <si>
    <t>2021-12-07T06:25:48Z</t>
  </si>
  <si>
    <t>2021-12-02T19:32:58Z</t>
  </si>
  <si>
    <t>2021-12-07T06:25:57Z</t>
  </si>
  <si>
    <t>2021-12-07T09:32:05Z</t>
  </si>
  <si>
    <t>2021-12-09T11:24:02Z</t>
  </si>
  <si>
    <t>2021-12-10T17:10:04Z</t>
  </si>
  <si>
    <t>2021-12-05T21:11:06Z</t>
  </si>
  <si>
    <t>2021-12-11T18:06:16Z</t>
  </si>
  <si>
    <t>2021-11-29T07:19:08Z</t>
  </si>
  <si>
    <t>2021-12-02T04:51:20Z</t>
  </si>
  <si>
    <t>2021-12-09T06:12:05Z</t>
  </si>
  <si>
    <t>2021-12-07T09:32:25Z</t>
  </si>
  <si>
    <t>2021-12-08T15:59:37Z</t>
  </si>
  <si>
    <t>2021-12-03T19:54:33Z</t>
  </si>
  <si>
    <t>2021-12-09T20:18:10Z</t>
  </si>
  <si>
    <t>2021-12-07T06:26:45Z</t>
  </si>
  <si>
    <t>2021-12-06T10:00:52Z</t>
  </si>
  <si>
    <t>2021-12-02T04:57:41Z</t>
  </si>
  <si>
    <t>2021-12-06T20:04:03Z</t>
  </si>
  <si>
    <t>2021-12-03T13:52:50Z</t>
  </si>
  <si>
    <t>2021-12-08T17:02:04Z</t>
  </si>
  <si>
    <t>2021-12-11T13:49:51Z</t>
  </si>
  <si>
    <t>2021-12-09T20:18:19Z</t>
  </si>
  <si>
    <t>2021-12-04T19:24:13Z</t>
  </si>
  <si>
    <t>2021-12-05T09:35:28Z</t>
  </si>
  <si>
    <t>2021-12-04T02:21:39Z</t>
  </si>
  <si>
    <t>2021-12-04T15:23:08Z</t>
  </si>
  <si>
    <t>2021-12-07T13:47:29Z</t>
  </si>
  <si>
    <t>2021-12-07T18:53:09Z</t>
  </si>
  <si>
    <t>2021-12-11T13:50:10Z</t>
  </si>
  <si>
    <t>2021-12-08T17:02:20Z</t>
  </si>
  <si>
    <t>2021-12-07T21:29:11Z</t>
  </si>
  <si>
    <t>2021-12-02T05:04:54Z</t>
  </si>
  <si>
    <t>2021-12-05T13:32:40Z</t>
  </si>
  <si>
    <t>2021-12-01T08:03:32Z</t>
  </si>
  <si>
    <t>2021-12-04T18:44:48Z</t>
  </si>
  <si>
    <t>2021-12-03T17:58:02Z</t>
  </si>
  <si>
    <t>2021-12-11T13:50:26Z</t>
  </si>
  <si>
    <t>2021-12-02T23:13:13Z</t>
  </si>
  <si>
    <t>2021-12-02T04:15:55Z</t>
  </si>
  <si>
    <t>2021-12-08T16:01:06Z</t>
  </si>
  <si>
    <t>2021-12-02T05:05:06Z</t>
  </si>
  <si>
    <t>2021-12-09T06:14:27Z</t>
  </si>
  <si>
    <t>2021-12-06T02:49:35Z</t>
  </si>
  <si>
    <t>2021-12-11T13:50:49Z</t>
  </si>
  <si>
    <t>2021-12-05T09:35:17Z</t>
  </si>
  <si>
    <t>2021-12-05T13:33:05Z</t>
  </si>
  <si>
    <t>2021-12-09T21:01:20Z</t>
  </si>
  <si>
    <t>2021-12-10T08:01:33Z</t>
  </si>
  <si>
    <t>2021-12-01T18:20:45Z</t>
  </si>
  <si>
    <t>2021-12-06T15:56:05Z</t>
  </si>
  <si>
    <t>2021-12-01T04:40:07Z</t>
  </si>
  <si>
    <t>2021-12-11T13:51:03Z</t>
  </si>
  <si>
    <t>2021-12-06T05:03:22Z</t>
  </si>
  <si>
    <t>2021-12-10T08:01:51Z</t>
  </si>
  <si>
    <t>2021-11-29T15:53:13Z</t>
  </si>
  <si>
    <t>2021-12-08T02:58:05Z</t>
  </si>
  <si>
    <t>2021-11-30T22:25:19Z</t>
  </si>
  <si>
    <t>2021-12-02T14:06:28Z</t>
  </si>
  <si>
    <t>2021-12-07T17:23:38Z</t>
  </si>
  <si>
    <t>2021-12-09T06:15:50Z</t>
  </si>
  <si>
    <t>2021-12-05T15:49:29Z</t>
  </si>
  <si>
    <t>2021-12-10T08:02:34Z</t>
  </si>
  <si>
    <t>2021-12-02T18:50:40Z</t>
  </si>
  <si>
    <t>2021-12-08T04:05:40Z</t>
  </si>
  <si>
    <t>2021-12-02T11:43:11Z</t>
  </si>
  <si>
    <t>2021-12-10T17:05:36Z</t>
  </si>
  <si>
    <t>2021-12-11T13:38:04Z</t>
  </si>
  <si>
    <t>2021-12-11T13:51:46Z</t>
  </si>
  <si>
    <t>2021-12-02T20:20:37Z</t>
  </si>
  <si>
    <t>2021-11-29T15:53:53Z</t>
  </si>
  <si>
    <t>2021-12-01T09:42:01Z</t>
  </si>
  <si>
    <t>2021-11-29T17:19:16Z</t>
  </si>
  <si>
    <t>2021-12-02T14:07:05Z</t>
  </si>
  <si>
    <t>2021-12-01T20:00:51Z</t>
  </si>
  <si>
    <t>2021-12-02T05:05:17Z</t>
  </si>
  <si>
    <t>2021-12-05T13:33:46Z</t>
  </si>
  <si>
    <t>2021-12-10T10:00:34Z</t>
  </si>
  <si>
    <t>2021-12-10T17:23:11Z</t>
  </si>
  <si>
    <t>2021-12-05T08:58:29Z</t>
  </si>
  <si>
    <t>2021-12-11T13:52:17Z</t>
  </si>
  <si>
    <t>2021-12-09T01:28:19Z</t>
  </si>
  <si>
    <t>2021-12-08T16:52:58Z</t>
  </si>
  <si>
    <t>2021-12-05T13:34:04Z</t>
  </si>
  <si>
    <t>2021-12-06T15:55:44Z</t>
  </si>
  <si>
    <t>2021-12-05T19:19:11Z</t>
  </si>
  <si>
    <t>2021-11-29T07:24:18Z</t>
  </si>
  <si>
    <t>2021-11-29T15:54:32Z</t>
  </si>
  <si>
    <t>2021-12-09T20:22:28Z</t>
  </si>
  <si>
    <t>2021-12-03T15:14:26Z</t>
  </si>
  <si>
    <t>2021-12-02T14:57:12Z</t>
  </si>
  <si>
    <t>2021-12-02T05:05:31Z</t>
  </si>
  <si>
    <t>2021-12-04T15:20:43Z</t>
  </si>
  <si>
    <t>2021-11-29T17:17:41Z</t>
  </si>
  <si>
    <t>2021-12-06T21:58:23Z</t>
  </si>
  <si>
    <t>2021-12-07T18:53:22Z</t>
  </si>
  <si>
    <t>2021-12-01T09:44:05Z</t>
  </si>
  <si>
    <t>2021-11-30T14:44:31Z</t>
  </si>
  <si>
    <t>2021-11-30T02:36:00Z</t>
  </si>
  <si>
    <t>2021-12-02T20:21:36Z</t>
  </si>
  <si>
    <t>2021-12-05T13:34:37Z</t>
  </si>
  <si>
    <t>2021-12-02T11:44:53Z</t>
  </si>
  <si>
    <t>2021-12-11T13:52:58Z</t>
  </si>
  <si>
    <t>2021-12-02T11:46:26Z</t>
  </si>
  <si>
    <t>2021-12-06T15:56:27Z</t>
  </si>
  <si>
    <t>2021-12-06T21:58:45Z</t>
  </si>
  <si>
    <t>2021-12-02T04:58:10Z</t>
  </si>
  <si>
    <t>2021-12-05T13:34:49Z</t>
  </si>
  <si>
    <t>2021-12-07T03:10:27Z</t>
  </si>
  <si>
    <t>2021-12-02T05:06:00Z</t>
  </si>
  <si>
    <t>2021-12-06T21:58:56Z</t>
  </si>
  <si>
    <t>2021-12-10T16:45:52Z</t>
  </si>
  <si>
    <t>2021-12-11T13:53:15Z</t>
  </si>
  <si>
    <t>2021-11-30T14:45:15Z</t>
  </si>
  <si>
    <t>2021-12-01T09:45:37Z</t>
  </si>
  <si>
    <t>2021-12-04T18:47:00Z</t>
  </si>
  <si>
    <t>2021-12-04T15:07:57Z</t>
  </si>
  <si>
    <t>2021-12-10T09:09:04Z</t>
  </si>
  <si>
    <t>2021-12-09T18:31:53Z</t>
  </si>
  <si>
    <t>2021-12-01T13:20:52Z</t>
  </si>
  <si>
    <t>2021-12-07T18:53:57Z</t>
  </si>
  <si>
    <t>2021-12-11T13:53:29Z</t>
  </si>
  <si>
    <t>2021-12-05T09:35:40Z</t>
  </si>
  <si>
    <t>2021-11-30T14:45:43Z</t>
  </si>
  <si>
    <t>2021-12-04T18:47:21Z</t>
  </si>
  <si>
    <t>2021-12-02T20:22:11Z</t>
  </si>
  <si>
    <t>2021-12-04T20:57:47Z</t>
  </si>
  <si>
    <t>2021-12-07T18:54:15Z</t>
  </si>
  <si>
    <t>2021-12-06T23:35:31Z</t>
  </si>
  <si>
    <t>2021-12-08T23:19:04Z</t>
  </si>
  <si>
    <t>2021-12-02T05:06:20Z</t>
  </si>
  <si>
    <t>2021-12-02T04:58:24Z</t>
  </si>
  <si>
    <t>2021-12-04T12:49:42Z</t>
  </si>
  <si>
    <t>2021-12-10T02:36:16Z</t>
  </si>
  <si>
    <t>2021-11-30T14:46:08Z</t>
  </si>
  <si>
    <t>2021-12-07T18:54:40Z</t>
  </si>
  <si>
    <t>2021-12-05T12:22:43Z</t>
  </si>
  <si>
    <t>2021-12-02T11:45:03Z</t>
  </si>
  <si>
    <t>2021-12-07T17:38:15Z</t>
  </si>
  <si>
    <t>2021-12-01T13:19:45Z</t>
  </si>
  <si>
    <t>2021-12-08T14:36:09Z</t>
  </si>
  <si>
    <t>2021-12-07T17:38:22Z</t>
  </si>
  <si>
    <t>2021-11-29T18:24:13Z</t>
  </si>
  <si>
    <t>2021-12-01T09:45:15Z</t>
  </si>
  <si>
    <t>2021-12-11T12:24:19Z</t>
  </si>
  <si>
    <t>2021-12-02T11:45:17Z</t>
  </si>
  <si>
    <t>2021-12-10T17:53:24Z</t>
  </si>
  <si>
    <t>2021-11-30T20:16:12Z</t>
  </si>
  <si>
    <t>2021-11-29T10:07:14Z</t>
  </si>
  <si>
    <t>2021-11-30T17:26:15Z</t>
  </si>
  <si>
    <t>2021-12-07T13:53:53Z</t>
  </si>
  <si>
    <t>2021-12-04T18:48:26Z</t>
  </si>
  <si>
    <t>2021-12-01T19:29:16Z</t>
  </si>
  <si>
    <t>2021-12-06T21:51:03Z</t>
  </si>
  <si>
    <t>2021-12-02T11:45:37Z</t>
  </si>
  <si>
    <t>2021-12-11T07:29:03Z</t>
  </si>
  <si>
    <t>2021-11-30T05:20:50Z</t>
  </si>
  <si>
    <t>2021-12-04T15:14:46Z</t>
  </si>
  <si>
    <t>2021-12-06T02:18:38Z</t>
  </si>
  <si>
    <t>2021-12-05T12:51:24Z</t>
  </si>
  <si>
    <t>2021-11-30T17:36:03Z</t>
  </si>
  <si>
    <t>2021-11-30T22:23:11Z</t>
  </si>
  <si>
    <t>2021-12-11T13:55:06Z</t>
  </si>
  <si>
    <t>2021-12-03T03:29:27Z</t>
  </si>
  <si>
    <t>2021-12-05T21:07:17Z</t>
  </si>
  <si>
    <t>2021-12-01T16:59:19Z</t>
  </si>
  <si>
    <t>2021-12-02T17:09:18Z</t>
  </si>
  <si>
    <t>2021-12-08T14:46:34Z</t>
  </si>
  <si>
    <t>2021-12-04T12:49:54Z</t>
  </si>
  <si>
    <t>2021-12-04T18:48:52Z</t>
  </si>
  <si>
    <t>2021-12-07T20:27:45Z</t>
  </si>
  <si>
    <t>2021-12-05T12:24:33Z</t>
  </si>
  <si>
    <t>2021-12-02T17:09:37Z</t>
  </si>
  <si>
    <t>2021-12-07T13:44:08Z</t>
  </si>
  <si>
    <t>2021-11-30T14:45:24Z</t>
  </si>
  <si>
    <t>2021-12-11T13:55:27Z</t>
  </si>
  <si>
    <t>2021-12-07T13:55:04Z</t>
  </si>
  <si>
    <t>2021-12-11T12:25:43Z</t>
  </si>
  <si>
    <t>2021-12-02T11:42:38Z</t>
  </si>
  <si>
    <t>2021-12-10T09:09:44Z</t>
  </si>
  <si>
    <t>2021-12-06T10:45:43Z</t>
  </si>
  <si>
    <t>2021-12-02T17:09:55Z</t>
  </si>
  <si>
    <t>2021-12-09T21:43:01Z</t>
  </si>
  <si>
    <t>2021-12-11T13:45:47Z</t>
  </si>
  <si>
    <t>2021-11-30T22:25:42Z</t>
  </si>
  <si>
    <t>2021-12-07T13:55:38Z</t>
  </si>
  <si>
    <t>2021-12-09T06:32:30Z</t>
  </si>
  <si>
    <t>2021-12-02T17:10:22Z</t>
  </si>
  <si>
    <t>2021-12-10T02:36:07Z</t>
  </si>
  <si>
    <t>2021-12-07T14:54:05Z</t>
  </si>
  <si>
    <t>2021-12-10T17:55:10Z</t>
  </si>
  <si>
    <t>2021-11-30T09:13:57Z</t>
  </si>
  <si>
    <t>2021-12-07T20:28:39Z</t>
  </si>
  <si>
    <t>2021-12-11T13:56:10Z</t>
  </si>
  <si>
    <t>2021-12-11T18:00:43Z</t>
  </si>
  <si>
    <t>2021-12-03T12:48:52Z</t>
  </si>
  <si>
    <t>2021-12-03T12:45:25Z</t>
  </si>
  <si>
    <t>2021-12-11T10:26:05Z</t>
  </si>
  <si>
    <t>2021-12-07T13:56:09Z</t>
  </si>
  <si>
    <t>2021-12-09T20:39:34Z</t>
  </si>
  <si>
    <t>2021-12-07T20:28:53Z</t>
  </si>
  <si>
    <t>2021-12-07T14:54:39Z</t>
  </si>
  <si>
    <t>2021-12-04T18:49:58Z</t>
  </si>
  <si>
    <t>2021-11-29T15:58:58Z</t>
  </si>
  <si>
    <t>2021-12-01T03:12:59Z</t>
  </si>
  <si>
    <t>2021-12-04T18:50:05Z</t>
  </si>
  <si>
    <t>2021-12-02T17:10:57Z</t>
  </si>
  <si>
    <t>2021-12-03T15:14:06Z</t>
  </si>
  <si>
    <t>2021-12-02T04:53:05Z</t>
  </si>
  <si>
    <t>2021-12-11T13:56:41Z</t>
  </si>
  <si>
    <t>2021-12-05T11:25:06Z</t>
  </si>
  <si>
    <t>2021-12-02T11:42:06Z</t>
  </si>
  <si>
    <t>2021-12-05T18:52:32Z</t>
  </si>
  <si>
    <t>2021-11-30T10:41:19Z</t>
  </si>
  <si>
    <t>2021-11-28T21:12:10Z</t>
  </si>
  <si>
    <t>2021-12-10T09:28:36Z</t>
  </si>
  <si>
    <t>2021-12-08T16:58:17Z</t>
  </si>
  <si>
    <t>2021-11-29T07:22:56Z</t>
  </si>
  <si>
    <t>2021-12-05T18:52:35Z</t>
  </si>
  <si>
    <t>2021-12-10T22:27:45Z</t>
  </si>
  <si>
    <t>2021-12-06T10:45:59Z</t>
  </si>
  <si>
    <t>2021-12-11T13:56:59Z</t>
  </si>
  <si>
    <t>2021-12-07T03:19:58Z</t>
  </si>
  <si>
    <t>2021-12-11T13:57:16Z</t>
  </si>
  <si>
    <t>2021-12-01T19:19:18Z</t>
  </si>
  <si>
    <t>2021-11-29T17:16:58Z</t>
  </si>
  <si>
    <t>2021-12-08T16:37:32Z</t>
  </si>
  <si>
    <t>2021-12-11T13:57:37Z</t>
  </si>
  <si>
    <t>2021-12-02T17:10:42Z</t>
  </si>
  <si>
    <t>2021-12-01T19:29:47Z</t>
  </si>
  <si>
    <t>2021-12-07T15:55:14Z</t>
  </si>
  <si>
    <t>2021-12-06T07:19:28Z</t>
  </si>
  <si>
    <t>2021-12-02T17:12:40Z</t>
  </si>
  <si>
    <t>2021-12-07T23:16:40Z</t>
  </si>
  <si>
    <t>2021-12-03T17:16:53Z</t>
  </si>
  <si>
    <t>2021-12-08T16:59:59Z</t>
  </si>
  <si>
    <t>2021-11-29T07:15:53Z</t>
  </si>
  <si>
    <t>2021-12-08T18:41:18Z</t>
  </si>
  <si>
    <t>2021-12-07T18:54:26Z</t>
  </si>
  <si>
    <t>2021-12-05T21:09:44Z</t>
  </si>
  <si>
    <t>2021-11-29T04:05:08Z</t>
  </si>
  <si>
    <t>2021-12-11T13:58:10Z</t>
  </si>
  <si>
    <t>2021-12-03T20:04:51Z</t>
  </si>
  <si>
    <t>2021-12-05T20:21:52Z</t>
  </si>
  <si>
    <t>2021-12-07T20:27:06Z</t>
  </si>
  <si>
    <t>2021-12-11T13:58:22Z</t>
  </si>
  <si>
    <t>2021-12-05T03:24:17Z</t>
  </si>
  <si>
    <t>2021-12-02T11:45:58Z</t>
  </si>
  <si>
    <t>2021-12-02T11:42:55Z</t>
  </si>
  <si>
    <t>2021-12-09T06:28:58Z</t>
  </si>
  <si>
    <t>2021-12-11T14:00:38Z</t>
  </si>
  <si>
    <t>2021-12-04T09:27:16Z</t>
  </si>
  <si>
    <t>2021-11-30T10:45:14Z</t>
  </si>
  <si>
    <t>2021-12-11T13:58:37Z</t>
  </si>
  <si>
    <t>2021-12-09T06:29:14Z</t>
  </si>
  <si>
    <t>2021-12-10T10:40:30Z</t>
  </si>
  <si>
    <t>2021-12-03T13:22:28Z</t>
  </si>
  <si>
    <t>2021-12-05T09:35:52Z</t>
  </si>
  <si>
    <t>2021-11-29T07:17:49Z</t>
  </si>
  <si>
    <t>2021-12-08T18:42:07Z</t>
  </si>
  <si>
    <t>2021-11-30T20:04:55Z</t>
  </si>
  <si>
    <t>2021-12-07T23:18:53Z</t>
  </si>
  <si>
    <t>2021-12-05T09:36:26Z</t>
  </si>
  <si>
    <t>2021-12-02T17:13:58Z</t>
  </si>
  <si>
    <t>2021-12-11T13:58:54Z</t>
  </si>
  <si>
    <t>2021-12-02T11:46:05Z</t>
  </si>
  <si>
    <t>2021-11-29T23:28:17Z</t>
  </si>
  <si>
    <t>2021-12-11T13:59:08Z</t>
  </si>
  <si>
    <t>2021-12-06T07:22:59Z</t>
  </si>
  <si>
    <t>2021-12-04T18:52:32Z</t>
  </si>
  <si>
    <t>2021-12-05T09:36:11Z</t>
  </si>
  <si>
    <t>2021-12-01T22:02:19Z</t>
  </si>
  <si>
    <t>2021-12-07T22:15:59Z</t>
  </si>
  <si>
    <t>2021-12-11T13:59:23Z</t>
  </si>
  <si>
    <t>2021-11-29T07:19:10Z</t>
  </si>
  <si>
    <t>2021-12-09T06:31:12Z</t>
  </si>
  <si>
    <t>2021-12-02T11:46:14Z</t>
  </si>
  <si>
    <t>2021-12-09T06:31:30Z</t>
  </si>
  <si>
    <t>2021-11-30T02:03:09Z</t>
  </si>
  <si>
    <t>2021-12-06T09:55:51Z</t>
  </si>
  <si>
    <t>2021-12-10T21:28:35Z</t>
  </si>
  <si>
    <t>2021-12-03T08:57:17Z</t>
  </si>
  <si>
    <t>2021-12-11T13:59:40Z</t>
  </si>
  <si>
    <t>2021-12-05T17:13:33Z</t>
  </si>
  <si>
    <t>2021-12-07T22:16:25Z</t>
  </si>
  <si>
    <t>2021-12-02T13:12:00Z</t>
  </si>
  <si>
    <t>2021-12-10T21:02:35Z</t>
  </si>
  <si>
    <t>2021-12-08T15:15:57Z</t>
  </si>
  <si>
    <t>2021-12-04T09:30:04Z</t>
  </si>
  <si>
    <t>2021-12-08T18:43:20Z</t>
  </si>
  <si>
    <t>2021-12-11T14:06:08Z</t>
  </si>
  <si>
    <t>2021-12-10T22:30:53Z</t>
  </si>
  <si>
    <t>2021-12-02T04:58:37Z</t>
  </si>
  <si>
    <t>2021-12-04T09:30:31Z</t>
  </si>
  <si>
    <t>2021-12-03T05:38:02Z</t>
  </si>
  <si>
    <t>2021-12-04T15:18:09Z</t>
  </si>
  <si>
    <t>2021-12-02T05:04:31Z</t>
  </si>
  <si>
    <t>2021-12-04T15:56:57Z</t>
  </si>
  <si>
    <t>2021-11-30T20:07:04Z</t>
  </si>
  <si>
    <t>2021-12-09T23:57:42Z</t>
  </si>
  <si>
    <t>2021-12-05T07:41:04Z</t>
  </si>
  <si>
    <t>2021-12-07T14:02:55Z</t>
  </si>
  <si>
    <t>2021-12-05T21:07:09Z</t>
  </si>
  <si>
    <t>2021-12-04T22:45:24Z</t>
  </si>
  <si>
    <t>2021-11-29T17:46:52Z</t>
  </si>
  <si>
    <t>2021-12-02T04:58:57Z</t>
  </si>
  <si>
    <t>2021-12-10T17:04:44Z</t>
  </si>
  <si>
    <t>2021-12-09T21:56:45Z</t>
  </si>
  <si>
    <t>2021-12-07T20:34:12Z</t>
  </si>
  <si>
    <t>2021-12-01T19:30:25Z</t>
  </si>
  <si>
    <t>2021-11-30T20:57:47Z</t>
  </si>
  <si>
    <t>2021-12-08T01:20:26Z</t>
  </si>
  <si>
    <t>2021-12-03T16:55:49Z</t>
  </si>
  <si>
    <t>2021-12-04T04:18:26Z</t>
  </si>
  <si>
    <t>2021-12-05T22:37:27Z</t>
  </si>
  <si>
    <t>2021-12-04T04:11:58Z</t>
  </si>
  <si>
    <t>2021-12-08T14:47:06Z</t>
  </si>
  <si>
    <t>2021-12-02T16:23:10Z</t>
  </si>
  <si>
    <t>2021-12-09T22:57:12Z</t>
  </si>
  <si>
    <t>2021-12-07T20:34:49Z</t>
  </si>
  <si>
    <t>2021-12-09T23:59:12Z</t>
  </si>
  <si>
    <t>2021-12-04T19:36:39Z</t>
  </si>
  <si>
    <t>2021-11-29T10:21:03Z</t>
  </si>
  <si>
    <t>2021-12-09T22:57:43Z</t>
  </si>
  <si>
    <t>2021-12-07T14:07:54Z</t>
  </si>
  <si>
    <t>2021-12-02T21:25:52Z</t>
  </si>
  <si>
    <t>2021-12-02T04:59:10Z</t>
  </si>
  <si>
    <t>2021-12-05T22:37:56Z</t>
  </si>
  <si>
    <t>2021-12-03T22:49:24Z</t>
  </si>
  <si>
    <t>2021-12-07T14:54:20Z</t>
  </si>
  <si>
    <t>2021-12-09T23:59:45Z</t>
  </si>
  <si>
    <t>2021-12-02T05:06:28Z</t>
  </si>
  <si>
    <t>2021-12-02T16:23:52Z</t>
  </si>
  <si>
    <t>2021-12-04T22:47:16Z</t>
  </si>
  <si>
    <t>2021-11-30T02:02:31Z</t>
  </si>
  <si>
    <t>2021-11-29T17:48:13Z</t>
  </si>
  <si>
    <t>2021-12-03T12:44:20Z</t>
  </si>
  <si>
    <t>2021-12-04T19:37:08Z</t>
  </si>
  <si>
    <t>2021-12-11T14:01:58Z</t>
  </si>
  <si>
    <t>2021-11-29T19:59:56Z</t>
  </si>
  <si>
    <t>2021-12-07T13:44:02Z</t>
  </si>
  <si>
    <t>2021-12-02T11:43:09Z</t>
  </si>
  <si>
    <t>2021-12-08T01:19:45Z</t>
  </si>
  <si>
    <t>2021-12-10T23:55:38Z</t>
  </si>
  <si>
    <t>2021-12-05T21:08:04Z</t>
  </si>
  <si>
    <t>2021-12-05T16:37:38Z</t>
  </si>
  <si>
    <t>2021-12-05T22:38:44Z</t>
  </si>
  <si>
    <t>2021-11-30T02:05:59Z</t>
  </si>
  <si>
    <t>2021-11-29T05:59:54Z</t>
  </si>
  <si>
    <t>2021-11-30T22:26:05Z</t>
  </si>
  <si>
    <t>2021-12-10T23:55:53Z</t>
  </si>
  <si>
    <t>2021-12-02T04:59:19Z</t>
  </si>
  <si>
    <t>2021-12-04T00:41:29Z</t>
  </si>
  <si>
    <t>2021-11-29T16:05:45Z</t>
  </si>
  <si>
    <t>2021-12-11T14:02:12Z</t>
  </si>
  <si>
    <t>2021-12-02T07:05:55Z</t>
  </si>
  <si>
    <t>2021-12-02T07:06:08Z</t>
  </si>
  <si>
    <t>2021-12-06T02:35:52Z</t>
  </si>
  <si>
    <t>2021-11-30T02:04:41Z</t>
  </si>
  <si>
    <t>2021-12-02T07:06:24Z</t>
  </si>
  <si>
    <t>2021-12-04T19:37:46Z</t>
  </si>
  <si>
    <t>2021-12-04T18:56:06Z</t>
  </si>
  <si>
    <t>2021-12-10T12:48:39Z</t>
  </si>
  <si>
    <t>2021-12-10T21:03:06Z</t>
  </si>
  <si>
    <t>2021-12-05T19:30:12Z</t>
  </si>
  <si>
    <t>2021-12-11T14:03:04Z</t>
  </si>
  <si>
    <t>2021-12-10T22:25:06Z</t>
  </si>
  <si>
    <t>2021-12-10T17:10:24Z</t>
  </si>
  <si>
    <t>2021-11-29T18:40:03Z</t>
  </si>
  <si>
    <t>2021-12-05T15:50:37Z</t>
  </si>
  <si>
    <t>2021-12-09T20:24:42Z</t>
  </si>
  <si>
    <t>2021-12-09T15:21:18Z</t>
  </si>
  <si>
    <t>2021-12-08T18:46:50Z</t>
  </si>
  <si>
    <t>2021-12-04T22:49:30Z</t>
  </si>
  <si>
    <t>2021-12-08T18:47:02Z</t>
  </si>
  <si>
    <t>2021-12-04T08:26:17Z</t>
  </si>
  <si>
    <t>2021-12-09T15:21:32Z</t>
  </si>
  <si>
    <t>2021-12-11T19:12:57Z</t>
  </si>
  <si>
    <t>2021-12-10T00:03:36Z</t>
  </si>
  <si>
    <t>2021-12-08T17:08:08Z</t>
  </si>
  <si>
    <t>2021-12-02T03:48:05Z</t>
  </si>
  <si>
    <t>2021-12-04T19:39:06Z</t>
  </si>
  <si>
    <t>2021-12-11T14:04:15Z</t>
  </si>
  <si>
    <t>2021-12-04T15:57:49Z</t>
  </si>
  <si>
    <t>2021-12-04T19:39:17Z</t>
  </si>
  <si>
    <t>2021-12-02T11:43:39Z</t>
  </si>
  <si>
    <t>2021-12-11T14:04:28Z</t>
  </si>
  <si>
    <t>2021-12-10T17:20:10Z</t>
  </si>
  <si>
    <t>2021-12-04T19:39:28Z</t>
  </si>
  <si>
    <t>2021-12-05T01:28:27Z</t>
  </si>
  <si>
    <t>2021-12-06T09:43:14Z</t>
  </si>
  <si>
    <t>2021-12-06T15:56:51Z</t>
  </si>
  <si>
    <t>2021-11-29T17:51:16Z</t>
  </si>
  <si>
    <t>2021-12-04T19:39:50Z</t>
  </si>
  <si>
    <t>2021-12-08T17:01:42Z</t>
  </si>
  <si>
    <t>2021-12-08T18:47:52Z</t>
  </si>
  <si>
    <t>2021-11-29T17:51:30Z</t>
  </si>
  <si>
    <t>2021-12-02T04:59:30Z</t>
  </si>
  <si>
    <t>2021-12-11T13:21:00Z</t>
  </si>
  <si>
    <t>2021-12-08T18:48:05Z</t>
  </si>
  <si>
    <t>2021-12-01T19:26:49Z</t>
  </si>
  <si>
    <t>2021-11-29T17:52:01Z</t>
  </si>
  <si>
    <t>2021-12-02T03:49:51Z</t>
  </si>
  <si>
    <t>2021-12-04T04:14:16Z</t>
  </si>
  <si>
    <t>2021-11-30T14:45:55Z</t>
  </si>
  <si>
    <t>2021-12-09T05:01:55Z</t>
  </si>
  <si>
    <t>2021-12-09T15:23:28Z</t>
  </si>
  <si>
    <t>2021-12-07T06:16:37Z</t>
  </si>
  <si>
    <t>2021-12-02T00:09:06Z</t>
  </si>
  <si>
    <t>2021-12-04T23:48:17Z</t>
  </si>
  <si>
    <t>2021-12-11T18:37:44Z</t>
  </si>
  <si>
    <t>2021-12-06T17:16:25Z</t>
  </si>
  <si>
    <t>2021-12-04T15:12:18Z</t>
  </si>
  <si>
    <t>2021-12-01T23:04:46Z</t>
  </si>
  <si>
    <t>2021-12-06T03:06:38Z</t>
  </si>
  <si>
    <t>2021-12-08T16:18:14Z</t>
  </si>
  <si>
    <t>2021-12-08T18:49:18Z</t>
  </si>
  <si>
    <t>2021-12-06T09:44:02Z</t>
  </si>
  <si>
    <t>2021-12-06T02:50:13Z</t>
  </si>
  <si>
    <t>2021-11-30T22:25:34Z</t>
  </si>
  <si>
    <t>2021-12-06T21:24:06Z</t>
  </si>
  <si>
    <t>2021-12-03T04:10:54Z</t>
  </si>
  <si>
    <t>2021-12-04T00:45:02Z</t>
  </si>
  <si>
    <t>2021-12-08T18:49:43Z</t>
  </si>
  <si>
    <t>2021-12-05T07:50:25Z</t>
  </si>
  <si>
    <t>2021-11-29T10:29:10Z</t>
  </si>
  <si>
    <t>2021-12-03T17:02:06Z</t>
  </si>
  <si>
    <t>2021-12-01T19:28:32Z</t>
  </si>
  <si>
    <t>2021-12-06T09:51:13Z</t>
  </si>
  <si>
    <t>2021-12-04T00:49:07Z</t>
  </si>
  <si>
    <t>2021-12-04T04:18:40Z</t>
  </si>
  <si>
    <t>2021-12-04T23:05:33Z</t>
  </si>
  <si>
    <t>2021-12-11T13:23:36Z</t>
  </si>
  <si>
    <t>2021-11-29T07:37:32Z</t>
  </si>
  <si>
    <t>2021-12-10T07:08:20Z</t>
  </si>
  <si>
    <t>2021-12-09T22:58:40Z</t>
  </si>
  <si>
    <t>2021-12-03T03:25:12Z</t>
  </si>
  <si>
    <t>2021-12-06T11:34:45Z</t>
  </si>
  <si>
    <t>2021-12-07T20:41:44Z</t>
  </si>
  <si>
    <t>2021-12-02T04:59:53Z</t>
  </si>
  <si>
    <t>2021-12-03T15:19:14Z</t>
  </si>
  <si>
    <t>2021-12-10T17:15:39Z</t>
  </si>
  <si>
    <t>2021-12-05T18:52:10Z</t>
  </si>
  <si>
    <t>2021-12-09T06:48:19Z</t>
  </si>
  <si>
    <t>2021-11-29T17:18:43Z</t>
  </si>
  <si>
    <t>2021-12-11T07:46:54Z</t>
  </si>
  <si>
    <t>2021-12-08T17:12:25Z</t>
  </si>
  <si>
    <t>2021-12-11T07:47:03Z</t>
  </si>
  <si>
    <t>2021-12-09T20:35:40Z</t>
  </si>
  <si>
    <t>2021-12-08T17:12:38Z</t>
  </si>
  <si>
    <t>2021-12-10T17:23:36Z</t>
  </si>
  <si>
    <t>2021-12-11T14:48:53Z</t>
  </si>
  <si>
    <t>2021-12-06T01:14:52Z</t>
  </si>
  <si>
    <t>2021-12-09T11:45:58Z</t>
  </si>
  <si>
    <t>2021-12-03T10:34:45Z</t>
  </si>
  <si>
    <t>2021-12-11T18:39:30Z</t>
  </si>
  <si>
    <t>2021-12-05T17:13:22Z</t>
  </si>
  <si>
    <t>2021-12-05T21:01:13Z</t>
  </si>
  <si>
    <t>2021-12-09T06:08:24Z</t>
  </si>
  <si>
    <t>2021-12-11T13:24:33Z</t>
  </si>
  <si>
    <t>2021-12-05T18:52:45Z</t>
  </si>
  <si>
    <t>2021-12-08T19:39:39Z</t>
  </si>
  <si>
    <t>2021-12-11T14:49:10Z</t>
  </si>
  <si>
    <t>2021-12-11T18:42:12Z</t>
  </si>
  <si>
    <t>2021-12-10T06:36:30Z</t>
  </si>
  <si>
    <t>2021-12-11T18:01:21Z</t>
  </si>
  <si>
    <t>2021-12-04T04:39:04Z</t>
  </si>
  <si>
    <t>2021-12-04T05:00:30Z</t>
  </si>
  <si>
    <t>2021-12-08T18:52:06Z</t>
  </si>
  <si>
    <t>2021-12-05T13:38:09Z</t>
  </si>
  <si>
    <t>2021-12-03T13:20:02Z</t>
  </si>
  <si>
    <t>2021-12-08T16:21:35Z</t>
  </si>
  <si>
    <t>2021-12-03T21:09:46Z</t>
  </si>
  <si>
    <t>2021-12-03T16:13:40Z</t>
  </si>
  <si>
    <t>2021-12-07T23:24:18Z</t>
  </si>
  <si>
    <t>2021-12-05T21:07:52Z</t>
  </si>
  <si>
    <t>2021-12-09T06:56:40Z</t>
  </si>
  <si>
    <t>2021-12-01T19:30:47Z</t>
  </si>
  <si>
    <t>2021-11-29T17:17:14Z</t>
  </si>
  <si>
    <t>2021-12-03T16:14:06Z</t>
  </si>
  <si>
    <t>2021-12-02T05:00:05Z</t>
  </si>
  <si>
    <t>2021-12-01T03:39:44Z</t>
  </si>
  <si>
    <t>2021-12-11T13:42:14Z</t>
  </si>
  <si>
    <t>2021-12-09T20:36:42Z</t>
  </si>
  <si>
    <t>2021-11-29T18:40:23Z</t>
  </si>
  <si>
    <t>2021-11-29T07:41:45Z</t>
  </si>
  <si>
    <t>2021-12-09T06:52:16Z</t>
  </si>
  <si>
    <t>2021-12-08T14:29:06Z</t>
  </si>
  <si>
    <t>2021-12-03T16:14:52Z</t>
  </si>
  <si>
    <t>2021-11-29T18:40:45Z</t>
  </si>
  <si>
    <t>2021-12-06T16:18:54Z</t>
  </si>
  <si>
    <t>2021-12-06T04:23:31Z</t>
  </si>
  <si>
    <t>2021-12-09T14:34:39Z</t>
  </si>
  <si>
    <t>2021-12-04T00:50:41Z</t>
  </si>
  <si>
    <t>2021-12-01T23:31:34Z</t>
  </si>
  <si>
    <t>2021-11-30T17:20:53Z</t>
  </si>
  <si>
    <t>2021-12-02T05:00:14Z</t>
  </si>
  <si>
    <t>2021-12-05T15:50:19Z</t>
  </si>
  <si>
    <t>2021-12-02T04:53:31Z</t>
  </si>
  <si>
    <t>2021-12-06T04:23:52Z</t>
  </si>
  <si>
    <t>2021-12-01T19:31:27Z</t>
  </si>
  <si>
    <t>2021-12-05T13:34:24Z</t>
  </si>
  <si>
    <t>2021-11-30T20:16:34Z</t>
  </si>
  <si>
    <t>2021-12-08T15:29:40Z</t>
  </si>
  <si>
    <t>2021-12-04T19:37:37Z</t>
  </si>
  <si>
    <t>2021-12-10T01:34:59Z</t>
  </si>
  <si>
    <t>2021-12-06T04:24:28Z</t>
  </si>
  <si>
    <t>2021-12-03T12:46:33Z</t>
  </si>
  <si>
    <t>2021-12-02T07:25:46Z</t>
  </si>
  <si>
    <t>2021-12-08T18:54:06Z</t>
  </si>
  <si>
    <t>2021-12-02T01:21:53Z</t>
  </si>
  <si>
    <t>2021-12-09T03:49:45Z</t>
  </si>
  <si>
    <t>2021-12-07T10:44:08Z</t>
  </si>
  <si>
    <t>2021-12-02T10:57:43Z</t>
  </si>
  <si>
    <t>2021-12-01T23:33:34Z</t>
  </si>
  <si>
    <t>2021-12-02T05:00:25Z</t>
  </si>
  <si>
    <t>2021-12-04T12:08:43Z</t>
  </si>
  <si>
    <t>2021-12-02T11:44:04Z</t>
  </si>
  <si>
    <t>2021-12-02T04:53:40Z</t>
  </si>
  <si>
    <t>2021-12-05T15:49:00Z</t>
  </si>
  <si>
    <t>2021-12-06T13:53:06Z</t>
  </si>
  <si>
    <t>2021-12-08T15:39:50Z</t>
  </si>
  <si>
    <t>2021-12-11T14:10:02Z</t>
  </si>
  <si>
    <t>2021-12-05T15:48:48Z</t>
  </si>
  <si>
    <t>2021-12-08T03:34:24Z</t>
  </si>
  <si>
    <t>2021-12-01T17:52:51Z</t>
  </si>
  <si>
    <t>2021-12-08T16:24:27Z</t>
  </si>
  <si>
    <t>2021-12-01T05:48:37Z</t>
  </si>
  <si>
    <t>2021-12-10T01:36:56Z</t>
  </si>
  <si>
    <t>2021-12-07T08:49:05Z</t>
  </si>
  <si>
    <t>2021-12-02T05:00:36Z</t>
  </si>
  <si>
    <t>2021-12-01T23:34:41Z</t>
  </si>
  <si>
    <t>2021-12-07T08:49:29Z</t>
  </si>
  <si>
    <t>2021-12-02T04:53:51Z</t>
  </si>
  <si>
    <t>2021-12-11T14:02:46Z</t>
  </si>
  <si>
    <t>2021-12-11T01:08:03Z</t>
  </si>
  <si>
    <t>2021-12-06T19:39:00Z</t>
  </si>
  <si>
    <t>2021-12-10T08:38:03Z</t>
  </si>
  <si>
    <t>2021-12-11T13:04:08Z</t>
  </si>
  <si>
    <t>2021-12-02T05:00:53Z</t>
  </si>
  <si>
    <t>2021-12-03T03:28:16Z</t>
  </si>
  <si>
    <t>2021-12-04T10:52:02Z</t>
  </si>
  <si>
    <t>2021-11-29T15:20:56Z</t>
  </si>
  <si>
    <t>2021-12-02T11:44:16Z</t>
  </si>
  <si>
    <t>2021-12-08T03:36:02Z</t>
  </si>
  <si>
    <t>2021-12-08T14:31:45Z</t>
  </si>
  <si>
    <t>2021-12-05T07:13:32Z</t>
  </si>
  <si>
    <t>2021-11-30T17:52:03Z</t>
  </si>
  <si>
    <t>2021-12-11T18:42:57Z</t>
  </si>
  <si>
    <t>2021-12-06T19:39:31Z</t>
  </si>
  <si>
    <t>2021-12-03T12:41:38Z</t>
  </si>
  <si>
    <t>2021-11-29T23:06:52Z</t>
  </si>
  <si>
    <t>2021-12-09T20:39:47Z</t>
  </si>
  <si>
    <t>2021-12-10T21:33:35Z</t>
  </si>
  <si>
    <t>2021-12-02T04:53:59Z</t>
  </si>
  <si>
    <t>2021-12-10T00:17:39Z</t>
  </si>
  <si>
    <t>2021-12-10T07:18:47Z</t>
  </si>
  <si>
    <t>2021-12-08T15:32:56Z</t>
  </si>
  <si>
    <t>2021-12-10T07:18:51Z</t>
  </si>
  <si>
    <t>2021-12-04T22:04:08Z</t>
  </si>
  <si>
    <t>2021-12-05T11:26:01Z</t>
  </si>
  <si>
    <t>2021-12-05T16:48:08Z</t>
  </si>
  <si>
    <t>2021-12-09T23:12:33Z</t>
  </si>
  <si>
    <t>2021-11-29T17:16:51Z</t>
  </si>
  <si>
    <t>2021-11-29T04:06:08Z</t>
  </si>
  <si>
    <t>2021-12-05T07:19:14Z</t>
  </si>
  <si>
    <t>2021-12-02T11:44:31Z</t>
  </si>
  <si>
    <t>2021-12-01T13:11:22Z</t>
  </si>
  <si>
    <t>2021-12-02T04:54:07Z</t>
  </si>
  <si>
    <t>2021-12-03T21:13:52Z</t>
  </si>
  <si>
    <t>2021-12-11T13:34:41Z</t>
  </si>
  <si>
    <t>2021-12-09T23:12:47Z</t>
  </si>
  <si>
    <t>2021-12-08T19:10:53Z</t>
  </si>
  <si>
    <t>2021-12-02T05:01:04Z</t>
  </si>
  <si>
    <t>2021-12-11T14:11:52Z</t>
  </si>
  <si>
    <t>2021-12-04T19:30:50Z</t>
  </si>
  <si>
    <t>2021-12-02T04:04:32Z</t>
  </si>
  <si>
    <t>2021-12-03T17:09:46Z</t>
  </si>
  <si>
    <t>2021-12-07T06:23:25Z</t>
  </si>
  <si>
    <t>2021-12-02T04:04:56Z</t>
  </si>
  <si>
    <t>2021-12-11T18:05:17Z</t>
  </si>
  <si>
    <t>2021-12-07T06:23:14Z</t>
  </si>
  <si>
    <t>2021-12-05T21:30:03Z</t>
  </si>
  <si>
    <t>2021-12-02T05:01:38Z</t>
  </si>
  <si>
    <t>2021-11-30T12:52:18Z</t>
  </si>
  <si>
    <t>2021-12-02T04:05:40Z</t>
  </si>
  <si>
    <t>2021-12-04T07:52:56Z</t>
  </si>
  <si>
    <t>2021-12-05T20:19:49Z</t>
  </si>
  <si>
    <t>2021-12-02T04:54:18Z</t>
  </si>
  <si>
    <t>2021-12-03T17:10:25Z</t>
  </si>
  <si>
    <t>2021-12-09T20:41:17Z</t>
  </si>
  <si>
    <t>2021-12-08T21:23:28Z</t>
  </si>
  <si>
    <t>2021-12-02T05:01:54Z</t>
  </si>
  <si>
    <t>2021-12-06T02:18:40Z</t>
  </si>
  <si>
    <t>2021-12-02T05:02:41Z</t>
  </si>
  <si>
    <t>2021-11-30T12:53:07Z</t>
  </si>
  <si>
    <t>2021-12-09T20:39:14Z</t>
  </si>
  <si>
    <t>2021-12-11T03:14:34Z</t>
  </si>
  <si>
    <t>2021-11-29T16:20:46Z</t>
  </si>
  <si>
    <t>2021-12-11T03:35:54Z</t>
  </si>
  <si>
    <t>2021-12-10T04:29:42Z</t>
  </si>
  <si>
    <t>2021-12-05T20:20:22Z</t>
  </si>
  <si>
    <t>2021-12-09T17:15:17Z</t>
  </si>
  <si>
    <t>2021-11-29T07:24:27Z</t>
  </si>
  <si>
    <t>2021-12-06T09:51:54Z</t>
  </si>
  <si>
    <t>2021-12-11T13:30:58Z</t>
  </si>
  <si>
    <t>2021-12-02T04:07:24Z</t>
  </si>
  <si>
    <t>2021-12-09T14:40:25Z</t>
  </si>
  <si>
    <t>2021-12-11T14:13:47Z</t>
  </si>
  <si>
    <t>2021-12-02T04:54:47Z</t>
  </si>
  <si>
    <t>2021-12-02T04:08:03Z</t>
  </si>
  <si>
    <t>2021-12-05T21:09:45Z</t>
  </si>
  <si>
    <t>2021-12-06T20:02:52Z</t>
  </si>
  <si>
    <t>2021-11-30T12:54:26Z</t>
  </si>
  <si>
    <t>2021-11-30T17:21:36Z</t>
  </si>
  <si>
    <t>2021-12-06T10:45:17Z</t>
  </si>
  <si>
    <t>2021-12-09T11:41:49Z</t>
  </si>
  <si>
    <t>2021-11-30T12:54:40Z</t>
  </si>
  <si>
    <t>2021-12-11T13:31:39Z</t>
  </si>
  <si>
    <t>2021-11-29T07:23:21Z</t>
  </si>
  <si>
    <t>2021-11-29T06:19:07Z</t>
  </si>
  <si>
    <t>2021-12-07T06:24:44Z</t>
  </si>
  <si>
    <t>2021-12-02T04:08:42Z</t>
  </si>
  <si>
    <t>2021-12-05T19:30:38Z</t>
  </si>
  <si>
    <t>2021-11-29T07:25:49Z</t>
  </si>
  <si>
    <t>2021-11-30T12:55:16Z</t>
  </si>
  <si>
    <t>2021-11-29T23:29:55Z</t>
  </si>
  <si>
    <t>2021-12-10T08:40:55Z</t>
  </si>
  <si>
    <t>2021-12-05T12:23:13Z</t>
  </si>
  <si>
    <t>2021-12-02T04:54:58Z</t>
  </si>
  <si>
    <t>2021-11-30T11:34:20Z</t>
  </si>
  <si>
    <t>2021-11-30T12:55:26Z</t>
  </si>
  <si>
    <t>2021-12-05T21:09:23Z</t>
  </si>
  <si>
    <t>2021-12-05T21:09:27Z</t>
  </si>
  <si>
    <t>2021-12-02T04:09:16Z</t>
  </si>
  <si>
    <t>2021-12-02T15:44:22Z</t>
  </si>
  <si>
    <t>2021-11-30T12:55:38Z</t>
  </si>
  <si>
    <t>2021-12-06T09:46:31Z</t>
  </si>
  <si>
    <t>2021-12-06T23:36:33Z</t>
  </si>
  <si>
    <t>2021-12-08T16:29:13Z</t>
  </si>
  <si>
    <t>2021-11-30T12:55:51Z</t>
  </si>
  <si>
    <t>2021-12-07T07:21:40Z</t>
  </si>
  <si>
    <t>2021-12-05T06:59:26Z</t>
  </si>
  <si>
    <t>2021-12-02T04:55:08Z</t>
  </si>
  <si>
    <t>2021-11-29T19:33:01Z</t>
  </si>
  <si>
    <t>2021-12-02T12:25:27Z</t>
  </si>
  <si>
    <t>2021-12-02T15:44:42Z</t>
  </si>
  <si>
    <t>2021-12-02T04:09:58Z</t>
  </si>
  <si>
    <t>2021-12-05T21:09:58Z</t>
  </si>
  <si>
    <t>2021-12-11T14:14:49Z</t>
  </si>
  <si>
    <t>2021-12-06T23:37:02Z</t>
  </si>
  <si>
    <t>2021-12-04T23:06:16Z</t>
  </si>
  <si>
    <t>2021-12-05T21:10:09Z</t>
  </si>
  <si>
    <t>2021-12-08T07:20:21Z</t>
  </si>
  <si>
    <t>2021-12-02T11:43:17Z</t>
  </si>
  <si>
    <t>2021-12-02T04:10:32Z</t>
  </si>
  <si>
    <t>2021-11-30T12:56:30Z</t>
  </si>
  <si>
    <t>2021-12-11T20:02:21Z</t>
  </si>
  <si>
    <t>2021-11-30T09:53:00Z</t>
  </si>
  <si>
    <t>2021-12-02T04:10:43Z</t>
  </si>
  <si>
    <t>2021-12-02T04:55:19Z</t>
  </si>
  <si>
    <t>2021-12-02T05:02:15Z</t>
  </si>
  <si>
    <t>2021-12-09T11:44:34Z</t>
  </si>
  <si>
    <t>2021-11-30T17:20:22Z</t>
  </si>
  <si>
    <t>2021-11-30T12:56:51Z</t>
  </si>
  <si>
    <t>2021-12-05T17:12:55Z</t>
  </si>
  <si>
    <t>2021-12-05T17:13:13Z</t>
  </si>
  <si>
    <t>2021-12-01T01:29:35Z</t>
  </si>
  <si>
    <t>2021-12-04T00:29:24Z</t>
  </si>
  <si>
    <t>2021-11-28T20:09:22Z</t>
  </si>
  <si>
    <t>2021-11-30T12:57:09Z</t>
  </si>
  <si>
    <t>2021-12-11T13:33:06Z</t>
  </si>
  <si>
    <t>2021-11-29T07:58:03Z</t>
  </si>
  <si>
    <t>2021-12-04T04:59:56Z</t>
  </si>
  <si>
    <t>2021-12-08T14:38:33Z</t>
  </si>
  <si>
    <t>2021-11-29T23:14:21Z</t>
  </si>
  <si>
    <t>2021-12-03T15:43:12Z</t>
  </si>
  <si>
    <t>2021-12-04T22:09:19Z</t>
  </si>
  <si>
    <t>2021-12-11T14:15:36Z</t>
  </si>
  <si>
    <t>2021-12-11T13:49:22Z</t>
  </si>
  <si>
    <t>2021-12-02T11:56:57Z</t>
  </si>
  <si>
    <t>2021-12-06T00:22:02Z</t>
  </si>
  <si>
    <t>2021-12-02T04:12:32Z</t>
  </si>
  <si>
    <t>2021-12-02T04:55:30Z</t>
  </si>
  <si>
    <t>2021-12-02T21:45:53Z</t>
  </si>
  <si>
    <t>2021-12-04T00:38:45Z</t>
  </si>
  <si>
    <t>2021-12-06T17:32:04Z</t>
  </si>
  <si>
    <t>2021-12-02T04:13:08Z</t>
  </si>
  <si>
    <t>2021-12-04T00:45:26Z</t>
  </si>
  <si>
    <t>2021-12-05T15:49:48Z</t>
  </si>
  <si>
    <t>2021-12-11T12:48:40Z</t>
  </si>
  <si>
    <t>2021-12-02T04:13:30Z</t>
  </si>
  <si>
    <t>2021-12-05T05:29:42Z</t>
  </si>
  <si>
    <t>2021-12-02T05:02:32Z</t>
  </si>
  <si>
    <t>2021-12-05T05:29:58Z</t>
  </si>
  <si>
    <t>2021-12-11T14:03:59Z</t>
  </si>
  <si>
    <t>2021-12-11T18:09:14Z</t>
  </si>
  <si>
    <t>2021-12-07T21:42:29Z</t>
  </si>
  <si>
    <t>2021-12-03T12:47:22Z</t>
  </si>
  <si>
    <t>2021-12-05T05:30:35Z</t>
  </si>
  <si>
    <t>2021-12-02T04:14:21Z</t>
  </si>
  <si>
    <t>2021-12-09T11:47:07Z</t>
  </si>
  <si>
    <t>2021-12-11T13:34:33Z</t>
  </si>
  <si>
    <t>2021-12-06T09:47:22Z</t>
  </si>
  <si>
    <t>2021-12-05T16:24:51Z</t>
  </si>
  <si>
    <t>2021-12-04T00:48:33Z</t>
  </si>
  <si>
    <t>2021-12-10T21:16:41Z</t>
  </si>
  <si>
    <t>2021-12-02T05:03:48Z</t>
  </si>
  <si>
    <t>2021-12-10T16:46:08Z</t>
  </si>
  <si>
    <t>2021-12-02T04:14:55Z</t>
  </si>
  <si>
    <t>2021-12-03T12:49:52Z</t>
  </si>
  <si>
    <t>2021-12-05T21:12:46Z</t>
  </si>
  <si>
    <t>2021-12-09T09:03:49Z</t>
  </si>
  <si>
    <t>2021-12-05T05:31:10Z</t>
  </si>
  <si>
    <t>2021-12-02T04:55:45Z</t>
  </si>
  <si>
    <t>2021-12-08T05:17:38Z</t>
  </si>
  <si>
    <t>2021-12-06T03:41:45Z</t>
  </si>
  <si>
    <t>2021-12-05T11:29:23Z</t>
  </si>
  <si>
    <t>2021-12-11T18:09:55Z</t>
  </si>
  <si>
    <t>2021-11-29T10:50:43Z</t>
  </si>
  <si>
    <t>2021-12-01T05:47:56Z</t>
  </si>
  <si>
    <t>2021-12-08T14:41:33Z</t>
  </si>
  <si>
    <t>2021-12-08T18:45:22Z</t>
  </si>
  <si>
    <t>2021-12-01T05:48:20Z</t>
  </si>
  <si>
    <t>2021-11-29T08:02:40Z</t>
  </si>
  <si>
    <t>2021-12-03T17:16:29Z</t>
  </si>
  <si>
    <t>2021-12-10T17:12:13Z</t>
  </si>
  <si>
    <t>2021-12-02T16:44:28Z</t>
  </si>
  <si>
    <t>2021-12-09T11:48:59Z</t>
  </si>
  <si>
    <t>2021-12-04T22:11:21Z</t>
  </si>
  <si>
    <t>2021-12-11T18:10:25Z</t>
  </si>
  <si>
    <t>2021-12-11T18:48:35Z</t>
  </si>
  <si>
    <t>2021-11-29T16:27:06Z</t>
  </si>
  <si>
    <t>2021-11-30T05:12:14Z</t>
  </si>
  <si>
    <t>2021-12-04T22:11:37Z</t>
  </si>
  <si>
    <t># +/-</t>
  </si>
  <si>
    <t>Misc Ammo</t>
  </si>
  <si>
    <t>TOTALS</t>
  </si>
  <si>
    <t>Invest</t>
  </si>
  <si>
    <t>Buylist?</t>
  </si>
  <si>
    <t>Rigs</t>
  </si>
  <si>
    <t>Mods Misc</t>
  </si>
  <si>
    <t>Mods Wep</t>
  </si>
  <si>
    <t>Total Investment</t>
  </si>
  <si>
    <t>Total Revenue</t>
  </si>
  <si>
    <t>Out?</t>
  </si>
  <si>
    <t>Left</t>
  </si>
  <si>
    <t>Buylist 1</t>
  </si>
  <si>
    <t>Buylist 2</t>
  </si>
  <si>
    <t>Buylist 3</t>
  </si>
  <si>
    <t>Column1.average</t>
  </si>
  <si>
    <t>Column1.lowest</t>
  </si>
  <si>
    <t>Column1.order_count</t>
  </si>
  <si>
    <t>Column1.volume</t>
  </si>
  <si>
    <t>Marketeer Logic Board</t>
  </si>
  <si>
    <t>Valid Marketeer Xpaths</t>
  </si>
  <si>
    <t>Marketeer Formulas</t>
  </si>
  <si>
    <t>SwaggerURL:</t>
  </si>
  <si>
    <t>M Code:</t>
  </si>
  <si>
    <t>FilePath = Excel.CurrentWorkbook(){[Name="FilePath"]}[Content]{0}[Column1],</t>
  </si>
  <si>
    <t>Column1</t>
  </si>
  <si>
    <t>Parse</t>
  </si>
  <si>
    <t>Date Formula: =IFERROR((LARGE(F4:$F$4,1)-LARGE(F4:$F$4,2)-1),"")</t>
  </si>
  <si>
    <t>Logic Board</t>
  </si>
  <si>
    <t>Swagger URL 1</t>
  </si>
  <si>
    <t>Swagger URL 2</t>
  </si>
  <si>
    <t>https://esi.evetech.net/latest/markets/</t>
  </si>
  <si>
    <t>/history/?datasource=tranquility&amp;type_id=</t>
  </si>
  <si>
    <t>Region ID:</t>
  </si>
  <si>
    <t>Concatenate 1:</t>
  </si>
  <si>
    <t>Days Since Sale</t>
  </si>
  <si>
    <t>Timezone</t>
  </si>
  <si>
    <t>Number of hours BEHIND GMT</t>
  </si>
  <si>
    <t>&lt; Double click inside cell and hit Enter</t>
  </si>
  <si>
    <t>Eve Time</t>
  </si>
  <si>
    <t>Eve Date</t>
  </si>
  <si>
    <t>Refresh Eve Time before updating queries!</t>
  </si>
  <si>
    <t>It is recommended to wait until after 6:00 am (EVE Time) to update queries!</t>
  </si>
  <si>
    <t>Missed \ Week</t>
  </si>
  <si>
    <t>Volume Result:</t>
  </si>
  <si>
    <t>Avrg Depth:</t>
  </si>
  <si>
    <t>Avrg Volumes:</t>
  </si>
  <si>
    <t>Depth Results:</t>
  </si>
  <si>
    <t>2021-12-24T06:08:30Z</t>
  </si>
  <si>
    <t>2021-12-23T14:55:21Z</t>
  </si>
  <si>
    <t>2021-12-14T04:01:20Z</t>
  </si>
  <si>
    <t>2021-12-24T06:28:48Z</t>
  </si>
  <si>
    <t>2021-12-22T21:33:22Z</t>
  </si>
  <si>
    <t>2021-12-18T09:46:04Z</t>
  </si>
  <si>
    <t>2021-12-18T22:28:01Z</t>
  </si>
  <si>
    <t>2021-12-16T18:36:54Z</t>
  </si>
  <si>
    <t>2021-12-18T14:31:23Z</t>
  </si>
  <si>
    <t>2021-12-23T15:21:45Z</t>
  </si>
  <si>
    <t>2021-12-18T20:34:30Z</t>
  </si>
  <si>
    <t>2021-12-24T06:08:47Z</t>
  </si>
  <si>
    <t>2021-12-18T14:12:52Z</t>
  </si>
  <si>
    <t>2021-12-24T14:13:38Z</t>
  </si>
  <si>
    <t>2021-12-20T17:50:04Z</t>
  </si>
  <si>
    <t>2021-12-21T01:38:07Z</t>
  </si>
  <si>
    <t>2021-12-12T19:35:37Z</t>
  </si>
  <si>
    <t>2021-12-23T20:43:34Z</t>
  </si>
  <si>
    <t>2021-12-24T14:13:47Z</t>
  </si>
  <si>
    <t>2021-12-16T02:35:36Z</t>
  </si>
  <si>
    <t>2021-12-22T16:12:18Z</t>
  </si>
  <si>
    <t>2021-12-23T16:17:42Z</t>
  </si>
  <si>
    <t>2021-12-23T15:04:19Z</t>
  </si>
  <si>
    <t>2021-12-18T19:21:23Z</t>
  </si>
  <si>
    <t>2021-12-18T14:13:13Z</t>
  </si>
  <si>
    <t>2021-12-18T16:14:14Z</t>
  </si>
  <si>
    <t>2021-12-18T16:14:15Z</t>
  </si>
  <si>
    <t>2021-12-23T23:18:35Z</t>
  </si>
  <si>
    <t>2021-12-23T15:22:10Z</t>
  </si>
  <si>
    <t>2021-12-20T18:18:41Z</t>
  </si>
  <si>
    <t>2021-12-21T22:51:44Z</t>
  </si>
  <si>
    <t>2021-12-24T06:09:24Z</t>
  </si>
  <si>
    <t>2021-12-18T23:13:24Z</t>
  </si>
  <si>
    <t>2021-12-21T08:24:00Z</t>
  </si>
  <si>
    <t>2021-12-16T20:52:23Z</t>
  </si>
  <si>
    <t>2021-12-18T14:43:44Z</t>
  </si>
  <si>
    <t>2021-12-16T01:32:34Z</t>
  </si>
  <si>
    <t>2021-12-21T09:41:48Z</t>
  </si>
  <si>
    <t>2021-12-23T14:30:01Z</t>
  </si>
  <si>
    <t>2021-12-17T19:39:11Z</t>
  </si>
  <si>
    <t>2021-12-19T02:45:13Z</t>
  </si>
  <si>
    <t>2021-12-20T03:02:39Z</t>
  </si>
  <si>
    <t>2021-12-18T14:13:26Z</t>
  </si>
  <si>
    <t>2021-12-16T18:37:39Z</t>
  </si>
  <si>
    <t>2021-12-21T20:38:01Z</t>
  </si>
  <si>
    <t>2021-12-18T12:48:33Z</t>
  </si>
  <si>
    <t>2021-12-18T16:03:34Z</t>
  </si>
  <si>
    <t>2021-12-18T23:13:37Z</t>
  </si>
  <si>
    <t>2021-12-18T14:13:32Z</t>
  </si>
  <si>
    <t>2021-12-22T02:49:10Z</t>
  </si>
  <si>
    <t>2021-12-20T18:32:23Z</t>
  </si>
  <si>
    <t>2021-12-24T19:39:00Z</t>
  </si>
  <si>
    <t>2021-12-17T15:49:33Z</t>
  </si>
  <si>
    <t>2021-12-24T06:09:52Z</t>
  </si>
  <si>
    <t>2021-12-24T12:38:33Z</t>
  </si>
  <si>
    <t>2021-12-13T07:00:19Z</t>
  </si>
  <si>
    <t>2021-12-24T15:07:21Z</t>
  </si>
  <si>
    <t>2021-12-16T14:09:31Z</t>
  </si>
  <si>
    <t>2021-12-20T23:54:36Z</t>
  </si>
  <si>
    <t>2021-12-19T14:15:54Z</t>
  </si>
  <si>
    <t>2021-12-22T17:09:25Z</t>
  </si>
  <si>
    <t>2021-12-16T20:52:50Z</t>
  </si>
  <si>
    <t>2021-12-22T17:51:19Z</t>
  </si>
  <si>
    <t>2021-12-18T14:42:55Z</t>
  </si>
  <si>
    <t>2021-12-24T06:11:25Z</t>
  </si>
  <si>
    <t>2021-12-24T16:54:41Z</t>
  </si>
  <si>
    <t>2021-12-24T19:39:24Z</t>
  </si>
  <si>
    <t>2021-12-15T16:37:53Z</t>
  </si>
  <si>
    <t>2021-12-22T20:50:52Z</t>
  </si>
  <si>
    <t>2021-12-24T06:10:30Z</t>
  </si>
  <si>
    <t>2021-12-17T23:00:22Z</t>
  </si>
  <si>
    <t>2021-12-23T09:59:14Z</t>
  </si>
  <si>
    <t>2021-12-23T15:49:44Z</t>
  </si>
  <si>
    <t>2021-12-24T17:00:25Z</t>
  </si>
  <si>
    <t>2021-12-19T19:05:03Z</t>
  </si>
  <si>
    <t>2021-12-19T19:01:14Z</t>
  </si>
  <si>
    <t>2021-12-16T18:04:09Z</t>
  </si>
  <si>
    <t>2021-12-23T15:22:53Z</t>
  </si>
  <si>
    <t>2021-12-12T08:34:49Z</t>
  </si>
  <si>
    <t>2021-12-19T13:25:06Z</t>
  </si>
  <si>
    <t>2021-12-23T15:22:32Z</t>
  </si>
  <si>
    <t>2021-12-22T02:34:15Z</t>
  </si>
  <si>
    <t>2021-12-18T22:29:19Z</t>
  </si>
  <si>
    <t>2021-12-24T05:27:37Z</t>
  </si>
  <si>
    <t>2021-12-18T18:45:21Z</t>
  </si>
  <si>
    <t>2021-12-23T16:04:13Z</t>
  </si>
  <si>
    <t>2021-12-24T06:11:06Z</t>
  </si>
  <si>
    <t>2021-12-19T18:28:08Z</t>
  </si>
  <si>
    <t>2021-12-24T14:14:59Z</t>
  </si>
  <si>
    <t>2021-12-16T14:10:37Z</t>
  </si>
  <si>
    <t>2021-12-20T12:04:43Z</t>
  </si>
  <si>
    <t>2021-12-23T18:44:36Z</t>
  </si>
  <si>
    <t>2021-12-21T01:39:43Z</t>
  </si>
  <si>
    <t>2021-12-20T18:14:38Z</t>
  </si>
  <si>
    <t>2021-12-15T01:51:57Z</t>
  </si>
  <si>
    <t>2021-12-24T19:39:58Z</t>
  </si>
  <si>
    <t>2021-12-21T01:40:00Z</t>
  </si>
  <si>
    <t>2021-12-22T17:52:04Z</t>
  </si>
  <si>
    <t>2021-12-22T21:44:31Z</t>
  </si>
  <si>
    <t>2021-12-24T10:18:48Z</t>
  </si>
  <si>
    <t>2021-12-24T10:19:07Z</t>
  </si>
  <si>
    <t>2021-12-21T01:43:53Z</t>
  </si>
  <si>
    <t>2021-12-18T07:42:50Z</t>
  </si>
  <si>
    <t>2021-12-18T10:08:16Z</t>
  </si>
  <si>
    <t>2021-12-24T06:11:59Z</t>
  </si>
  <si>
    <t>2021-12-16T08:43:38Z</t>
  </si>
  <si>
    <t>2021-12-21T18:48:31Z</t>
  </si>
  <si>
    <t>2021-12-19T19:03:58Z</t>
  </si>
  <si>
    <t>2021-12-19T05:43:39Z</t>
  </si>
  <si>
    <t>2021-12-18T14:42:42Z</t>
  </si>
  <si>
    <t>2021-12-18T03:46:16Z</t>
  </si>
  <si>
    <t>2021-12-24T19:40:15Z</t>
  </si>
  <si>
    <t>2021-12-23T13:18:41Z</t>
  </si>
  <si>
    <t>2021-12-18T14:14:31Z</t>
  </si>
  <si>
    <t>2021-12-23T17:25:17Z</t>
  </si>
  <si>
    <t>2021-12-21T20:57:57Z</t>
  </si>
  <si>
    <t>2021-12-23T10:02:37Z</t>
  </si>
  <si>
    <t>2021-12-19T22:38:42Z</t>
  </si>
  <si>
    <t>2021-12-18T14:42:16Z</t>
  </si>
  <si>
    <t>2021-12-20T00:46:28Z</t>
  </si>
  <si>
    <t>2021-12-24T19:40:37Z</t>
  </si>
  <si>
    <t>2021-12-23T15:23:38Z</t>
  </si>
  <si>
    <t>2021-12-23T02:21:21Z</t>
  </si>
  <si>
    <t>2021-12-14T08:27:21Z</t>
  </si>
  <si>
    <t>2021-12-22T17:52:46Z</t>
  </si>
  <si>
    <t>2021-12-20T07:26:53Z</t>
  </si>
  <si>
    <t>2021-12-21T21:10:20Z</t>
  </si>
  <si>
    <t>2021-12-12T22:26:29Z</t>
  </si>
  <si>
    <t>2021-12-13T06:33:07Z</t>
  </si>
  <si>
    <t>2021-12-23T03:45:04Z</t>
  </si>
  <si>
    <t>2021-12-24T19:40:51Z</t>
  </si>
  <si>
    <t>2021-12-22T23:48:15Z</t>
  </si>
  <si>
    <t>2021-12-23T15:07:02Z</t>
  </si>
  <si>
    <t>2021-12-24T19:40:57Z</t>
  </si>
  <si>
    <t>2021-12-17T21:01:48Z</t>
  </si>
  <si>
    <t>2021-12-22T05:20:11Z</t>
  </si>
  <si>
    <t>2021-12-23T16:38:33Z</t>
  </si>
  <si>
    <t>2021-12-14T13:40:37Z</t>
  </si>
  <si>
    <t>2021-12-24T19:41:03Z</t>
  </si>
  <si>
    <t>2021-12-22T16:22:42Z</t>
  </si>
  <si>
    <t>2021-12-21T20:52:16Z</t>
  </si>
  <si>
    <t>2021-12-23T15:24:09Z</t>
  </si>
  <si>
    <t>2021-12-14T18:29:01Z</t>
  </si>
  <si>
    <t>2021-12-19T13:13:39Z</t>
  </si>
  <si>
    <t>2021-12-13T11:18:35Z</t>
  </si>
  <si>
    <t>2021-12-11T20:38:33Z</t>
  </si>
  <si>
    <t>2021-12-23T19:45:30Z</t>
  </si>
  <si>
    <t>2021-12-20T06:03:00Z</t>
  </si>
  <si>
    <t>2021-12-19T13:13:43Z</t>
  </si>
  <si>
    <t>2021-12-20T19:04:12Z</t>
  </si>
  <si>
    <t>2021-12-24T16:02:21Z</t>
  </si>
  <si>
    <t>2021-12-13T19:40:49Z</t>
  </si>
  <si>
    <t>2021-12-22T23:42:08Z</t>
  </si>
  <si>
    <t>2021-12-18T03:55:48Z</t>
  </si>
  <si>
    <t>2021-12-18T21:12:16Z</t>
  </si>
  <si>
    <t>2021-12-19T13:13:50Z</t>
  </si>
  <si>
    <t>2021-12-23T08:00:15Z</t>
  </si>
  <si>
    <t>2021-12-23T15:50:00Z</t>
  </si>
  <si>
    <t>2021-12-24T21:15:43Z</t>
  </si>
  <si>
    <t>2021-12-24T14:50:25Z</t>
  </si>
  <si>
    <t>2021-12-23T15:24:31Z</t>
  </si>
  <si>
    <t>2021-12-19T13:13:57Z</t>
  </si>
  <si>
    <t>2021-12-18T22:31:13Z</t>
  </si>
  <si>
    <t>2021-12-18T23:16:06Z</t>
  </si>
  <si>
    <t>2021-12-23T01:25:55Z</t>
  </si>
  <si>
    <t>2021-12-11T20:09:40Z</t>
  </si>
  <si>
    <t>2021-12-20T14:49:11Z</t>
  </si>
  <si>
    <t>2021-12-24T15:57:12Z</t>
  </si>
  <si>
    <t>2021-12-13T00:22:30Z</t>
  </si>
  <si>
    <t>2021-12-24T13:20:34Z</t>
  </si>
  <si>
    <t>2021-12-13T07:54:54Z</t>
  </si>
  <si>
    <t>2021-12-18T23:16:15Z</t>
  </si>
  <si>
    <t>2021-12-20T06:03:54Z</t>
  </si>
  <si>
    <t>2021-12-24T05:30:22Z</t>
  </si>
  <si>
    <t>2021-12-17T23:03:08Z</t>
  </si>
  <si>
    <t>2021-12-15T01:54:46Z</t>
  </si>
  <si>
    <t>2021-12-23T03:46:39Z</t>
  </si>
  <si>
    <t>2021-12-19T13:14:15Z</t>
  </si>
  <si>
    <t>2021-12-11T12:59:22Z</t>
  </si>
  <si>
    <t>2021-12-19T15:52:46Z</t>
  </si>
  <si>
    <t>2021-12-14T22:40:33Z</t>
  </si>
  <si>
    <t>2021-12-13T04:21:12Z</t>
  </si>
  <si>
    <t>2021-12-13T08:41:38Z</t>
  </si>
  <si>
    <t>2021-12-20T19:49:45Z</t>
  </si>
  <si>
    <t>2021-12-20T13:18:33Z</t>
  </si>
  <si>
    <t>2021-12-19T13:14:24Z</t>
  </si>
  <si>
    <t>2021-12-19T11:39:31Z</t>
  </si>
  <si>
    <t>2021-12-17T15:12:29Z</t>
  </si>
  <si>
    <t>2021-12-20T13:45:51Z</t>
  </si>
  <si>
    <t>2021-12-23T15:25:07Z</t>
  </si>
  <si>
    <t>2021-12-23T20:02:42Z</t>
  </si>
  <si>
    <t>2021-12-15T01:55:29Z</t>
  </si>
  <si>
    <t>2021-12-19T13:14:29Z</t>
  </si>
  <si>
    <t>2021-12-24T05:24:32Z</t>
  </si>
  <si>
    <t>2021-12-24T20:05:26Z</t>
  </si>
  <si>
    <t>2021-12-12T08:37:20Z</t>
  </si>
  <si>
    <t>2021-12-16T21:47:23Z</t>
  </si>
  <si>
    <t>2021-12-23T01:38:17Z</t>
  </si>
  <si>
    <t>2021-12-19T13:14:36Z</t>
  </si>
  <si>
    <t>2021-12-22T20:41:36Z</t>
  </si>
  <si>
    <t>2021-12-22T02:48:58Z</t>
  </si>
  <si>
    <t>2021-12-18T12:10:00Z</t>
  </si>
  <si>
    <t>2021-12-18T22:31:51Z</t>
  </si>
  <si>
    <t>2021-12-20T14:46:15Z</t>
  </si>
  <si>
    <t>2021-12-14T20:37:41Z</t>
  </si>
  <si>
    <t>2021-12-22T17:54:29Z</t>
  </si>
  <si>
    <t>2021-12-22T19:10:42Z</t>
  </si>
  <si>
    <t>2021-12-16T21:47:35Z</t>
  </si>
  <si>
    <t>2021-12-17T15:11:02Z</t>
  </si>
  <si>
    <t>2021-12-23T15:25:33Z</t>
  </si>
  <si>
    <t>2021-12-12T19:38:46Z</t>
  </si>
  <si>
    <t>2021-12-24T05:25:35Z</t>
  </si>
  <si>
    <t>2021-12-19T19:03:01Z</t>
  </si>
  <si>
    <t>2021-12-19T18:52:25Z</t>
  </si>
  <si>
    <t>2021-12-19T18:55:07Z</t>
  </si>
  <si>
    <t>2021-12-19T18:55:16Z</t>
  </si>
  <si>
    <t>2021-12-11T20:07:59Z</t>
  </si>
  <si>
    <t>2021-12-22T02:27:34Z</t>
  </si>
  <si>
    <t>2021-12-19T18:53:13Z</t>
  </si>
  <si>
    <t>2021-12-19T18:53:31Z</t>
  </si>
  <si>
    <t>2021-12-19T18:54:47Z</t>
  </si>
  <si>
    <t>2021-12-19T19:02:34Z</t>
  </si>
  <si>
    <t>2021-12-23T14:56:03Z</t>
  </si>
  <si>
    <t>2021-12-18T14:42:33Z</t>
  </si>
  <si>
    <t>2021-12-18T18:21:58Z</t>
  </si>
  <si>
    <t>2021-12-13T04:21:45Z</t>
  </si>
  <si>
    <t>2021-12-13T00:24:22Z</t>
  </si>
  <si>
    <t>2021-12-23T12:24:32Z</t>
  </si>
  <si>
    <t>2021-12-19T19:46:35Z</t>
  </si>
  <si>
    <t>2021-12-24T16:36:32Z</t>
  </si>
  <si>
    <t>2021-12-19T15:40:09Z</t>
  </si>
  <si>
    <t>2021-12-17T15:58:45Z</t>
  </si>
  <si>
    <t>2021-12-23T15:25:52Z</t>
  </si>
  <si>
    <t>2021-12-19T23:39:26Z</t>
  </si>
  <si>
    <t>2021-12-19T14:32:02Z</t>
  </si>
  <si>
    <t>2021-12-23T03:48:27Z</t>
  </si>
  <si>
    <t>2021-12-13T04:22:17Z</t>
  </si>
  <si>
    <t>2021-12-21T20:44:39Z</t>
  </si>
  <si>
    <t>2021-12-24T20:38:50Z</t>
  </si>
  <si>
    <t>2021-12-23T15:26:09Z</t>
  </si>
  <si>
    <t>2021-12-14T18:59:20Z</t>
  </si>
  <si>
    <t>2021-12-14T05:34:17Z</t>
  </si>
  <si>
    <t>2021-12-13T04:22:45Z</t>
  </si>
  <si>
    <t>2021-12-21T05:44:23Z</t>
  </si>
  <si>
    <t>2021-12-16T20:09:34Z</t>
  </si>
  <si>
    <t>2021-12-19T13:15:37Z</t>
  </si>
  <si>
    <t>2021-12-11T20:47:08Z</t>
  </si>
  <si>
    <t>2021-12-19T12:18:46Z</t>
  </si>
  <si>
    <t>2021-12-13T18:33:10Z</t>
  </si>
  <si>
    <t>2021-12-24T15:57:25Z</t>
  </si>
  <si>
    <t>2021-12-19T09:50:21Z</t>
  </si>
  <si>
    <t>2021-12-24T12:23:36Z</t>
  </si>
  <si>
    <t>2021-12-20T01:35:51Z</t>
  </si>
  <si>
    <t>2021-12-14T18:31:35Z</t>
  </si>
  <si>
    <t>2021-12-22T01:18:49Z</t>
  </si>
  <si>
    <t>2021-12-21T20:56:08Z</t>
  </si>
  <si>
    <t>2021-12-21T03:03:19Z</t>
  </si>
  <si>
    <t>2021-12-22T01:19:05Z</t>
  </si>
  <si>
    <t>2021-12-24T05:24:02Z</t>
  </si>
  <si>
    <t>2021-12-18T16:10:53Z</t>
  </si>
  <si>
    <t>2021-12-22T21:35:04Z</t>
  </si>
  <si>
    <t>2021-12-13T04:23:30Z</t>
  </si>
  <si>
    <t>2021-12-23T15:26:58Z</t>
  </si>
  <si>
    <t>2021-12-22T01:19:17Z</t>
  </si>
  <si>
    <t>2021-12-19T19:47:23Z</t>
  </si>
  <si>
    <t>2021-12-16T12:50:48Z</t>
  </si>
  <si>
    <t>2021-12-11T20:08:39Z</t>
  </si>
  <si>
    <t>2021-12-24T06:19:01Z</t>
  </si>
  <si>
    <t>2021-12-15T19:37:04Z</t>
  </si>
  <si>
    <t>2021-12-19T13:16:05Z</t>
  </si>
  <si>
    <t>2021-12-23T03:50:19Z</t>
  </si>
  <si>
    <t>2021-12-21T03:04:11Z</t>
  </si>
  <si>
    <t>2021-12-20T18:22:58Z</t>
  </si>
  <si>
    <t>2021-12-24T05:30:50Z</t>
  </si>
  <si>
    <t>2021-12-22T06:16:05Z</t>
  </si>
  <si>
    <t>2021-12-24T11:23:20Z</t>
  </si>
  <si>
    <t>2021-12-18T22:32:55Z</t>
  </si>
  <si>
    <t>2021-12-23T15:27:20Z</t>
  </si>
  <si>
    <t>2021-12-20T20:10:49Z</t>
  </si>
  <si>
    <t>2021-12-21T18:05:48Z</t>
  </si>
  <si>
    <t>2021-12-23T15:47:28Z</t>
  </si>
  <si>
    <t>2021-12-13T04:24:10Z</t>
  </si>
  <si>
    <t>2021-12-12T07:41:14Z</t>
  </si>
  <si>
    <t>2021-12-13T00:26:25Z</t>
  </si>
  <si>
    <t>2021-12-20T09:01:42Z</t>
  </si>
  <si>
    <t>2021-12-19T13:16:25Z</t>
  </si>
  <si>
    <t>2021-12-24T15:16:31Z</t>
  </si>
  <si>
    <t>2021-12-24T06:19:33Z</t>
  </si>
  <si>
    <t>2021-12-23T15:57:25Z</t>
  </si>
  <si>
    <t>2021-12-22T15:45:16Z</t>
  </si>
  <si>
    <t>2021-12-24T05:28:20Z</t>
  </si>
  <si>
    <t>2021-12-24T11:23:50Z</t>
  </si>
  <si>
    <t>2021-12-20T22:38:08Z</t>
  </si>
  <si>
    <t>2021-12-24T06:19:50Z</t>
  </si>
  <si>
    <t>2021-12-19T17:05:53Z</t>
  </si>
  <si>
    <t>2021-12-17T18:26:32Z</t>
  </si>
  <si>
    <t>2021-12-19T23:41:50Z</t>
  </si>
  <si>
    <t>2021-12-24T11:23:59Z</t>
  </si>
  <si>
    <t>2021-12-19T12:47:12Z</t>
  </si>
  <si>
    <t>2021-12-20T18:12:07Z</t>
  </si>
  <si>
    <t>2021-12-22T16:18:17Z</t>
  </si>
  <si>
    <t>2021-12-19T17:05:55Z</t>
  </si>
  <si>
    <t>2021-12-13T04:24:39Z</t>
  </si>
  <si>
    <t>2021-12-24T06:10:13Z</t>
  </si>
  <si>
    <t>2021-12-24T06:20:09Z</t>
  </si>
  <si>
    <t>2021-12-19T10:03:10Z</t>
  </si>
  <si>
    <t>2021-12-23T17:49:33Z</t>
  </si>
  <si>
    <t>2021-12-18T18:49:23Z</t>
  </si>
  <si>
    <t>2021-12-24T05:28:31Z</t>
  </si>
  <si>
    <t>2021-12-24T11:24:19Z</t>
  </si>
  <si>
    <t>2021-12-24T06:10:16Z</t>
  </si>
  <si>
    <t>2021-12-16T02:35:43Z</t>
  </si>
  <si>
    <t>2021-12-22T15:09:35Z</t>
  </si>
  <si>
    <t>2021-12-21T01:39:29Z</t>
  </si>
  <si>
    <t>2021-12-14T13:42:42Z</t>
  </si>
  <si>
    <t>2021-12-23T17:35:33Z</t>
  </si>
  <si>
    <t>2021-12-14T15:48:04Z</t>
  </si>
  <si>
    <t>2021-12-14T14:21:40Z</t>
  </si>
  <si>
    <t>2021-12-13T18:14:06Z</t>
  </si>
  <si>
    <t>2021-12-24T06:20:48Z</t>
  </si>
  <si>
    <t>2021-12-17T04:56:48Z</t>
  </si>
  <si>
    <t>2021-12-23T03:52:12Z</t>
  </si>
  <si>
    <t>2021-12-19T23:42:34Z</t>
  </si>
  <si>
    <t>2021-12-11T21:41:03Z</t>
  </si>
  <si>
    <t>2021-12-15T09:08:40Z</t>
  </si>
  <si>
    <t>2021-12-24T17:29:17Z</t>
  </si>
  <si>
    <t>2021-12-24T11:24:40Z</t>
  </si>
  <si>
    <t>2021-12-11T20:09:09Z</t>
  </si>
  <si>
    <t>2021-12-18T18:49:42Z</t>
  </si>
  <si>
    <t>2021-12-19T15:18:10Z</t>
  </si>
  <si>
    <t>2021-12-24T11:25:00Z</t>
  </si>
  <si>
    <t>2021-12-22T20:37:30Z</t>
  </si>
  <si>
    <t>2021-12-17T18:22:06Z</t>
  </si>
  <si>
    <t>2021-12-19T07:57:41Z</t>
  </si>
  <si>
    <t>2021-12-21T21:03:03Z</t>
  </si>
  <si>
    <t>2021-12-24T05:31:08Z</t>
  </si>
  <si>
    <t>2021-12-22T23:56:12Z</t>
  </si>
  <si>
    <t>2021-12-23T22:10:13Z</t>
  </si>
  <si>
    <t>2021-12-21T20:38:06Z</t>
  </si>
  <si>
    <t>2021-12-13T06:49:24Z</t>
  </si>
  <si>
    <t>2021-12-24T06:21:43Z</t>
  </si>
  <si>
    <t>2021-12-18T08:54:59Z</t>
  </si>
  <si>
    <t>2021-12-24T03:51:13Z</t>
  </si>
  <si>
    <t>2021-12-17T08:24:51Z</t>
  </si>
  <si>
    <t>2021-12-17T18:54:17Z</t>
  </si>
  <si>
    <t>2021-12-24T06:22:06Z</t>
  </si>
  <si>
    <t>2021-12-17T18:36:23Z</t>
  </si>
  <si>
    <t>2021-12-23T03:53:16Z</t>
  </si>
  <si>
    <t>2021-12-21T16:13:15Z</t>
  </si>
  <si>
    <t>2021-12-24T19:45:42Z</t>
  </si>
  <si>
    <t>2021-12-21T23:00:09Z</t>
  </si>
  <si>
    <t>2021-12-24T18:49:46Z</t>
  </si>
  <si>
    <t>2021-12-19T13:17:52Z</t>
  </si>
  <si>
    <t>2021-12-20T05:30:55Z</t>
  </si>
  <si>
    <t>2021-12-18T18:50:02Z</t>
  </si>
  <si>
    <t>2021-12-17T15:09:23Z</t>
  </si>
  <si>
    <t>2021-12-13T19:39:13Z</t>
  </si>
  <si>
    <t>2021-12-24T15:55:39Z</t>
  </si>
  <si>
    <t>2021-12-19T18:43:38Z</t>
  </si>
  <si>
    <t>2021-12-19T18:51:46Z</t>
  </si>
  <si>
    <t>2021-12-19T19:06:55Z</t>
  </si>
  <si>
    <t>2021-12-19T18:52:42Z</t>
  </si>
  <si>
    <t>2021-12-22T03:27:18Z</t>
  </si>
  <si>
    <t>2021-12-19T13:18:00Z</t>
  </si>
  <si>
    <t>2021-12-13T18:06:05Z</t>
  </si>
  <si>
    <t>2021-12-18T16:20:00Z</t>
  </si>
  <si>
    <t>2021-12-18T17:31:55Z</t>
  </si>
  <si>
    <t>2021-12-13T00:26:32Z</t>
  </si>
  <si>
    <t>2021-12-22T21:34:42Z</t>
  </si>
  <si>
    <t>2021-12-13T03:02:48Z</t>
  </si>
  <si>
    <t>2021-12-19T13:18:09Z</t>
  </si>
  <si>
    <t>2021-12-23T03:53:59Z</t>
  </si>
  <si>
    <t>2021-12-24T06:17:02Z</t>
  </si>
  <si>
    <t>2021-12-13T03:02:59Z</t>
  </si>
  <si>
    <t>2021-12-23T14:54:13Z</t>
  </si>
  <si>
    <t>2021-12-19T18:51:06Z</t>
  </si>
  <si>
    <t>2021-12-22T05:29:45Z</t>
  </si>
  <si>
    <t>2021-12-24T12:27:05Z</t>
  </si>
  <si>
    <t>2021-12-15T02:03:08Z</t>
  </si>
  <si>
    <t>2021-12-19T19:49:40Z</t>
  </si>
  <si>
    <t>2021-12-23T15:03:45Z</t>
  </si>
  <si>
    <t>2021-12-19T13:18:31Z</t>
  </si>
  <si>
    <t>2021-12-12T13:49:53Z</t>
  </si>
  <si>
    <t>2021-12-22T05:30:01Z</t>
  </si>
  <si>
    <t>2021-12-23T03:54:31Z</t>
  </si>
  <si>
    <t>2021-12-24T12:27:25Z</t>
  </si>
  <si>
    <t>2021-12-18T12:54:51Z</t>
  </si>
  <si>
    <t>2021-12-14T05:39:56Z</t>
  </si>
  <si>
    <t>2021-12-13T13:18:27Z</t>
  </si>
  <si>
    <t>2021-12-23T17:22:00Z</t>
  </si>
  <si>
    <t>2021-12-19T19:03:50Z</t>
  </si>
  <si>
    <t>2021-12-19T19:04:18Z</t>
  </si>
  <si>
    <t>2021-12-19T19:01:40Z</t>
  </si>
  <si>
    <t>2021-12-19T19:03:40Z</t>
  </si>
  <si>
    <t>2021-12-15T01:51:11Z</t>
  </si>
  <si>
    <t>2021-12-19T06:36:14Z</t>
  </si>
  <si>
    <t>2021-12-21T18:08:15Z</t>
  </si>
  <si>
    <t>2021-12-21T01:44:08Z</t>
  </si>
  <si>
    <t>2021-12-21T17:25:46Z</t>
  </si>
  <si>
    <t>2021-12-22T05:30:23Z</t>
  </si>
  <si>
    <t>2021-12-24T06:24:08Z</t>
  </si>
  <si>
    <t>2021-12-14T22:37:27Z</t>
  </si>
  <si>
    <t>2021-12-24T06:24:21Z</t>
  </si>
  <si>
    <t>2021-12-15T00:40:08Z</t>
  </si>
  <si>
    <t>2021-12-19T02:21:41Z</t>
  </si>
  <si>
    <t>2021-12-24T05:31:20Z</t>
  </si>
  <si>
    <t>2021-12-23T15:09:12Z</t>
  </si>
  <si>
    <t>2021-12-21T09:52:45Z</t>
  </si>
  <si>
    <t>2021-12-22T05:30:50Z</t>
  </si>
  <si>
    <t>2021-12-12T13:04:27Z</t>
  </si>
  <si>
    <t>2021-12-18T16:20:41Z</t>
  </si>
  <si>
    <t>2021-12-21T18:08:28Z</t>
  </si>
  <si>
    <t>2021-12-16T02:20:19Z</t>
  </si>
  <si>
    <t>2021-12-24T06:24:52Z</t>
  </si>
  <si>
    <t>2021-12-18T14:19:42Z</t>
  </si>
  <si>
    <t>2021-12-18T22:35:31Z</t>
  </si>
  <si>
    <t>2021-12-18T08:56:43Z</t>
  </si>
  <si>
    <t>2021-12-15T00:40:32Z</t>
  </si>
  <si>
    <t>2021-12-16T11:41:51Z</t>
  </si>
  <si>
    <t>2021-12-18T15:41:37Z</t>
  </si>
  <si>
    <t>2021-12-23T15:30:37Z</t>
  </si>
  <si>
    <t>2021-12-15T02:04:16Z</t>
  </si>
  <si>
    <t>2021-12-17T16:50:01Z</t>
  </si>
  <si>
    <t>2021-12-24T12:37:35Z</t>
  </si>
  <si>
    <t>2021-12-19T09:54:20Z</t>
  </si>
  <si>
    <t>2021-12-20T22:19:22Z</t>
  </si>
  <si>
    <t>2021-12-19T19:06:29Z</t>
  </si>
  <si>
    <t>2021-12-19T19:01:23Z</t>
  </si>
  <si>
    <t>2021-12-15T17:00:29Z</t>
  </si>
  <si>
    <t>2021-12-19T12:54:16Z</t>
  </si>
  <si>
    <t>2021-12-18T14:20:02Z</t>
  </si>
  <si>
    <t>2021-12-17T02:27:47Z</t>
  </si>
  <si>
    <t>2021-12-22T14:52:54Z</t>
  </si>
  <si>
    <t>2021-12-19T18:33:52Z</t>
  </si>
  <si>
    <t>2021-12-23T03:56:06Z</t>
  </si>
  <si>
    <t>2021-12-22T01:39:55Z</t>
  </si>
  <si>
    <t>2021-12-21T14:52:02Z</t>
  </si>
  <si>
    <t>2021-12-21T17:26:46Z</t>
  </si>
  <si>
    <t>2021-12-20T13:46:07Z</t>
  </si>
  <si>
    <t>2021-12-23T03:56:22Z</t>
  </si>
  <si>
    <t>2021-12-21T17:26:51Z</t>
  </si>
  <si>
    <t>2021-12-22T03:11:39Z</t>
  </si>
  <si>
    <t>2021-12-12T13:51:09Z</t>
  </si>
  <si>
    <t>2021-12-22T20:08:58Z</t>
  </si>
  <si>
    <t>2021-12-14T02:50:30Z</t>
  </si>
  <si>
    <t>2021-12-15T14:00:04Z</t>
  </si>
  <si>
    <t>2021-12-15T02:05:26Z</t>
  </si>
  <si>
    <t>2021-12-19T12:32:45Z</t>
  </si>
  <si>
    <t>2021-12-20T19:53:43Z</t>
  </si>
  <si>
    <t>2021-12-18T14:43:13Z</t>
  </si>
  <si>
    <t>2021-12-18T22:36:08Z</t>
  </si>
  <si>
    <t>2021-12-19T12:47:36Z</t>
  </si>
  <si>
    <t>2021-12-18T15:42:06Z</t>
  </si>
  <si>
    <t>2021-12-21T07:16:57Z</t>
  </si>
  <si>
    <t>2021-12-24T07:19:12Z</t>
  </si>
  <si>
    <t>2021-12-19T17:57:12Z</t>
  </si>
  <si>
    <t>2021-12-22T02:48:37Z</t>
  </si>
  <si>
    <t>2021-12-23T15:31:36Z</t>
  </si>
  <si>
    <t>2021-12-23T22:09:49Z</t>
  </si>
  <si>
    <t>2021-12-14T20:43:31Z</t>
  </si>
  <si>
    <t>2021-12-23T16:05:42Z</t>
  </si>
  <si>
    <t>2021-12-17T02:29:22Z</t>
  </si>
  <si>
    <t>2021-12-18T18:12:29Z</t>
  </si>
  <si>
    <t>2021-12-18T14:56:29Z</t>
  </si>
  <si>
    <t>2021-12-17T16:49:15Z</t>
  </si>
  <si>
    <t>2021-12-20T22:14:15Z</t>
  </si>
  <si>
    <t>2021-12-19T21:55:07Z</t>
  </si>
  <si>
    <t>2021-12-13T01:45:31Z</t>
  </si>
  <si>
    <t>2021-12-19T14:56:12Z</t>
  </si>
  <si>
    <t>2021-12-19T17:57:25Z</t>
  </si>
  <si>
    <t>2021-12-22T14:53:41Z</t>
  </si>
  <si>
    <t>2021-12-15T03:03:27Z</t>
  </si>
  <si>
    <t>2021-12-21T21:01:02Z</t>
  </si>
  <si>
    <t>2021-12-18T12:56:22Z</t>
  </si>
  <si>
    <t>2021-12-17T02:29:34Z</t>
  </si>
  <si>
    <t>2021-12-22T01:26:59Z</t>
  </si>
  <si>
    <t>2021-12-22T20:42:09Z</t>
  </si>
  <si>
    <t>2021-12-20T18:26:51Z</t>
  </si>
  <si>
    <t>2021-12-20T21:28:07Z</t>
  </si>
  <si>
    <t>2021-12-22T01:27:13Z</t>
  </si>
  <si>
    <t>2021-12-18T14:56:36Z</t>
  </si>
  <si>
    <t>2021-12-17T16:49:38Z</t>
  </si>
  <si>
    <t>2021-12-21T14:33:59Z</t>
  </si>
  <si>
    <t>2021-12-18T18:12:42Z</t>
  </si>
  <si>
    <t>2021-12-22T17:13:08Z</t>
  </si>
  <si>
    <t>2021-12-22T01:27:33Z</t>
  </si>
  <si>
    <t>2021-12-19T08:01:47Z</t>
  </si>
  <si>
    <t>2021-12-22T16:25:19Z</t>
  </si>
  <si>
    <t>2021-12-19T15:51:47Z</t>
  </si>
  <si>
    <t>2021-12-19T06:15:56Z</t>
  </si>
  <si>
    <t>2021-12-24T15:38:11Z</t>
  </si>
  <si>
    <t>2021-12-23T03:58:28Z</t>
  </si>
  <si>
    <t>2021-12-23T08:14:19Z</t>
  </si>
  <si>
    <t>2021-12-12T09:39:09Z</t>
  </si>
  <si>
    <t>2021-12-23T08:27:01Z</t>
  </si>
  <si>
    <t>2021-12-18T18:12:53Z</t>
  </si>
  <si>
    <t>2021-12-24T14:10:35Z</t>
  </si>
  <si>
    <t>2021-12-13T13:21:38Z</t>
  </si>
  <si>
    <t>2021-12-21T00:36:37Z</t>
  </si>
  <si>
    <t>2021-12-24T06:10:42Z</t>
  </si>
  <si>
    <t>2021-12-23T16:05:52Z</t>
  </si>
  <si>
    <t>2021-12-23T15:23:13Z</t>
  </si>
  <si>
    <t>2021-12-22T22:48:40Z</t>
  </si>
  <si>
    <t>2021-12-17T18:25:52Z</t>
  </si>
  <si>
    <t>2021-12-21T00:36:46Z</t>
  </si>
  <si>
    <t>2021-12-18T16:22:26Z</t>
  </si>
  <si>
    <t>2021-12-22T20:48:02Z</t>
  </si>
  <si>
    <t>2021-12-22T17:13:38Z</t>
  </si>
  <si>
    <t>2021-12-18T18:13:04Z</t>
  </si>
  <si>
    <t>2021-12-13T17:56:35Z</t>
  </si>
  <si>
    <t>2021-12-23T08:14:58Z</t>
  </si>
  <si>
    <t>2021-12-13T13:21:59Z</t>
  </si>
  <si>
    <t>2021-12-23T16:06:01Z</t>
  </si>
  <si>
    <t>2021-12-22T01:28:16Z</t>
  </si>
  <si>
    <t>2021-12-13T03:23:51Z</t>
  </si>
  <si>
    <t>2021-12-24T15:18:14Z</t>
  </si>
  <si>
    <t>2021-12-22T04:35:10Z</t>
  </si>
  <si>
    <t>2021-12-18T18:13:13Z</t>
  </si>
  <si>
    <t>2021-12-12T13:52:22Z</t>
  </si>
  <si>
    <t>2021-12-22T07:06:02Z</t>
  </si>
  <si>
    <t>2021-12-16T17:59:26Z</t>
  </si>
  <si>
    <t>2021-12-20T19:52:51Z</t>
  </si>
  <si>
    <t>2021-12-16T23:17:43Z</t>
  </si>
  <si>
    <t>2021-12-17T15:59:22Z</t>
  </si>
  <si>
    <t>2021-12-20T04:54:45Z</t>
  </si>
  <si>
    <t>2021-12-20T06:14:58Z</t>
  </si>
  <si>
    <t>2021-12-18T16:21:57Z</t>
  </si>
  <si>
    <t>2021-12-18T16:04:18Z</t>
  </si>
  <si>
    <t>2021-12-20T13:19:08Z</t>
  </si>
  <si>
    <t>2021-12-24T17:01:12Z</t>
  </si>
  <si>
    <t>2021-12-13T03:07:52Z</t>
  </si>
  <si>
    <t>2021-12-17T23:15:56Z</t>
  </si>
  <si>
    <t>2021-12-23T16:06:26Z</t>
  </si>
  <si>
    <t>2021-12-18T18:13:24Z</t>
  </si>
  <si>
    <t>2021-12-23T15:55:50Z</t>
  </si>
  <si>
    <t>2021-12-22T18:57:46Z</t>
  </si>
  <si>
    <t>2021-12-21T01:40:16Z</t>
  </si>
  <si>
    <t>2021-12-21T00:37:46Z</t>
  </si>
  <si>
    <t>2021-12-19T08:03:17Z</t>
  </si>
  <si>
    <t>2021-12-18T18:13:32Z</t>
  </si>
  <si>
    <t>2021-12-23T20:39:37Z</t>
  </si>
  <si>
    <t>2021-12-21T21:31:41Z</t>
  </si>
  <si>
    <t>2021-12-18T14:56:53Z</t>
  </si>
  <si>
    <t>2021-12-23T15:48:08Z</t>
  </si>
  <si>
    <t>2021-12-24T21:12:35Z</t>
  </si>
  <si>
    <t>2021-12-19T16:00:51Z</t>
  </si>
  <si>
    <t>2021-12-13T08:40:37Z</t>
  </si>
  <si>
    <t>2021-12-23T15:33:43Z</t>
  </si>
  <si>
    <t>2021-12-19T08:03:30Z</t>
  </si>
  <si>
    <t>2021-12-15T00:13:49Z</t>
  </si>
  <si>
    <t>2021-12-23T08:16:25Z</t>
  </si>
  <si>
    <t>2021-12-15T13:04:14Z</t>
  </si>
  <si>
    <t>2021-12-18T18:13:41Z</t>
  </si>
  <si>
    <t>2021-12-18T14:58:15Z</t>
  </si>
  <si>
    <t>2021-12-19T19:53:05Z</t>
  </si>
  <si>
    <t>2021-12-13T03:09:39Z</t>
  </si>
  <si>
    <t>2021-12-15T21:21:37Z</t>
  </si>
  <si>
    <t>2021-12-23T18:39:54Z</t>
  </si>
  <si>
    <t>2021-12-20T04:56:00Z</t>
  </si>
  <si>
    <t>2021-12-18T18:13:51Z</t>
  </si>
  <si>
    <t>2021-12-19T10:44:37Z</t>
  </si>
  <si>
    <t>2021-12-19T16:35:13Z</t>
  </si>
  <si>
    <t>2021-12-18T16:23:21Z</t>
  </si>
  <si>
    <t>2021-12-23T16:06:34Z</t>
  </si>
  <si>
    <t>2021-12-19T08:04:01Z</t>
  </si>
  <si>
    <t>2021-12-20T12:52:29Z</t>
  </si>
  <si>
    <t>2021-12-18T18:14:00Z</t>
  </si>
  <si>
    <t>2021-12-13T03:10:00Z</t>
  </si>
  <si>
    <t>2021-12-17T11:20:58Z</t>
  </si>
  <si>
    <t>2021-12-21T13:24:00Z</t>
  </si>
  <si>
    <t>2021-12-23T02:35:35Z</t>
  </si>
  <si>
    <t>2021-12-15T02:10:07Z</t>
  </si>
  <si>
    <t>2021-12-23T18:40:09Z</t>
  </si>
  <si>
    <t>2021-12-20T19:56:15Z</t>
  </si>
  <si>
    <t>2021-12-15T09:17:29Z</t>
  </si>
  <si>
    <t>2021-12-23T02:35:49Z</t>
  </si>
  <si>
    <t>2021-12-13T15:19:38Z</t>
  </si>
  <si>
    <t>2021-12-22T03:09:03Z</t>
  </si>
  <si>
    <t>2021-12-21T14:17:09Z</t>
  </si>
  <si>
    <t>2021-12-11T20:46:16Z</t>
  </si>
  <si>
    <t>2021-12-21T20:35:22Z</t>
  </si>
  <si>
    <t>2021-12-18T22:38:36Z</t>
  </si>
  <si>
    <t>2021-12-22T15:10:16Z</t>
  </si>
  <si>
    <t>2021-12-23T19:25:50Z</t>
  </si>
  <si>
    <t>2021-12-13T11:12:11Z</t>
  </si>
  <si>
    <t>2021-12-19T00:31:39Z</t>
  </si>
  <si>
    <t>2021-12-15T20:31:59Z</t>
  </si>
  <si>
    <t>2021-12-16T12:47:36Z</t>
  </si>
  <si>
    <t>2021-12-17T18:27:18Z</t>
  </si>
  <si>
    <t>2021-12-23T15:34:29Z</t>
  </si>
  <si>
    <t>2021-12-18T18:14:16Z</t>
  </si>
  <si>
    <t>2021-12-20T19:56:23Z</t>
  </si>
  <si>
    <t>2021-12-12T23:55:34Z</t>
  </si>
  <si>
    <t>2021-12-17T16:52:38Z</t>
  </si>
  <si>
    <t>2021-12-19T16:07:46Z</t>
  </si>
  <si>
    <t>2021-12-20T14:36:35Z</t>
  </si>
  <si>
    <t>2021-12-18T18:14:26Z</t>
  </si>
  <si>
    <t>2021-12-12T16:11:38Z</t>
  </si>
  <si>
    <t>2021-12-23T19:31:49Z</t>
  </si>
  <si>
    <t>2021-12-19T18:47:31Z</t>
  </si>
  <si>
    <t>2021-12-19T12:57:42Z</t>
  </si>
  <si>
    <t>2021-12-23T04:01:53Z</t>
  </si>
  <si>
    <t>2021-12-12T14:36:06Z</t>
  </si>
  <si>
    <t>2021-12-21T14:17:50Z</t>
  </si>
  <si>
    <t>2021-12-23T22:41:28Z</t>
  </si>
  <si>
    <t>2021-12-14T21:34:35Z</t>
  </si>
  <si>
    <t>2021-12-24T09:42:16Z</t>
  </si>
  <si>
    <t>2021-12-18T18:04:08Z</t>
  </si>
  <si>
    <t>2021-12-24T06:17:22Z</t>
  </si>
  <si>
    <t>2021-12-18T19:31:33Z</t>
  </si>
  <si>
    <t>2021-12-19T22:49:48Z</t>
  </si>
  <si>
    <t>2021-12-18T18:14:34Z</t>
  </si>
  <si>
    <t>2021-12-24T08:34:00Z</t>
  </si>
  <si>
    <t>2021-12-20T18:29:22Z</t>
  </si>
  <si>
    <t>2021-12-23T08:18:08Z</t>
  </si>
  <si>
    <t>2021-12-19T19:05:44Z</t>
  </si>
  <si>
    <t>2021-12-19T19:04:53Z</t>
  </si>
  <si>
    <t>2021-12-18T09:02:01Z</t>
  </si>
  <si>
    <t>2021-12-19T14:34:49Z</t>
  </si>
  <si>
    <t>2021-12-18T12:11:44Z</t>
  </si>
  <si>
    <t>2021-12-21T14:18:03Z</t>
  </si>
  <si>
    <t>2021-12-24T16:26:18Z</t>
  </si>
  <si>
    <t>2021-12-24T17:22:08Z</t>
  </si>
  <si>
    <t>2021-12-14T05:38:17Z</t>
  </si>
  <si>
    <t>2021-12-18T23:14:54Z</t>
  </si>
  <si>
    <t>2021-12-18T18:14:42Z</t>
  </si>
  <si>
    <t>2021-12-17T21:28:22Z</t>
  </si>
  <si>
    <t>2021-12-23T16:58:21Z</t>
  </si>
  <si>
    <t>2021-12-23T04:02:47Z</t>
  </si>
  <si>
    <t>2021-12-20T11:53:25Z</t>
  </si>
  <si>
    <t>2021-12-23T08:18:38Z</t>
  </si>
  <si>
    <t>2021-12-18T18:14:52Z</t>
  </si>
  <si>
    <t>2021-12-23T15:35:22Z</t>
  </si>
  <si>
    <t>2021-12-23T18:41:36Z</t>
  </si>
  <si>
    <t>2021-12-24T17:41:30Z</t>
  </si>
  <si>
    <t>2021-12-22T00:57:21Z</t>
  </si>
  <si>
    <t>2021-12-22T02:52:21Z</t>
  </si>
  <si>
    <t>2021-12-18T17:10:42Z</t>
  </si>
  <si>
    <t>2021-12-14T15:21:15Z</t>
  </si>
  <si>
    <t>2021-12-21T20:54:29Z</t>
  </si>
  <si>
    <t>2021-12-21T14:18:26Z</t>
  </si>
  <si>
    <t>2021-12-20T18:37:23Z</t>
  </si>
  <si>
    <t>2021-12-20T18:38:03Z</t>
  </si>
  <si>
    <t>2021-12-20T18:38:53Z</t>
  </si>
  <si>
    <t>2021-12-20T18:38:16Z</t>
  </si>
  <si>
    <t>2021-12-20T18:38:30Z</t>
  </si>
  <si>
    <t>2021-12-21T00:40:37Z</t>
  </si>
  <si>
    <t>2021-12-23T08:19:05Z</t>
  </si>
  <si>
    <t>2021-12-13T03:12:27Z</t>
  </si>
  <si>
    <t>2021-12-20T08:16:48Z</t>
  </si>
  <si>
    <t>2021-12-22T07:07:05Z</t>
  </si>
  <si>
    <t>2021-12-16T22:52:45Z</t>
  </si>
  <si>
    <t>2021-12-23T02:37:29Z</t>
  </si>
  <si>
    <t>2021-12-18T17:28:05Z</t>
  </si>
  <si>
    <t>2021-12-24T18:03:02Z</t>
  </si>
  <si>
    <t>2021-12-24T12:14:07Z</t>
  </si>
  <si>
    <t>2021-12-17T22:19:05Z</t>
  </si>
  <si>
    <t>2021-12-24T11:15:39Z</t>
  </si>
  <si>
    <t>2021-12-24T18:03:11Z</t>
  </si>
  <si>
    <t>2021-12-21T01:42:17Z</t>
  </si>
  <si>
    <t>2021-12-20T19:10:40Z</t>
  </si>
  <si>
    <t>2021-12-11T21:40:12Z</t>
  </si>
  <si>
    <t>2021-12-17T20:41:46Z</t>
  </si>
  <si>
    <t>2021-12-16T23:56:49Z</t>
  </si>
  <si>
    <t>2021-12-17T20:00:42Z</t>
  </si>
  <si>
    <t>2021-12-23T16:20:36Z</t>
  </si>
  <si>
    <t>2021-12-23T01:19:47Z</t>
  </si>
  <si>
    <t>2021-12-16T22:53:09Z</t>
  </si>
  <si>
    <t>2021-12-21T21:00:28Z</t>
  </si>
  <si>
    <t>2021-12-19T12:56:57Z</t>
  </si>
  <si>
    <t>2021-12-18T18:15:22Z</t>
  </si>
  <si>
    <t>2021-12-23T16:06:19Z</t>
  </si>
  <si>
    <t>2021-12-23T02:37:56Z</t>
  </si>
  <si>
    <t>2021-12-15T16:59:59Z</t>
  </si>
  <si>
    <t>2021-12-19T14:43:17Z</t>
  </si>
  <si>
    <t>2021-12-16T14:16:21Z</t>
  </si>
  <si>
    <t>2021-12-18T18:03:33Z</t>
  </si>
  <si>
    <t>2021-12-20T21:31:46Z</t>
  </si>
  <si>
    <t>2021-12-14T15:21:57Z</t>
  </si>
  <si>
    <t>2021-12-19T18:56:17Z</t>
  </si>
  <si>
    <t>2021-12-19T19:04:33Z</t>
  </si>
  <si>
    <t>2021-12-16T23:57:12Z</t>
  </si>
  <si>
    <t>2021-12-12T14:37:16Z</t>
  </si>
  <si>
    <t>2021-12-21T10:01:57Z</t>
  </si>
  <si>
    <t>2021-12-23T02:38:16Z</t>
  </si>
  <si>
    <t>2021-12-18T18:15:33Z</t>
  </si>
  <si>
    <t>2021-12-11T20:57:40Z</t>
  </si>
  <si>
    <t>2021-12-12T16:11:01Z</t>
  </si>
  <si>
    <t>2021-12-19T16:46:07Z</t>
  </si>
  <si>
    <t>2021-12-20T14:38:15Z</t>
  </si>
  <si>
    <t>2021-12-23T16:12:22Z</t>
  </si>
  <si>
    <t>2021-12-18T14:23:30Z</t>
  </si>
  <si>
    <t>2021-12-16T22:53:38Z</t>
  </si>
  <si>
    <t>2021-12-17T19:17:09Z</t>
  </si>
  <si>
    <t>2021-12-22T21:03:22Z</t>
  </si>
  <si>
    <t>2021-12-23T04:02:25Z</t>
  </si>
  <si>
    <t>2021-12-12T14:37:29Z</t>
  </si>
  <si>
    <t>2021-12-18T18:15:42Z</t>
  </si>
  <si>
    <t>2021-12-18T01:30:45Z</t>
  </si>
  <si>
    <t>2021-12-22T21:03:27Z</t>
  </si>
  <si>
    <t>2021-12-18T02:29:44Z</t>
  </si>
  <si>
    <t>2021-12-23T02:38:37Z</t>
  </si>
  <si>
    <t>2021-12-16T23:57:30Z</t>
  </si>
  <si>
    <t>2021-12-22T13:55:24Z</t>
  </si>
  <si>
    <t>2021-12-21T19:00:49Z</t>
  </si>
  <si>
    <t>2021-12-23T15:36:16Z</t>
  </si>
  <si>
    <t>2021-12-19T09:05:58Z</t>
  </si>
  <si>
    <t>2021-12-18T20:08:29Z</t>
  </si>
  <si>
    <t>2021-12-23T19:27:39Z</t>
  </si>
  <si>
    <t>2021-12-16T01:56:45Z</t>
  </si>
  <si>
    <t>2021-12-19T06:55:30Z</t>
  </si>
  <si>
    <t>2021-12-17T12:33:43Z</t>
  </si>
  <si>
    <t>2021-12-24T21:12:04Z</t>
  </si>
  <si>
    <t>2021-12-24T15:59:17Z</t>
  </si>
  <si>
    <t>2021-12-16T12:50:00Z</t>
  </si>
  <si>
    <t>2021-12-18T18:15:58Z</t>
  </si>
  <si>
    <t>2021-12-20T16:12:14Z</t>
  </si>
  <si>
    <t>2021-12-12T15:18:03Z</t>
  </si>
  <si>
    <t>2021-12-16T12:51:11Z</t>
  </si>
  <si>
    <t>2021-12-18T14:23:53Z</t>
  </si>
  <si>
    <t>2021-12-21T19:24:37Z</t>
  </si>
  <si>
    <t>2021-12-15T21:24:34Z</t>
  </si>
  <si>
    <t>2021-12-23T16:06:43Z</t>
  </si>
  <si>
    <t>2021-12-17T12:34:01Z</t>
  </si>
  <si>
    <t>2021-12-13T11:18:51Z</t>
  </si>
  <si>
    <t>2021-12-18T18:16:13Z</t>
  </si>
  <si>
    <t>2021-12-18T17:10:33Z</t>
  </si>
  <si>
    <t>2021-12-14T22:41:28Z</t>
  </si>
  <si>
    <t>2021-12-23T16:13:08Z</t>
  </si>
  <si>
    <t>2021-12-23T19:27:58Z</t>
  </si>
  <si>
    <t>2021-12-23T14:56:33Z</t>
  </si>
  <si>
    <t>2021-12-20T16:16:24Z</t>
  </si>
  <si>
    <t>2021-12-23T18:43:08Z</t>
  </si>
  <si>
    <t>2021-12-12T16:11:15Z</t>
  </si>
  <si>
    <t>2021-12-19T16:46:38Z</t>
  </si>
  <si>
    <t>2021-12-23T16:23:21Z</t>
  </si>
  <si>
    <t>2021-12-23T08:21:24Z</t>
  </si>
  <si>
    <t>2021-12-15T12:05:11Z</t>
  </si>
  <si>
    <t>2021-12-20T18:39:35Z</t>
  </si>
  <si>
    <t>2021-12-18T18:16:23Z</t>
  </si>
  <si>
    <t>2021-12-19T16:04:41Z</t>
  </si>
  <si>
    <t>2021-12-21T20:37:24Z</t>
  </si>
  <si>
    <t>2021-12-14T13:34:51Z</t>
  </si>
  <si>
    <t>2021-12-20T21:32:49Z</t>
  </si>
  <si>
    <t>2021-12-11T17:56:34Z</t>
  </si>
  <si>
    <t>2021-12-13T03:06:37Z</t>
  </si>
  <si>
    <t>2021-12-22T02:44:50Z</t>
  </si>
  <si>
    <t>2021-12-23T16:06:52Z</t>
  </si>
  <si>
    <t>2021-12-14T19:01:43Z</t>
  </si>
  <si>
    <t>2021-12-18T15:46:35Z</t>
  </si>
  <si>
    <t>2021-12-19T19:42:04Z</t>
  </si>
  <si>
    <t>2021-12-22T21:04:20Z</t>
  </si>
  <si>
    <t>2021-12-20T11:55:55Z</t>
  </si>
  <si>
    <t>2021-12-14T15:23:04Z</t>
  </si>
  <si>
    <t>2021-12-13T11:19:35Z</t>
  </si>
  <si>
    <t>2021-12-23T14:45:21Z</t>
  </si>
  <si>
    <t>2021-12-20T18:31:32Z</t>
  </si>
  <si>
    <t>2021-12-20T10:57:29Z</t>
  </si>
  <si>
    <t>2021-12-24T05:30:06Z</t>
  </si>
  <si>
    <t>2021-12-20T20:10:34Z</t>
  </si>
  <si>
    <t>2021-12-23T15:57:01Z</t>
  </si>
  <si>
    <t>2021-12-13T01:53:22Z</t>
  </si>
  <si>
    <t>2021-12-19T20:36:37Z</t>
  </si>
  <si>
    <t>2021-12-19T19:01:04Z</t>
  </si>
  <si>
    <t>2021-12-19T19:02:20Z</t>
  </si>
  <si>
    <t>2021-12-23T18:43:37Z</t>
  </si>
  <si>
    <t>2021-12-18T18:16:50Z</t>
  </si>
  <si>
    <t>2021-12-17T12:35:00Z</t>
  </si>
  <si>
    <t>2021-12-22T01:36:03Z</t>
  </si>
  <si>
    <t>2021-12-24T18:05:23Z</t>
  </si>
  <si>
    <t>2021-12-15T22:18:07Z</t>
  </si>
  <si>
    <t>2021-12-17T16:51:14Z</t>
  </si>
  <si>
    <t>2021-12-20T13:26:26Z</t>
  </si>
  <si>
    <t>2021-12-23T14:45:36Z</t>
  </si>
  <si>
    <t>2021-12-18T18:05:15Z</t>
  </si>
  <si>
    <t>2021-12-18T17:48:22Z</t>
  </si>
  <si>
    <t>2021-12-14T15:23:25Z</t>
  </si>
  <si>
    <t>2021-12-24T21:22:36Z</t>
  </si>
  <si>
    <t>2021-12-24T17:10:21Z</t>
  </si>
  <si>
    <t>2021-12-18T01:32:38Z</t>
  </si>
  <si>
    <t>2021-12-20T11:56:32Z</t>
  </si>
  <si>
    <t>2021-12-21T15:01:22Z</t>
  </si>
  <si>
    <t>2021-12-24T11:12:19Z</t>
  </si>
  <si>
    <t>2021-12-16T12:51:36Z</t>
  </si>
  <si>
    <t>2021-12-13T11:20:28Z</t>
  </si>
  <si>
    <t>2021-12-19T13:24:58Z</t>
  </si>
  <si>
    <t>2021-12-24T16:02:53Z</t>
  </si>
  <si>
    <t>2021-12-23T08:22:50Z</t>
  </si>
  <si>
    <t>2021-12-14T15:23:46Z</t>
  </si>
  <si>
    <t>2021-12-21T01:44:44Z</t>
  </si>
  <si>
    <t>2021-12-24T18:06:03Z</t>
  </si>
  <si>
    <t>2021-12-23T17:33:33Z</t>
  </si>
  <si>
    <t>2021-12-20T11:56:58Z</t>
  </si>
  <si>
    <t>2021-12-24T18:59:32Z</t>
  </si>
  <si>
    <t>2021-12-15T12:06:57Z</t>
  </si>
  <si>
    <t>2021-12-23T16:13:28Z</t>
  </si>
  <si>
    <t>2021-12-14T18:20:48Z</t>
  </si>
  <si>
    <t>2021-12-20T11:57:10Z</t>
  </si>
  <si>
    <t>2021-12-20T19:59:56Z</t>
  </si>
  <si>
    <t>2021-12-22T14:59:20Z</t>
  </si>
  <si>
    <t>2021-12-19T02:35:26Z</t>
  </si>
  <si>
    <t>2021-12-19T20:37:22Z</t>
  </si>
  <si>
    <t>2021-12-24T21:13:11Z</t>
  </si>
  <si>
    <t>2021-12-17T09:36:18Z</t>
  </si>
  <si>
    <t>2021-12-14T13:35:55Z</t>
  </si>
  <si>
    <t>2021-12-13T03:17:35Z</t>
  </si>
  <si>
    <t>2021-12-11T22:26:44Z</t>
  </si>
  <si>
    <t>2021-12-19T22:33:43Z</t>
  </si>
  <si>
    <t>2021-12-17T19:19:02Z</t>
  </si>
  <si>
    <t>2021-12-15T05:38:24Z</t>
  </si>
  <si>
    <t>2021-12-24T05:30:31Z</t>
  </si>
  <si>
    <t>2021-12-24T06:12:36Z</t>
  </si>
  <si>
    <t>2021-12-18T15:47:26Z</t>
  </si>
  <si>
    <t>2021-12-22T14:53:12Z</t>
  </si>
  <si>
    <t>2021-12-18T14:57:35Z</t>
  </si>
  <si>
    <t>2021-12-23T03:48:54Z</t>
  </si>
  <si>
    <t>2021-12-20T13:22:41Z</t>
  </si>
  <si>
    <t>2021-12-17T21:29:58Z</t>
  </si>
  <si>
    <t>2021-12-12T19:48:11Z</t>
  </si>
  <si>
    <t>2021-12-17T22:22:32Z</t>
  </si>
  <si>
    <t>2021-12-23T15:38:01Z</t>
  </si>
  <si>
    <t>2021-12-24T21:13:00Z</t>
  </si>
  <si>
    <t>2021-12-19T02:40:40Z</t>
  </si>
  <si>
    <t>2021-12-24T14:49:21Z</t>
  </si>
  <si>
    <t>2021-12-21T01:44:49Z</t>
  </si>
  <si>
    <t>2021-12-12T00:03:46Z</t>
  </si>
  <si>
    <t>2021-12-23T09:37:31Z</t>
  </si>
  <si>
    <t>2021-12-23T15:38:14Z</t>
  </si>
  <si>
    <t>2021-12-13T01:55:54Z</t>
  </si>
  <si>
    <t>2021-12-12T22:40:29Z</t>
  </si>
  <si>
    <t>2021-12-23T20:01:37Z</t>
  </si>
  <si>
    <t>2021-12-23T15:38:21Z</t>
  </si>
  <si>
    <t>2021-12-18T12:16:04Z</t>
  </si>
  <si>
    <t>2021-12-21T03:21:28Z</t>
  </si>
  <si>
    <t>2021-12-20T14:41:19Z</t>
  </si>
  <si>
    <t>2021-12-22T20:27:22Z</t>
  </si>
  <si>
    <t>2021-12-23T15:38:28Z</t>
  </si>
  <si>
    <t>2021-12-22T15:00:08Z</t>
  </si>
  <si>
    <t>2021-12-24T05:27:04Z</t>
  </si>
  <si>
    <t>2021-12-18T11:39:29Z</t>
  </si>
  <si>
    <t>2021-12-21T09:09:32Z</t>
  </si>
  <si>
    <t>2021-12-14T13:41:16Z</t>
  </si>
  <si>
    <t>2021-12-14T12:39:17Z</t>
  </si>
  <si>
    <t>2021-12-18T18:18:31Z</t>
  </si>
  <si>
    <t>2021-12-23T04:42:06Z</t>
  </si>
  <si>
    <t>2021-12-15T16:10:47Z</t>
  </si>
  <si>
    <t>2021-12-19T12:51:11Z</t>
  </si>
  <si>
    <t>2021-12-18T14:31:33Z</t>
  </si>
  <si>
    <t>2021-12-18T20:05:52Z</t>
  </si>
  <si>
    <t>2021-12-21T19:03:05Z</t>
  </si>
  <si>
    <t>2021-12-22T02:26:44Z</t>
  </si>
  <si>
    <t>2021-12-17T21:30:36Z</t>
  </si>
  <si>
    <t>2021-12-13T01:56:36Z</t>
  </si>
  <si>
    <t>2021-12-18T15:48:03Z</t>
  </si>
  <si>
    <t>2021-12-22T14:08:59Z</t>
  </si>
  <si>
    <t>2021-12-12T09:46:28Z</t>
  </si>
  <si>
    <t>2021-12-21T19:48:18Z</t>
  </si>
  <si>
    <t>2021-12-15T20:38:43Z</t>
  </si>
  <si>
    <t>2021-12-21T14:23:04Z</t>
  </si>
  <si>
    <t>2021-12-23T15:38:49Z</t>
  </si>
  <si>
    <t>2021-12-23T15:38:52Z</t>
  </si>
  <si>
    <t>2021-12-23T17:22:44Z</t>
  </si>
  <si>
    <t>2021-12-19T13:26:06Z</t>
  </si>
  <si>
    <t>2021-12-23T15:38:57Z</t>
  </si>
  <si>
    <t>2021-12-14T22:45:24Z</t>
  </si>
  <si>
    <t>2021-12-14T22:34:51Z</t>
  </si>
  <si>
    <t>2021-12-15T20:38:56Z</t>
  </si>
  <si>
    <t>2021-12-19T12:52:54Z</t>
  </si>
  <si>
    <t>2021-12-17T05:16:15Z</t>
  </si>
  <si>
    <t>2021-12-23T09:38:49Z</t>
  </si>
  <si>
    <t>2021-12-23T15:10:05Z</t>
  </si>
  <si>
    <t>2021-12-15T20:43:11Z</t>
  </si>
  <si>
    <t>2021-12-14T11:37:22Z</t>
  </si>
  <si>
    <t>2021-12-21T21:09:19Z</t>
  </si>
  <si>
    <t>2021-12-18T17:39:41Z</t>
  </si>
  <si>
    <t>2021-12-18T15:48:24Z</t>
  </si>
  <si>
    <t>2021-12-15T20:43:30Z</t>
  </si>
  <si>
    <t>2021-12-19T13:09:20Z</t>
  </si>
  <si>
    <t>2021-12-19T10:06:02Z</t>
  </si>
  <si>
    <t>2021-12-21T21:07:49Z</t>
  </si>
  <si>
    <t>2021-12-22T07:53:43Z</t>
  </si>
  <si>
    <t>2021-12-19T19:00:17Z</t>
  </si>
  <si>
    <t>2021-12-14T11:37:39Z</t>
  </si>
  <si>
    <t>2021-12-21T12:04:33Z</t>
  </si>
  <si>
    <t>2021-12-23T16:26:00Z</t>
  </si>
  <si>
    <t>2021-12-13T23:50:13Z</t>
  </si>
  <si>
    <t>2021-12-19T17:00:53Z</t>
  </si>
  <si>
    <t>2021-12-19T02:36:01Z</t>
  </si>
  <si>
    <t>2021-12-20T20:11:03Z</t>
  </si>
  <si>
    <t>2021-12-21T16:12:41Z</t>
  </si>
  <si>
    <t>2021-12-17T21:26:22Z</t>
  </si>
  <si>
    <t>2021-12-24T19:41:15Z</t>
  </si>
  <si>
    <t>2021-12-22T11:16:34Z</t>
  </si>
  <si>
    <t>2021-12-18T15:09:33Z</t>
  </si>
  <si>
    <t>2021-12-24T16:01:04Z</t>
  </si>
  <si>
    <t>2021-12-12T11:40:52Z</t>
  </si>
  <si>
    <t>2021-12-22T15:52:24Z</t>
  </si>
  <si>
    <t>2021-12-20T09:20:29Z</t>
  </si>
  <si>
    <t>2021-12-22T00:18:58Z</t>
  </si>
  <si>
    <t>2021-12-22T15:01:00Z</t>
  </si>
  <si>
    <t>2021-12-20T11:52:29Z</t>
  </si>
  <si>
    <t>2021-12-18T17:40:01Z</t>
  </si>
  <si>
    <t>2021-12-14T22:35:37Z</t>
  </si>
  <si>
    <t>2021-12-23T16:05:33Z</t>
  </si>
  <si>
    <t>2021-12-22T17:22:13Z</t>
  </si>
  <si>
    <t>2021-12-23T15:39:47Z</t>
  </si>
  <si>
    <t>2021-12-16T22:25:32Z</t>
  </si>
  <si>
    <t>2021-12-23T19:31:15Z</t>
  </si>
  <si>
    <t>2021-12-19T06:22:14Z</t>
  </si>
  <si>
    <t>2021-12-24T03:47:50Z</t>
  </si>
  <si>
    <t>2021-12-14T20:52:02Z</t>
  </si>
  <si>
    <t>2021-12-23T17:14:26Z</t>
  </si>
  <si>
    <t>2021-12-22T21:34:50Z</t>
  </si>
  <si>
    <t>2021-12-22T02:26:54Z</t>
  </si>
  <si>
    <t>2021-12-15T17:01:44Z</t>
  </si>
  <si>
    <t>2021-12-18T09:09:16Z</t>
  </si>
  <si>
    <t>2021-12-20T11:52:54Z</t>
  </si>
  <si>
    <t>2021-12-17T21:50:13Z</t>
  </si>
  <si>
    <t>2021-12-19T20:38:50Z</t>
  </si>
  <si>
    <t>2021-12-14T22:35:49Z</t>
  </si>
  <si>
    <t>2021-12-18T16:47:44Z</t>
  </si>
  <si>
    <t>2021-12-21T21:23:58Z</t>
  </si>
  <si>
    <t>2021-12-14T15:26:34Z</t>
  </si>
  <si>
    <t>2021-12-24T19:39:42Z</t>
  </si>
  <si>
    <t>2021-12-23T22:48:42Z</t>
  </si>
  <si>
    <t>2021-12-15T07:35:59Z</t>
  </si>
  <si>
    <t>2021-12-23T10:56:57Z</t>
  </si>
  <si>
    <t>2021-12-22T14:10:30Z</t>
  </si>
  <si>
    <t>2021-12-22T15:31:18Z</t>
  </si>
  <si>
    <t>2021-12-23T17:14:44Z</t>
  </si>
  <si>
    <t>2021-12-23T16:03:23Z</t>
  </si>
  <si>
    <t>2021-12-12T12:27:42Z</t>
  </si>
  <si>
    <t>2021-12-11T21:43:53Z</t>
  </si>
  <si>
    <t>2021-12-18T18:19:50Z</t>
  </si>
  <si>
    <t>2021-12-20T22:22:18Z</t>
  </si>
  <si>
    <t>2021-12-19T18:44:19Z</t>
  </si>
  <si>
    <t>2021-12-16T23:00:17Z</t>
  </si>
  <si>
    <t>2021-12-23T22:48:55Z</t>
  </si>
  <si>
    <t>2021-12-16T14:13:47Z</t>
  </si>
  <si>
    <t>2021-12-19T20:39:05Z</t>
  </si>
  <si>
    <t>2021-12-14T18:49:26Z</t>
  </si>
  <si>
    <t>2021-12-23T16:51:36Z</t>
  </si>
  <si>
    <t>2021-12-23T16:17:57Z</t>
  </si>
  <si>
    <t>2021-12-22T17:22:53Z</t>
  </si>
  <si>
    <t>2021-12-12T13:59:42Z</t>
  </si>
  <si>
    <t>2021-12-20T17:49:54Z</t>
  </si>
  <si>
    <t>2021-12-22T23:11:48Z</t>
  </si>
  <si>
    <t>2021-12-18T21:23:26Z</t>
  </si>
  <si>
    <t>2021-12-23T17:14:59Z</t>
  </si>
  <si>
    <t>2021-12-24T11:18:05Z</t>
  </si>
  <si>
    <t>2021-12-22T18:52:30Z</t>
  </si>
  <si>
    <t>2021-12-19T19:18:42Z</t>
  </si>
  <si>
    <t>2021-12-21T20:34:58Z</t>
  </si>
  <si>
    <t>2021-12-23T15:48:28Z</t>
  </si>
  <si>
    <t>2021-12-24T06:40:55Z</t>
  </si>
  <si>
    <t>2021-12-24T06:18:29Z</t>
  </si>
  <si>
    <t>2021-12-18T23:16:01Z</t>
  </si>
  <si>
    <t>2021-12-20T08:16:10Z</t>
  </si>
  <si>
    <t>2021-12-24T05:24:58Z</t>
  </si>
  <si>
    <t>2021-12-24T06:12:20Z</t>
  </si>
  <si>
    <t>2021-12-23T08:17:16Z</t>
  </si>
  <si>
    <t>2021-12-16T05:11:01Z</t>
  </si>
  <si>
    <t>2021-12-13T13:31:48Z</t>
  </si>
  <si>
    <t>2021-12-20T18:12:15Z</t>
  </si>
  <si>
    <t>2021-12-12T14:00:08Z</t>
  </si>
  <si>
    <t>2021-12-22T11:15:23Z</t>
  </si>
  <si>
    <t>2021-12-18T12:17:51Z</t>
  </si>
  <si>
    <t>2021-12-14T13:39:08Z</t>
  </si>
  <si>
    <t>2021-12-13T15:20:24Z</t>
  </si>
  <si>
    <t>2021-12-21T21:24:45Z</t>
  </si>
  <si>
    <t>2021-12-22T18:52:52Z</t>
  </si>
  <si>
    <t>2021-12-23T15:41:02Z</t>
  </si>
  <si>
    <t>2021-12-22T05:48:22Z</t>
  </si>
  <si>
    <t>2021-12-18T20:49:02Z</t>
  </si>
  <si>
    <t>2021-12-22T21:17:54Z</t>
  </si>
  <si>
    <t>2021-12-21T21:32:58Z</t>
  </si>
  <si>
    <t>2021-12-14T22:37:03Z</t>
  </si>
  <si>
    <t>2021-12-22T15:02:01Z</t>
  </si>
  <si>
    <t>2021-12-24T05:29:37Z</t>
  </si>
  <si>
    <t>2021-12-18T09:10:40Z</t>
  </si>
  <si>
    <t>2021-12-20T14:49:42Z</t>
  </si>
  <si>
    <t>2021-12-24T06:16:26Z</t>
  </si>
  <si>
    <t>2021-12-23T16:27:35Z</t>
  </si>
  <si>
    <t>2021-12-13T13:32:01Z</t>
  </si>
  <si>
    <t>2021-12-19T16:50:20Z</t>
  </si>
  <si>
    <t>2021-12-22T07:53:11Z</t>
  </si>
  <si>
    <t>2021-12-17T21:33:04Z</t>
  </si>
  <si>
    <t>2021-12-22T20:42:16Z</t>
  </si>
  <si>
    <t>2021-12-23T04:00:57Z</t>
  </si>
  <si>
    <t>2021-12-18T20:08:15Z</t>
  </si>
  <si>
    <t>2021-12-17T04:13:37Z</t>
  </si>
  <si>
    <t>2021-12-21T19:50:27Z</t>
  </si>
  <si>
    <t>2021-12-16T02:06:56Z</t>
  </si>
  <si>
    <t>2021-12-21T21:25:16Z</t>
  </si>
  <si>
    <t>2021-12-24T19:03:27Z</t>
  </si>
  <si>
    <t>2021-12-12T17:03:26Z</t>
  </si>
  <si>
    <t>2021-12-24T06:17:31Z</t>
  </si>
  <si>
    <t>2021-12-14T23:15:21Z</t>
  </si>
  <si>
    <t>2021-12-18T22:30:36Z</t>
  </si>
  <si>
    <t>2021-12-18T12:18:20Z</t>
  </si>
  <si>
    <t>2021-12-20T13:22:52Z</t>
  </si>
  <si>
    <t>2021-12-22T00:22:03Z</t>
  </si>
  <si>
    <t>2021-12-21T13:23:37Z</t>
  </si>
  <si>
    <t>2021-12-21T15:01:09Z</t>
  </si>
  <si>
    <t>2021-12-23T15:41:48Z</t>
  </si>
  <si>
    <t>2021-12-19T00:34:47Z</t>
  </si>
  <si>
    <t>2021-12-13T00:22:04Z</t>
  </si>
  <si>
    <t>2021-12-22T11:17:52Z</t>
  </si>
  <si>
    <t>2021-12-24T17:30:42Z</t>
  </si>
  <si>
    <t>2021-12-24T11:17:52Z</t>
  </si>
  <si>
    <t>2021-12-23T17:16:23Z</t>
  </si>
  <si>
    <t>2021-12-24T11:43:00Z</t>
  </si>
  <si>
    <t>2021-12-20T23:35:37Z</t>
  </si>
  <si>
    <t>2021-12-22T11:18:16Z</t>
  </si>
  <si>
    <t>2021-12-21T21:25:39Z</t>
  </si>
  <si>
    <t>2021-12-12T23:37:45Z</t>
  </si>
  <si>
    <t>2021-12-20T22:43:33Z</t>
  </si>
  <si>
    <t>2021-12-16T14:09:41Z</t>
  </si>
  <si>
    <t>2021-12-20T23:35:18Z</t>
  </si>
  <si>
    <t>2021-12-20T23:35:50Z</t>
  </si>
  <si>
    <t>2021-12-24T11:43:07Z</t>
  </si>
  <si>
    <t>2021-12-24T20:06:14Z</t>
  </si>
  <si>
    <t>2021-12-14T19:25:42Z</t>
  </si>
  <si>
    <t>2021-12-11T20:34:21Z</t>
  </si>
  <si>
    <t>2021-12-13T23:19:01Z</t>
  </si>
  <si>
    <t>2021-12-20T13:23:11Z</t>
  </si>
  <si>
    <t>2021-12-22T11:18:56Z</t>
  </si>
  <si>
    <t>2021-12-23T14:50:58Z</t>
  </si>
  <si>
    <t>2021-12-22T03:27:03Z</t>
  </si>
  <si>
    <t>2021-12-21T01:41:59Z</t>
  </si>
  <si>
    <t>2021-12-22T07:20:00Z</t>
  </si>
  <si>
    <t>2021-12-16T18:55:42Z</t>
  </si>
  <si>
    <t>2021-12-20T23:36:11Z</t>
  </si>
  <si>
    <t>2021-12-20T09:22:53Z</t>
  </si>
  <si>
    <t>2021-12-22T11:19:09Z</t>
  </si>
  <si>
    <t>2021-12-24T06:18:04Z</t>
  </si>
  <si>
    <t>2021-12-13T18:57:02Z</t>
  </si>
  <si>
    <t>2021-12-20T22:22:32Z</t>
  </si>
  <si>
    <t>2021-12-24T11:43:24Z</t>
  </si>
  <si>
    <t>2021-12-13T23:49:51Z</t>
  </si>
  <si>
    <t>2021-12-19T01:33:45Z</t>
  </si>
  <si>
    <t>2021-12-24T11:43:27Z</t>
  </si>
  <si>
    <t>2021-12-19T16:09:34Z</t>
  </si>
  <si>
    <t>2021-12-18T13:05:58Z</t>
  </si>
  <si>
    <t>2021-12-19T13:29:00Z</t>
  </si>
  <si>
    <t>2021-12-23T19:44:53Z</t>
  </si>
  <si>
    <t>2021-12-16T23:01:41Z</t>
  </si>
  <si>
    <t>2021-12-19T12:57:58Z</t>
  </si>
  <si>
    <t>2021-12-20T20:04:07Z</t>
  </si>
  <si>
    <t>2021-12-23T16:28:55Z</t>
  </si>
  <si>
    <t>2021-12-20T12:03:55Z</t>
  </si>
  <si>
    <t>2021-12-23T15:09:47Z</t>
  </si>
  <si>
    <t>2021-12-17T21:35:45Z</t>
  </si>
  <si>
    <t>2021-12-24T13:40:29Z</t>
  </si>
  <si>
    <t>2021-12-16T14:14:09Z</t>
  </si>
  <si>
    <t>2021-12-20T11:11:19Z</t>
  </si>
  <si>
    <t>2021-12-19T01:34:01Z</t>
  </si>
  <si>
    <t>2021-12-18T13:06:12Z</t>
  </si>
  <si>
    <t>2021-12-23T17:17:13Z</t>
  </si>
  <si>
    <t>2021-12-21T21:26:21Z</t>
  </si>
  <si>
    <t>2021-12-20T23:36:43Z</t>
  </si>
  <si>
    <t>2021-12-14T21:43:01Z</t>
  </si>
  <si>
    <t>2021-12-12T10:05:11Z</t>
  </si>
  <si>
    <t>2021-12-18T10:20:26Z</t>
  </si>
  <si>
    <t>2021-12-23T20:41:23Z</t>
  </si>
  <si>
    <t>2021-12-14T20:54:43Z</t>
  </si>
  <si>
    <t>2021-12-12T11:15:31Z</t>
  </si>
  <si>
    <t>2021-12-15T02:26:38Z</t>
  </si>
  <si>
    <t>2021-12-20T23:36:56Z</t>
  </si>
  <si>
    <t>2021-12-17T22:27:41Z</t>
  </si>
  <si>
    <t>2021-12-22T11:20:21Z</t>
  </si>
  <si>
    <t>2021-12-21T20:38:33Z</t>
  </si>
  <si>
    <t>2021-12-18T22:23:08Z</t>
  </si>
  <si>
    <t>2021-12-18T16:30:11Z</t>
  </si>
  <si>
    <t>2021-12-17T21:38:51Z</t>
  </si>
  <si>
    <t>2021-12-19T13:39:40Z</t>
  </si>
  <si>
    <t>2021-12-22T16:06:31Z</t>
  </si>
  <si>
    <t>2021-12-19T02:40:57Z</t>
  </si>
  <si>
    <t>2021-12-19T10:05:06Z</t>
  </si>
  <si>
    <t>2021-12-18T13:06:33Z</t>
  </si>
  <si>
    <t>2021-12-24T13:20:53Z</t>
  </si>
  <si>
    <t>2021-12-19T17:46:36Z</t>
  </si>
  <si>
    <t>2021-12-20T23:37:10Z</t>
  </si>
  <si>
    <t>2021-12-24T13:41:19Z</t>
  </si>
  <si>
    <t>2021-12-24T06:13:31Z</t>
  </si>
  <si>
    <t>2021-12-22T05:18:05Z</t>
  </si>
  <si>
    <t>2021-12-14T18:46:24Z</t>
  </si>
  <si>
    <t>2021-12-21T22:20:26Z</t>
  </si>
  <si>
    <t>2021-12-18T13:06:45Z</t>
  </si>
  <si>
    <t>2021-12-23T08:16:59Z</t>
  </si>
  <si>
    <t>2021-12-12T08:25:49Z</t>
  </si>
  <si>
    <t>2021-12-23T16:03:32Z</t>
  </si>
  <si>
    <t>2021-12-21T21:33:29Z</t>
  </si>
  <si>
    <t>2021-12-21T13:34:20Z</t>
  </si>
  <si>
    <t>2021-12-20T23:37:29Z</t>
  </si>
  <si>
    <t>2021-12-20T17:07:34Z</t>
  </si>
  <si>
    <t>2021-12-21T01:44:57Z</t>
  </si>
  <si>
    <t>2021-12-19T02:41:23Z</t>
  </si>
  <si>
    <t>2021-12-16T02:38:17Z</t>
  </si>
  <si>
    <t>2021-12-19T13:29:56Z</t>
  </si>
  <si>
    <t>2021-12-16T23:02:51Z</t>
  </si>
  <si>
    <t>2021-12-16T02:39:21Z</t>
  </si>
  <si>
    <t>2021-12-15T19:36:53Z</t>
  </si>
  <si>
    <t>2021-12-19T13:30:04Z</t>
  </si>
  <si>
    <t>2021-12-14T15:30:10Z</t>
  </si>
  <si>
    <t>2021-12-17T22:28:16Z</t>
  </si>
  <si>
    <t>2021-12-17T18:37:07Z</t>
  </si>
  <si>
    <t>2021-12-24T15:58:51Z</t>
  </si>
  <si>
    <t>2021-12-13T11:31:45Z</t>
  </si>
  <si>
    <t>2021-12-19T12:44:07Z</t>
  </si>
  <si>
    <t>2021-12-19T09:15:00Z</t>
  </si>
  <si>
    <t>2021-12-11T21:04:15Z</t>
  </si>
  <si>
    <t>2021-12-17T15:11:34Z</t>
  </si>
  <si>
    <t>2021-12-21T14:28:30Z</t>
  </si>
  <si>
    <t>2021-12-17T11:39:23Z</t>
  </si>
  <si>
    <t>2021-12-17T15:24:17Z</t>
  </si>
  <si>
    <t>2021-12-22T16:22:52Z</t>
  </si>
  <si>
    <t>2021-12-22T00:25:27Z</t>
  </si>
  <si>
    <t>2021-12-16T23:03:25Z</t>
  </si>
  <si>
    <t>2021-12-24T13:41:51Z</t>
  </si>
  <si>
    <t>2021-12-13T03:10:10Z</t>
  </si>
  <si>
    <t>2021-12-18T13:07:47Z</t>
  </si>
  <si>
    <t>2021-12-21T14:28:48Z</t>
  </si>
  <si>
    <t>2021-12-23T15:44:00Z</t>
  </si>
  <si>
    <t>2021-12-24T13:42:07Z</t>
  </si>
  <si>
    <t>2021-12-17T10:05:13Z</t>
  </si>
  <si>
    <t>2021-12-22T16:22:09Z</t>
  </si>
  <si>
    <t>2021-12-22T08:30:33Z</t>
  </si>
  <si>
    <t>2021-12-21T21:27:58Z</t>
  </si>
  <si>
    <t>2021-12-17T22:28:55Z</t>
  </si>
  <si>
    <t>2021-12-21T17:38:15Z</t>
  </si>
  <si>
    <t>2021-12-14T22:46:12Z</t>
  </si>
  <si>
    <t>2021-12-16T09:19:20Z</t>
  </si>
  <si>
    <t>2021-12-24T11:31:26Z</t>
  </si>
  <si>
    <t>2021-12-19T14:33:13Z</t>
  </si>
  <si>
    <t>2021-12-16T09:19:31Z</t>
  </si>
  <si>
    <t>2021-12-16T03:34:59Z</t>
  </si>
  <si>
    <t>2021-12-21T20:58:35Z</t>
  </si>
  <si>
    <t>2021-12-14T15:30:51Z</t>
  </si>
  <si>
    <t>2021-12-19T18:44:48Z</t>
  </si>
  <si>
    <t>2021-12-14T12:42:58Z</t>
  </si>
  <si>
    <t>2021-12-16T22:07:26Z</t>
  </si>
  <si>
    <t>2021-12-17T21:28:34Z</t>
  </si>
  <si>
    <t>2021-12-21T20:56:24Z</t>
  </si>
  <si>
    <t>2021-12-22T15:05:55Z</t>
  </si>
  <si>
    <t>2021-12-16T09:19:43Z</t>
  </si>
  <si>
    <t>2021-12-15T23:32:15Z</t>
  </si>
  <si>
    <t>2021-12-24T13:21:09Z</t>
  </si>
  <si>
    <t>2021-12-22T17:26:29Z</t>
  </si>
  <si>
    <t>2021-12-14T00:01:35Z</t>
  </si>
  <si>
    <t>2021-12-16T23:04:07Z</t>
  </si>
  <si>
    <t>2021-12-19T08:18:17Z</t>
  </si>
  <si>
    <t>2021-12-19T01:36:35Z</t>
  </si>
  <si>
    <t>2021-12-17T22:28:58Z</t>
  </si>
  <si>
    <t>2021-12-22T22:12:57Z</t>
  </si>
  <si>
    <t>2021-12-17T10:06:02Z</t>
  </si>
  <si>
    <t>2021-12-20T13:22:30Z</t>
  </si>
  <si>
    <t>2021-12-17T22:29:15Z</t>
  </si>
  <si>
    <t>2021-12-18T19:37:32Z</t>
  </si>
  <si>
    <t>2021-12-24T00:41:53Z</t>
  </si>
  <si>
    <t>2021-12-15T16:38:49Z</t>
  </si>
  <si>
    <t>2021-12-22T00:26:30Z</t>
  </si>
  <si>
    <t>2021-12-20T21:36:53Z</t>
  </si>
  <si>
    <t>2021-12-24T18:14:10Z</t>
  </si>
  <si>
    <t>2021-12-13T22:37:55Z</t>
  </si>
  <si>
    <t>2021-12-23T23:55:49Z</t>
  </si>
  <si>
    <t>2021-12-21T20:56:41Z</t>
  </si>
  <si>
    <t>2021-12-15T21:33:07Z</t>
  </si>
  <si>
    <t>2021-12-19T12:45:00Z</t>
  </si>
  <si>
    <t>2021-12-23T18:10:23Z</t>
  </si>
  <si>
    <t>2021-12-24T09:19:27Z</t>
  </si>
  <si>
    <t>2021-12-15T20:45:00Z</t>
  </si>
  <si>
    <t>2021-12-24T20:02:48Z</t>
  </si>
  <si>
    <t>2021-12-18T13:08:39Z</t>
  </si>
  <si>
    <t>2021-12-23T15:05:55Z</t>
  </si>
  <si>
    <t>2021-12-15T11:54:31Z</t>
  </si>
  <si>
    <t>2021-12-24T09:19:52Z</t>
  </si>
  <si>
    <t>2021-12-20T14:36:10Z</t>
  </si>
  <si>
    <t>2021-12-16T14:00:27Z</t>
  </si>
  <si>
    <t>2021-12-19T13:31:40Z</t>
  </si>
  <si>
    <t>2021-12-17T21:36:53Z</t>
  </si>
  <si>
    <t>2021-12-17T21:36:55Z</t>
  </si>
  <si>
    <t>2021-12-19T16:53:01Z</t>
  </si>
  <si>
    <t>2021-12-21T20:59:55Z</t>
  </si>
  <si>
    <t>2021-12-24T15:15:12Z</t>
  </si>
  <si>
    <t>2021-12-19T13:31:46Z</t>
  </si>
  <si>
    <t>2021-12-16T22:32:28Z</t>
  </si>
  <si>
    <t>2021-12-22T05:23:52Z</t>
  </si>
  <si>
    <t>2021-12-24T20:37:23Z</t>
  </si>
  <si>
    <t>2021-12-21T01:44:36Z</t>
  </si>
  <si>
    <t>2021-12-17T21:37:06Z</t>
  </si>
  <si>
    <t>2021-12-19T13:31:52Z</t>
  </si>
  <si>
    <t>2021-12-17T21:37:11Z</t>
  </si>
  <si>
    <t>2021-12-14T14:08:48Z</t>
  </si>
  <si>
    <t>2021-12-23T01:02:14Z</t>
  </si>
  <si>
    <t>2021-12-21T21:00:17Z</t>
  </si>
  <si>
    <t>2021-12-23T15:45:21Z</t>
  </si>
  <si>
    <t>2021-12-16T23:01:27Z</t>
  </si>
  <si>
    <t>2021-12-17T23:01:51Z</t>
  </si>
  <si>
    <t>2021-12-23T01:35:46Z</t>
  </si>
  <si>
    <t>2021-12-17T22:30:12Z</t>
  </si>
  <si>
    <t>2021-12-19T00:31:56Z</t>
  </si>
  <si>
    <t>2021-12-21T21:29:16Z</t>
  </si>
  <si>
    <t>2021-12-17T17:51:14Z</t>
  </si>
  <si>
    <t>2021-12-12T19:17:13Z</t>
  </si>
  <si>
    <t>2021-12-18T17:07:25Z</t>
  </si>
  <si>
    <t>2021-12-21T14:30:46Z</t>
  </si>
  <si>
    <t>2021-12-22T23:07:35Z</t>
  </si>
  <si>
    <t>2021-12-16T05:04:49Z</t>
  </si>
  <si>
    <t>2021-12-19T13:06:26Z</t>
  </si>
  <si>
    <t>2021-12-22T05:24:03Z</t>
  </si>
  <si>
    <t>2021-12-14T11:44:53Z</t>
  </si>
  <si>
    <t>2021-12-21T21:29:42Z</t>
  </si>
  <si>
    <t>2021-12-18T19:53:47Z</t>
  </si>
  <si>
    <t>2021-12-19T16:53:17Z</t>
  </si>
  <si>
    <t>2021-12-20T17:09:54Z</t>
  </si>
  <si>
    <t>2021-12-13T08:17:02Z</t>
  </si>
  <si>
    <t>2021-12-18T17:07:44Z</t>
  </si>
  <si>
    <t>2021-12-18T19:54:37Z</t>
  </si>
  <si>
    <t>2021-12-15T12:18:13Z</t>
  </si>
  <si>
    <t>2021-12-19T13:32:26Z</t>
  </si>
  <si>
    <t>2021-12-20T17:55:57Z</t>
  </si>
  <si>
    <t>2021-12-22T17:14:26Z</t>
  </si>
  <si>
    <t>2021-12-18T01:27:52Z</t>
  </si>
  <si>
    <t>2021-12-20T21:43:03Z</t>
  </si>
  <si>
    <t>2021-12-23T15:50:34Z</t>
  </si>
  <si>
    <t>2021-12-21T21:29:55Z</t>
  </si>
  <si>
    <t>2021-12-23T17:23:53Z</t>
  </si>
  <si>
    <t>2021-12-17T21:38:13Z</t>
  </si>
  <si>
    <t>2021-12-24T01:13:54Z</t>
  </si>
  <si>
    <t>2021-12-24T20:05:53Z</t>
  </si>
  <si>
    <t>2021-12-14T18:49:42Z</t>
  </si>
  <si>
    <t>2021-12-23T14:55:03Z</t>
  </si>
  <si>
    <t>2021-12-22T02:25:17Z</t>
  </si>
  <si>
    <t>2021-12-19T08:45:08Z</t>
  </si>
  <si>
    <t>2021-12-20T13:23:02Z</t>
  </si>
  <si>
    <t>2021-12-23T08:17:40Z</t>
  </si>
  <si>
    <t>2021-12-23T19:38:00Z</t>
  </si>
  <si>
    <t>2021-12-19T12:46:27Z</t>
  </si>
  <si>
    <t>2021-12-23T17:33:18Z</t>
  </si>
  <si>
    <t>2021-12-22T15:08:12Z</t>
  </si>
  <si>
    <t>2021-12-20T17:10:36Z</t>
  </si>
  <si>
    <t>2021-12-17T13:44:51Z</t>
  </si>
  <si>
    <t>2021-12-18T02:08:15Z</t>
  </si>
  <si>
    <t>2021-12-22T16:13:46Z</t>
  </si>
  <si>
    <t>2021-12-20T13:23:38Z</t>
  </si>
  <si>
    <t>2021-12-18T20:15:03Z</t>
  </si>
  <si>
    <t>2021-12-22T11:19:37Z</t>
  </si>
  <si>
    <t>2021-12-21T03:49:06Z</t>
  </si>
  <si>
    <t>2021-12-23T19:38:10Z</t>
  </si>
  <si>
    <t>2021-12-23T18:52:09Z</t>
  </si>
  <si>
    <t>2021-12-23T15:46:32Z</t>
  </si>
  <si>
    <t>2021-12-16T23:06:50Z</t>
  </si>
  <si>
    <t>2021-12-22T23:09:12Z</t>
  </si>
  <si>
    <t>2021-12-19T12:46:41Z</t>
  </si>
  <si>
    <t>2021-12-21T21:30:22Z</t>
  </si>
  <si>
    <t>2021-12-16T04:20:58Z</t>
  </si>
  <si>
    <t>2021-12-23T22:56:49Z</t>
  </si>
  <si>
    <t>2021-12-16T12:13:57Z</t>
  </si>
  <si>
    <t>2021-12-17T22:31:38Z</t>
  </si>
  <si>
    <t>2021-12-16T23:07:01Z</t>
  </si>
  <si>
    <t>2021-12-16T10:42:57Z</t>
  </si>
  <si>
    <t>2021-12-22T23:09:29Z</t>
  </si>
  <si>
    <t>2021-12-16T02:39:44Z</t>
  </si>
  <si>
    <t>2021-12-20T16:13:26Z</t>
  </si>
  <si>
    <t>2021-12-20T23:36:28Z</t>
  </si>
  <si>
    <t>2021-12-23T21:36:50Z</t>
  </si>
  <si>
    <t>2021-12-20T17:11:12Z</t>
  </si>
  <si>
    <t>2021-12-19T17:46:11Z</t>
  </si>
  <si>
    <t>2021-12-19T12:46:54Z</t>
  </si>
  <si>
    <t>2021-12-24T05:46:04Z</t>
  </si>
  <si>
    <t>2021-12-14T13:46:36Z</t>
  </si>
  <si>
    <t>2021-12-17T22:32:07Z</t>
  </si>
  <si>
    <t>2021-12-22T21:28:52Z</t>
  </si>
  <si>
    <t>2021-12-23T22:57:13Z</t>
  </si>
  <si>
    <t>2021-12-22T17:12:12Z</t>
  </si>
  <si>
    <t>2021-12-15T01:59:58Z</t>
  </si>
  <si>
    <t>2021-12-21T18:39:45Z</t>
  </si>
  <si>
    <t>2021-12-22T23:09:53Z</t>
  </si>
  <si>
    <t>2021-12-22T18:58:36Z</t>
  </si>
  <si>
    <t>2021-12-22T08:31:25Z</t>
  </si>
  <si>
    <t>2021-12-19T08:17:33Z</t>
  </si>
  <si>
    <t>2021-12-19T21:29:20Z</t>
  </si>
  <si>
    <t>2021-12-22T18:58:20Z</t>
  </si>
  <si>
    <t>2021-12-12T11:48:39Z</t>
  </si>
  <si>
    <t>2021-12-23T15:47:14Z</t>
  </si>
  <si>
    <t>2021-12-24T09:40:26Z</t>
  </si>
  <si>
    <t>2021-12-14T10:24:11Z</t>
  </si>
  <si>
    <t>2021-12-21T16:13:08Z</t>
  </si>
  <si>
    <t>2021-12-24T06:12:11Z</t>
  </si>
  <si>
    <t>2021-12-24T14:10:53Z</t>
  </si>
  <si>
    <t>2021-12-11T20:35:02Z</t>
  </si>
  <si>
    <t>2021-12-23T17:20:36Z</t>
  </si>
  <si>
    <t>2021-12-19T12:47:21Z</t>
  </si>
  <si>
    <t>2021-12-23T15:47:31Z</t>
  </si>
  <si>
    <t>2021-12-17T15:27:50Z</t>
  </si>
  <si>
    <t>2021-12-16T23:07:57Z</t>
  </si>
  <si>
    <t>2021-12-19T10:02:44Z</t>
  </si>
  <si>
    <t>2021-12-20T13:25:50Z</t>
  </si>
  <si>
    <t>2021-12-13T18:43:06Z</t>
  </si>
  <si>
    <t>2021-12-19T12:47:28Z</t>
  </si>
  <si>
    <t>2021-12-21T16:13:23Z</t>
  </si>
  <si>
    <t>2021-12-21T21:31:11Z</t>
  </si>
  <si>
    <t>2021-12-23T15:08:11Z</t>
  </si>
  <si>
    <t>2021-12-17T21:39:44Z</t>
  </si>
  <si>
    <t>2021-12-23T16:03:49Z</t>
  </si>
  <si>
    <t>2021-12-23T15:50:21Z</t>
  </si>
  <si>
    <t>2021-12-18T10:17:56Z</t>
  </si>
  <si>
    <t>2021-12-18T17:09:22Z</t>
  </si>
  <si>
    <t>2021-12-24T17:21:18Z</t>
  </si>
  <si>
    <t>2021-12-21T16:13:32Z</t>
  </si>
  <si>
    <t>2021-12-17T22:32:33Z</t>
  </si>
  <si>
    <t>2021-12-14T19:30:09Z</t>
  </si>
  <si>
    <t>2021-12-20T17:11:55Z</t>
  </si>
  <si>
    <t>2021-12-13T07:48:03Z</t>
  </si>
  <si>
    <t>2021-12-21T21:02:42Z</t>
  </si>
  <si>
    <t>2021-12-16T19:46:33Z</t>
  </si>
  <si>
    <t>2021-12-16T23:02:15Z</t>
  </si>
  <si>
    <t>2021-12-23T19:39:19Z</t>
  </si>
  <si>
    <t>2021-12-21T16:13:40Z</t>
  </si>
  <si>
    <t>2021-12-14T19:07:37Z</t>
  </si>
  <si>
    <t>2021-12-23T15:47:55Z</t>
  </si>
  <si>
    <t>2021-12-21T09:07:32Z</t>
  </si>
  <si>
    <t>2021-12-21T21:02:50Z</t>
  </si>
  <si>
    <t>2021-12-23T14:59:03Z</t>
  </si>
  <si>
    <t>2021-12-22T13:54:59Z</t>
  </si>
  <si>
    <t>2021-12-18T18:04:27Z</t>
  </si>
  <si>
    <t>2021-12-22T02:26:11Z</t>
  </si>
  <si>
    <t>2021-12-24T05:29:30Z</t>
  </si>
  <si>
    <t>2021-12-20T04:39:48Z</t>
  </si>
  <si>
    <t>2021-12-20T22:13:02Z</t>
  </si>
  <si>
    <t>2021-12-17T22:32:54Z</t>
  </si>
  <si>
    <t>2021-12-22T23:05:27Z</t>
  </si>
  <si>
    <t>2021-12-21T16:13:52Z</t>
  </si>
  <si>
    <t>2021-12-21T09:07:51Z</t>
  </si>
  <si>
    <t>2021-12-12T19:19:20Z</t>
  </si>
  <si>
    <t>2021-12-11T22:23:32Z</t>
  </si>
  <si>
    <t>2021-12-19T16:40:06Z</t>
  </si>
  <si>
    <t>2021-12-24T05:27:56Z</t>
  </si>
  <si>
    <t>2021-12-21T14:34:19Z</t>
  </si>
  <si>
    <t>2021-12-22T23:11:21Z</t>
  </si>
  <si>
    <t>2021-12-16T02:20:35Z</t>
  </si>
  <si>
    <t>2021-12-21T16:14:04Z</t>
  </si>
  <si>
    <t>2021-12-24T15:58:32Z</t>
  </si>
  <si>
    <t>2021-12-20T22:14:44Z</t>
  </si>
  <si>
    <t>2021-12-19T13:06:58Z</t>
  </si>
  <si>
    <t>2021-12-19T09:02:56Z</t>
  </si>
  <si>
    <t>2021-12-21T21:32:01Z</t>
  </si>
  <si>
    <t>2021-12-19T15:42:51Z</t>
  </si>
  <si>
    <t>2021-12-19T12:48:07Z</t>
  </si>
  <si>
    <t>2021-12-22T07:46:25Z</t>
  </si>
  <si>
    <t>2021-12-21T09:08:24Z</t>
  </si>
  <si>
    <t>2021-12-19T12:48:13Z</t>
  </si>
  <si>
    <t>2021-12-17T21:27:39Z</t>
  </si>
  <si>
    <t>2021-12-22T16:56:57Z</t>
  </si>
  <si>
    <t>2021-12-23T22:02:17Z</t>
  </si>
  <si>
    <t>2021-12-19T19:01:33Z</t>
  </si>
  <si>
    <t>2021-12-14T18:51:17Z</t>
  </si>
  <si>
    <t>2021-12-21T09:08:39Z</t>
  </si>
  <si>
    <t>2021-12-17T18:26:17Z</t>
  </si>
  <si>
    <t>2021-12-22T21:34:26Z</t>
  </si>
  <si>
    <t>2021-12-20T05:45:54Z</t>
  </si>
  <si>
    <t>2021-12-19T05:09:44Z</t>
  </si>
  <si>
    <t>2021-12-23T19:40:03Z</t>
  </si>
  <si>
    <t>2021-12-15T03:02:25Z</t>
  </si>
  <si>
    <t>2021-12-22T21:16:39Z</t>
  </si>
  <si>
    <t>2021-12-23T12:39:03Z</t>
  </si>
  <si>
    <t>2021-12-22T02:28:03Z</t>
  </si>
  <si>
    <t>2021-12-23T14:55:47Z</t>
  </si>
  <si>
    <t>2021-12-13T07:49:55Z</t>
  </si>
  <si>
    <t>2021-12-20T18:36:59Z</t>
  </si>
  <si>
    <t>2021-12-23T11:08:39Z</t>
  </si>
  <si>
    <t>2021-12-19T16:55:16Z</t>
  </si>
  <si>
    <t>2021-12-24T01:18:23Z</t>
  </si>
  <si>
    <t>2021-12-19T13:35:06Z</t>
  </si>
  <si>
    <t>2021-12-19T15:50:55Z</t>
  </si>
  <si>
    <t>2021-12-24T06:14:27Z</t>
  </si>
  <si>
    <t>2021-12-18T20:54:42Z</t>
  </si>
  <si>
    <t>2021-12-18T23:01:28Z</t>
  </si>
  <si>
    <t>2021-12-23T15:08:45Z</t>
  </si>
  <si>
    <t>2021-12-13T06:23:59Z</t>
  </si>
  <si>
    <t>2021-12-21T09:09:19Z</t>
  </si>
  <si>
    <t>2021-12-15T07:36:05Z</t>
  </si>
  <si>
    <t>2021-12-23T16:04:20Z</t>
  </si>
  <si>
    <t>2021-12-21T01:39:20Z</t>
  </si>
  <si>
    <t>2021-12-23T15:49:12Z</t>
  </si>
  <si>
    <t>2021-12-24T19:11:37Z</t>
  </si>
  <si>
    <t>2021-12-24T06:13:11Z</t>
  </si>
  <si>
    <t>2021-12-13T06:24:24Z</t>
  </si>
  <si>
    <t>2021-12-21T09:09:44Z</t>
  </si>
  <si>
    <t>2021-12-24T01:19:04Z</t>
  </si>
  <si>
    <t>2021-12-15T07:35:52Z</t>
  </si>
  <si>
    <t>2021-12-23T08:17:50Z</t>
  </si>
  <si>
    <t>2021-12-16T02:21:50Z</t>
  </si>
  <si>
    <t>2021-12-15T17:47:01Z</t>
  </si>
  <si>
    <t>2021-12-21T09:09:58Z</t>
  </si>
  <si>
    <t>2021-12-23T19:40:32Z</t>
  </si>
  <si>
    <t>2021-12-17T10:02:58Z</t>
  </si>
  <si>
    <t>2021-12-16T02:22:01Z</t>
  </si>
  <si>
    <t>2021-12-24T01:19:30Z</t>
  </si>
  <si>
    <t>2021-12-18T20:55:03Z</t>
  </si>
  <si>
    <t>2021-12-19T12:49:19Z</t>
  </si>
  <si>
    <t>2021-12-15T17:47:05Z</t>
  </si>
  <si>
    <t>2021-12-24T19:11:53Z</t>
  </si>
  <si>
    <t>2021-12-20T14:05:10Z</t>
  </si>
  <si>
    <t>2021-12-19T19:00:10Z</t>
  </si>
  <si>
    <t>2021-12-21T12:04:14Z</t>
  </si>
  <si>
    <t>2021-12-14T13:40:56Z</t>
  </si>
  <si>
    <t>2021-12-24T15:56:54Z</t>
  </si>
  <si>
    <t>2021-12-15T17:47:09Z</t>
  </si>
  <si>
    <t>2021-12-18T11:36:15Z</t>
  </si>
  <si>
    <t>2021-12-17T17:55:04Z</t>
  </si>
  <si>
    <t>2021-12-24T19:12:01Z</t>
  </si>
  <si>
    <t>2021-12-14T07:11:18Z</t>
  </si>
  <si>
    <t>2021-12-21T09:10:22Z</t>
  </si>
  <si>
    <t>2021-12-15T17:47:14Z</t>
  </si>
  <si>
    <t>2021-12-24T09:27:32Z</t>
  </si>
  <si>
    <t>2021-12-24T19:12:08Z</t>
  </si>
  <si>
    <t>2021-12-18T09:01:06Z</t>
  </si>
  <si>
    <t>2021-12-23T18:09:52Z</t>
  </si>
  <si>
    <t>2021-12-20T09:35:17Z</t>
  </si>
  <si>
    <t>2021-12-13T06:25:23Z</t>
  </si>
  <si>
    <t>2021-12-19T13:35:51Z</t>
  </si>
  <si>
    <t>2021-12-22T17:11:12Z</t>
  </si>
  <si>
    <t>2021-12-15T17:47:31Z</t>
  </si>
  <si>
    <t>2021-12-21T09:10:45Z</t>
  </si>
  <si>
    <t>2021-12-18T19:06:00Z</t>
  </si>
  <si>
    <t>2021-12-19T19:00:33Z</t>
  </si>
  <si>
    <t>2021-12-19T13:35:58Z</t>
  </si>
  <si>
    <t>2021-12-19T16:55:52Z</t>
  </si>
  <si>
    <t>2021-12-22T08:31:16Z</t>
  </si>
  <si>
    <t>2021-12-23T16:04:36Z</t>
  </si>
  <si>
    <t>2021-12-24T09:28:04Z</t>
  </si>
  <si>
    <t>2021-12-18T10:20:52Z</t>
  </si>
  <si>
    <t>2021-12-15T17:47:46Z</t>
  </si>
  <si>
    <t>2021-12-16T02:23:19Z</t>
  </si>
  <si>
    <t>2021-12-24T01:20:56Z</t>
  </si>
  <si>
    <t>2021-12-23T22:03:18Z</t>
  </si>
  <si>
    <t>2021-12-13T06:25:51Z</t>
  </si>
  <si>
    <t>2021-12-15T17:47:52Z</t>
  </si>
  <si>
    <t>2021-12-18T10:21:12Z</t>
  </si>
  <si>
    <t>2021-12-19T18:59:45Z</t>
  </si>
  <si>
    <t>2021-12-21T01:41:50Z</t>
  </si>
  <si>
    <t>2021-12-22T15:13:55Z</t>
  </si>
  <si>
    <t>2021-12-15T17:47:54Z</t>
  </si>
  <si>
    <t>2021-12-24T09:28:30Z</t>
  </si>
  <si>
    <t>2021-12-19T13:36:12Z</t>
  </si>
  <si>
    <t>2021-12-19T18:59:59Z</t>
  </si>
  <si>
    <t>2021-12-15T17:47:57Z</t>
  </si>
  <si>
    <t>2021-12-24T09:28:41Z</t>
  </si>
  <si>
    <t>2021-12-22T05:26:39Z</t>
  </si>
  <si>
    <t>2021-12-22T14:21:55Z</t>
  </si>
  <si>
    <t>2021-12-21T14:36:39Z</t>
  </si>
  <si>
    <t>2021-12-12T19:20:50Z</t>
  </si>
  <si>
    <t>2021-12-16T14:09:36Z</t>
  </si>
  <si>
    <t>2021-12-19T13:36:19Z</t>
  </si>
  <si>
    <t>2021-12-24T18:19:48Z</t>
  </si>
  <si>
    <t>2021-12-15T17:48:06Z</t>
  </si>
  <si>
    <t>2021-12-22T15:14:15Z</t>
  </si>
  <si>
    <t>2021-12-19T09:03:42Z</t>
  </si>
  <si>
    <t>2021-12-20T14:46:57Z</t>
  </si>
  <si>
    <t>2021-12-17T21:42:24Z</t>
  </si>
  <si>
    <t>2021-12-19T13:36:26Z</t>
  </si>
  <si>
    <t>2021-12-15T17:48:13Z</t>
  </si>
  <si>
    <t>2021-12-15T07:36:49Z</t>
  </si>
  <si>
    <t>2021-12-19T02:41:08Z</t>
  </si>
  <si>
    <t>2021-12-23T11:09:43Z</t>
  </si>
  <si>
    <t>2021-12-24T21:22:46Z</t>
  </si>
  <si>
    <t>2021-12-13T17:59:50Z</t>
  </si>
  <si>
    <t>2021-12-18T15:18:30Z</t>
  </si>
  <si>
    <t>2021-12-23T11:07:28Z</t>
  </si>
  <si>
    <t>2021-12-22T12:34:37Z</t>
  </si>
  <si>
    <t>2021-12-19T16:56:11Z</t>
  </si>
  <si>
    <t>2021-12-23T18:10:55Z</t>
  </si>
  <si>
    <t>2021-12-20T11:53:37Z</t>
  </si>
  <si>
    <t>2021-12-20T01:41:21Z</t>
  </si>
  <si>
    <t>2021-12-24T06:14:15Z</t>
  </si>
  <si>
    <t>2021-12-18T12:29:05Z</t>
  </si>
  <si>
    <t>2021-12-23T11:07:58Z</t>
  </si>
  <si>
    <t>2021-12-24T21:17:33Z</t>
  </si>
  <si>
    <t>2021-12-22T11:20:43Z</t>
  </si>
  <si>
    <t>2021-12-23T23:55:29Z</t>
  </si>
  <si>
    <t>2021-12-22T17:14:06Z</t>
  </si>
  <si>
    <t>2021-12-15T17:48:27Z</t>
  </si>
  <si>
    <t>2021-12-16T17:30:10Z</t>
  </si>
  <si>
    <t>2021-12-20T14:43:53Z</t>
  </si>
  <si>
    <t>2021-12-20T15:44:49Z</t>
  </si>
  <si>
    <t>2021-12-14T13:42:01Z</t>
  </si>
  <si>
    <t>2021-12-20T14:55:04Z</t>
  </si>
  <si>
    <t>2021-12-23T15:18:16Z</t>
  </si>
  <si>
    <t>2021-12-22T02:26:36Z</t>
  </si>
  <si>
    <t>2021-12-20T20:12:40Z</t>
  </si>
  <si>
    <t>2021-12-19T13:36:45Z</t>
  </si>
  <si>
    <t>2021-12-15T17:48:41Z</t>
  </si>
  <si>
    <t>2021-12-22T23:57:12Z</t>
  </si>
  <si>
    <t>2021-12-20T12:15:53Z</t>
  </si>
  <si>
    <t>2021-12-23T15:51:22Z</t>
  </si>
  <si>
    <t>2021-12-23T20:41:08Z</t>
  </si>
  <si>
    <t>2021-12-21T14:37:41Z</t>
  </si>
  <si>
    <t>2021-12-20T20:12:54Z</t>
  </si>
  <si>
    <t>2021-12-19T12:51:04Z</t>
  </si>
  <si>
    <t>2021-12-15T23:40:46Z</t>
  </si>
  <si>
    <t>2021-12-13T03:12:11Z</t>
  </si>
  <si>
    <t>2021-12-19T12:51:08Z</t>
  </si>
  <si>
    <t>2021-12-15T17:48:54Z</t>
  </si>
  <si>
    <t>2021-12-22T08:31:35Z</t>
  </si>
  <si>
    <t>2021-12-20T10:51:21Z</t>
  </si>
  <si>
    <t>2021-12-18T15:58:26Z</t>
  </si>
  <si>
    <t>2021-12-16T23:58:24Z</t>
  </si>
  <si>
    <t>2021-12-22T16:17:33Z</t>
  </si>
  <si>
    <t>2021-12-24T01:43:56Z</t>
  </si>
  <si>
    <t>2021-12-23T21:36:30Z</t>
  </si>
  <si>
    <t>2021-12-23T15:09:27Z</t>
  </si>
  <si>
    <t>2021-12-23T05:58:52Z</t>
  </si>
  <si>
    <t>2021-12-19T12:51:20Z</t>
  </si>
  <si>
    <t>2021-12-23T15:51:46Z</t>
  </si>
  <si>
    <t>2021-12-19T17:50:30Z</t>
  </si>
  <si>
    <t>2021-12-19T13:37:13Z</t>
  </si>
  <si>
    <t>2021-12-22T11:21:04Z</t>
  </si>
  <si>
    <t>2021-12-24T15:38:21Z</t>
  </si>
  <si>
    <t>2021-12-20T18:32:12Z</t>
  </si>
  <si>
    <t>2021-12-20T18:32:37Z</t>
  </si>
  <si>
    <t>2021-12-20T18:33:03Z</t>
  </si>
  <si>
    <t>2021-12-20T18:33:23Z</t>
  </si>
  <si>
    <t>2021-12-20T18:33:42Z</t>
  </si>
  <si>
    <t>2021-12-20T18:34:05Z</t>
  </si>
  <si>
    <t>2021-12-20T18:34:31Z</t>
  </si>
  <si>
    <t>2021-12-20T18:34:58Z</t>
  </si>
  <si>
    <t>2021-12-20T18:35:17Z</t>
  </si>
  <si>
    <t>2021-12-20T18:35:36Z</t>
  </si>
  <si>
    <t>2021-12-20T18:35:58Z</t>
  </si>
  <si>
    <t>2021-12-20T18:36:16Z</t>
  </si>
  <si>
    <t>2021-12-15T01:58:00Z</t>
  </si>
  <si>
    <t>2021-12-18T03:19:17Z</t>
  </si>
  <si>
    <t>2021-12-20T20:13:22Z</t>
  </si>
  <si>
    <t>2021-12-19T20:48:11Z</t>
  </si>
  <si>
    <t>2021-12-19T13:37:25Z</t>
  </si>
  <si>
    <t>2021-12-13T06:27:37Z</t>
  </si>
  <si>
    <t>2021-12-18T15:58:41Z</t>
  </si>
  <si>
    <t>2021-12-24T20:10:18Z</t>
  </si>
  <si>
    <t>2021-12-23T15:09:38Z</t>
  </si>
  <si>
    <t>2021-12-11T20:46:46Z</t>
  </si>
  <si>
    <t>2021-12-22T19:09:58Z</t>
  </si>
  <si>
    <t>2021-12-20T12:16:57Z</t>
  </si>
  <si>
    <t>2021-12-20T20:13:31Z</t>
  </si>
  <si>
    <t>2021-12-23T15:52:17Z</t>
  </si>
  <si>
    <t>2021-12-24T18:02:51Z</t>
  </si>
  <si>
    <t>2021-12-23T19:19:22Z</t>
  </si>
  <si>
    <t>2021-12-13T06:28:10Z</t>
  </si>
  <si>
    <t>2021-12-23T15:52:21Z</t>
  </si>
  <si>
    <t>2021-12-17T18:23:17Z</t>
  </si>
  <si>
    <t>2021-12-20T12:17:14Z</t>
  </si>
  <si>
    <t>2021-12-20T20:13:39Z</t>
  </si>
  <si>
    <t>2021-12-23T04:44:08Z</t>
  </si>
  <si>
    <t>2021-12-13T06:28:35Z</t>
  </si>
  <si>
    <t>2021-12-19T12:52:08Z</t>
  </si>
  <si>
    <t>2021-12-22T14:23:16Z</t>
  </si>
  <si>
    <t>2021-12-23T04:01:29Z</t>
  </si>
  <si>
    <t>2021-12-20T20:13:47Z</t>
  </si>
  <si>
    <t>2021-12-23T18:11:32Z</t>
  </si>
  <si>
    <t>2021-12-22T01:19:24Z</t>
  </si>
  <si>
    <t>2021-12-18T07:15:10Z</t>
  </si>
  <si>
    <t>2021-12-19T13:07:40Z</t>
  </si>
  <si>
    <t>2021-12-14T18:08:59Z</t>
  </si>
  <si>
    <t>2021-12-13T18:41:27Z</t>
  </si>
  <si>
    <t>2021-12-14T10:31:01Z</t>
  </si>
  <si>
    <t>2021-12-18T07:15:29Z</t>
  </si>
  <si>
    <t>2021-12-23T15:52:45Z</t>
  </si>
  <si>
    <t>2021-12-22T08:55:57Z</t>
  </si>
  <si>
    <t>2021-12-14T07:56:45Z</t>
  </si>
  <si>
    <t>2021-12-22T03:20:18Z</t>
  </si>
  <si>
    <t>2021-12-24T09:42:38Z</t>
  </si>
  <si>
    <t>2021-12-18T07:15:45Z</t>
  </si>
  <si>
    <t>2021-12-22T08:56:08Z</t>
  </si>
  <si>
    <t>2021-12-19T02:54:58Z</t>
  </si>
  <si>
    <t>2021-12-20T16:04:12Z</t>
  </si>
  <si>
    <t>2021-12-20T09:42:57Z</t>
  </si>
  <si>
    <t>2021-12-18T18:15:10Z</t>
  </si>
  <si>
    <t>2021-12-16T02:28:02Z</t>
  </si>
  <si>
    <t>2021-12-23T18:12:44Z</t>
  </si>
  <si>
    <t>2021-12-24T15:39:31Z</t>
  </si>
  <si>
    <t>2021-12-13T18:41:50Z</t>
  </si>
  <si>
    <t>2021-12-19T15:23:24Z</t>
  </si>
  <si>
    <t>2021-12-13T23:32:30Z</t>
  </si>
  <si>
    <t>2021-12-23T15:43:18Z</t>
  </si>
  <si>
    <t>2021-12-23T15:58:26Z</t>
  </si>
  <si>
    <t>2021-12-14T07:56:23Z</t>
  </si>
  <si>
    <t>2021-12-24T15:39:42Z</t>
  </si>
  <si>
    <t>2021-12-14T15:53:36Z</t>
  </si>
  <si>
    <t>2021-12-24T05:36:45Z</t>
  </si>
  <si>
    <t>2021-12-13T18:21:20Z</t>
  </si>
  <si>
    <t>2021-12-24T05:36:54Z</t>
  </si>
  <si>
    <t>2021-12-21T17:46:05Z</t>
  </si>
  <si>
    <t>2021-12-21T00:41:07Z</t>
  </si>
  <si>
    <t>2021-12-14T07:57:19Z</t>
  </si>
  <si>
    <t>2021-12-15T07:45:42Z</t>
  </si>
  <si>
    <t>2021-12-20T11:14:50Z</t>
  </si>
  <si>
    <t>2021-12-13T06:29:50Z</t>
  </si>
  <si>
    <t>2021-12-23T15:52:57Z</t>
  </si>
  <si>
    <t>2021-12-20T14:57:20Z</t>
  </si>
  <si>
    <t>2021-12-22T08:56:46Z</t>
  </si>
  <si>
    <t>2021-12-23T16:04:51Z</t>
  </si>
  <si>
    <t>2021-12-24T20:03:41Z</t>
  </si>
  <si>
    <t>2021-12-19T12:53:02Z</t>
  </si>
  <si>
    <t>2021-12-20T13:15:47Z</t>
  </si>
  <si>
    <t>2021-12-23T15:02:24Z</t>
  </si>
  <si>
    <t>2021-12-23T03:07:55Z</t>
  </si>
  <si>
    <t>2021-12-21T01:43:31Z</t>
  </si>
  <si>
    <t>2021-12-18T01:59:02Z</t>
  </si>
  <si>
    <t>2021-12-20T13:26:20Z</t>
  </si>
  <si>
    <t>2021-12-20T13:14:19Z</t>
  </si>
  <si>
    <t>2021-12-23T14:55:31Z</t>
  </si>
  <si>
    <t>2021-12-22T18:54:19Z</t>
  </si>
  <si>
    <t>2021-12-19T12:53:16Z</t>
  </si>
  <si>
    <t>2021-12-14T15:49:37Z</t>
  </si>
  <si>
    <t>2021-12-12T10:01:37Z</t>
  </si>
  <si>
    <t>2021-12-23T15:53:21Z</t>
  </si>
  <si>
    <t>2021-12-24T06:12:48Z</t>
  </si>
  <si>
    <t>2021-12-13T23:51:39Z</t>
  </si>
  <si>
    <t>2021-12-18T03:23:00Z</t>
  </si>
  <si>
    <t>2021-12-24T08:17:03Z</t>
  </si>
  <si>
    <t>2021-12-18T12:14:45Z</t>
  </si>
  <si>
    <t>2021-12-22T08:57:17Z</t>
  </si>
  <si>
    <t>2021-12-13T06:30:45Z</t>
  </si>
  <si>
    <t>2021-12-18T01:59:58Z</t>
  </si>
  <si>
    <t>2021-12-21T05:30:30Z</t>
  </si>
  <si>
    <t>2021-12-18T02:00:16Z</t>
  </si>
  <si>
    <t>2021-12-19T13:15:58Z</t>
  </si>
  <si>
    <t>2021-12-16T19:51:12Z</t>
  </si>
  <si>
    <t>2021-12-19T12:53:41Z</t>
  </si>
  <si>
    <t>2021-12-19T04:19:34Z</t>
  </si>
  <si>
    <t>2021-12-18T21:32:28Z</t>
  </si>
  <si>
    <t>2021-12-24T15:40:30Z</t>
  </si>
  <si>
    <t>2021-12-20T06:53:48Z</t>
  </si>
  <si>
    <t>2021-12-12T18:45:38Z</t>
  </si>
  <si>
    <t>2021-12-20T13:26:14Z</t>
  </si>
  <si>
    <t>2021-12-23T15:38:25Z</t>
  </si>
  <si>
    <t>2021-12-24T21:15:33Z</t>
  </si>
  <si>
    <t>2021-12-19T12:53:56Z</t>
  </si>
  <si>
    <t>2021-12-23T14:52:28Z</t>
  </si>
  <si>
    <t>2021-12-21T01:38:00Z</t>
  </si>
  <si>
    <t>2021-12-17T18:22:21Z</t>
  </si>
  <si>
    <t>2021-12-16T07:00:25Z</t>
  </si>
  <si>
    <t>2021-12-18T15:25:43Z</t>
  </si>
  <si>
    <t>2021-12-18T12:16:25Z</t>
  </si>
  <si>
    <t>2021-12-20T22:06:25Z</t>
  </si>
  <si>
    <t>2021-12-24T21:18:05Z</t>
  </si>
  <si>
    <t>2021-12-19T12:43:59Z</t>
  </si>
  <si>
    <t>2021-12-20T10:57:43Z</t>
  </si>
  <si>
    <t>2021-12-23T20:43:24Z</t>
  </si>
  <si>
    <t>2021-12-24T20:12:57Z</t>
  </si>
  <si>
    <t>2021-12-19T12:54:07Z</t>
  </si>
  <si>
    <t>2021-12-20T19:48:23Z</t>
  </si>
  <si>
    <t>2021-12-22T08:58:45Z</t>
  </si>
  <si>
    <t>2021-12-20T09:42:24Z</t>
  </si>
  <si>
    <t>2021-12-16T19:51:48Z</t>
  </si>
  <si>
    <t>2021-12-14T17:23:43Z</t>
  </si>
  <si>
    <t>2021-12-16T02:30:51Z</t>
  </si>
  <si>
    <t>2021-12-19T13:39:37Z</t>
  </si>
  <si>
    <t>2021-12-24T06:14:03Z</t>
  </si>
  <si>
    <t>2021-12-24T15:41:09Z</t>
  </si>
  <si>
    <t>2021-12-23T16:36:03Z</t>
  </si>
  <si>
    <t>2021-12-19T13:39:43Z</t>
  </si>
  <si>
    <t>2021-12-23T14:09:49Z</t>
  </si>
  <si>
    <t>2021-12-23T15:18:34Z</t>
  </si>
  <si>
    <t>2021-12-23T19:45:10Z</t>
  </si>
  <si>
    <t>2021-12-23T09:58:49Z</t>
  </si>
  <si>
    <t>2021-12-23T18:14:25Z</t>
  </si>
  <si>
    <t>2021-12-22T16:07:03Z</t>
  </si>
  <si>
    <t>2021-12-19T12:54:31Z</t>
  </si>
  <si>
    <t>2021-12-21T17:05:19Z</t>
  </si>
  <si>
    <t>2021-12-13T18:22:18Z</t>
  </si>
  <si>
    <t>2021-12-24T15:41:22Z</t>
  </si>
  <si>
    <t>2021-12-11T20:31:48Z</t>
  </si>
  <si>
    <t>2021-12-18T19:14:51Z</t>
  </si>
  <si>
    <t>2021-12-18T07:18:20Z</t>
  </si>
  <si>
    <t>2021-12-16T19:52:13Z</t>
  </si>
  <si>
    <t>2021-12-13T23:35:38Z</t>
  </si>
  <si>
    <t>2021-12-24T15:41:30Z</t>
  </si>
  <si>
    <t>2021-12-19T13:39:55Z</t>
  </si>
  <si>
    <t>2021-12-23T09:59:02Z</t>
  </si>
  <si>
    <t>2021-12-13T15:35:56Z</t>
  </si>
  <si>
    <t>2021-12-19T12:54:39Z</t>
  </si>
  <si>
    <t>2021-12-23T02:53:05Z</t>
  </si>
  <si>
    <t>2021-12-13T08:39:41Z</t>
  </si>
  <si>
    <t>2021-12-22T14:26:23Z</t>
  </si>
  <si>
    <t>2021-12-22T23:02:41Z</t>
  </si>
  <si>
    <t>2021-12-19T13:40:00Z</t>
  </si>
  <si>
    <t>2021-12-22T01:28:02Z</t>
  </si>
  <si>
    <t>2021-12-22T23:20:31Z</t>
  </si>
  <si>
    <t>2021-12-21T09:52:24Z</t>
  </si>
  <si>
    <t>2021-12-15T04:12:11Z</t>
  </si>
  <si>
    <t>2021-12-19T12:54:48Z</t>
  </si>
  <si>
    <t>2021-12-11T20:32:08Z</t>
  </si>
  <si>
    <t>2021-12-13T03:46:52Z</t>
  </si>
  <si>
    <t>2021-12-19T13:40:07Z</t>
  </si>
  <si>
    <t>2021-12-24T15:41:51Z</t>
  </si>
  <si>
    <t>2021-12-18T19:09:59Z</t>
  </si>
  <si>
    <t>2021-12-23T09:59:35Z</t>
  </si>
  <si>
    <t>2021-12-12T11:56:43Z</t>
  </si>
  <si>
    <t>2021-12-24T17:28:39Z</t>
  </si>
  <si>
    <t>2021-12-23T09:59:52Z</t>
  </si>
  <si>
    <t>2021-12-22T11:54:05Z</t>
  </si>
  <si>
    <t>2021-12-22T16:13:56Z</t>
  </si>
  <si>
    <t>2021-12-20T14:59:36Z</t>
  </si>
  <si>
    <t>2021-12-23T15:04:43Z</t>
  </si>
  <si>
    <t>2021-12-13T03:47:13Z</t>
  </si>
  <si>
    <t>2021-12-16T00:50:22Z</t>
  </si>
  <si>
    <t>2021-12-18T10:26:58Z</t>
  </si>
  <si>
    <t>2021-12-18T19:10:09Z</t>
  </si>
  <si>
    <t>2021-12-24T01:16:39Z</t>
  </si>
  <si>
    <t>2021-12-23T10:00:10Z</t>
  </si>
  <si>
    <t>2021-12-22T15:09:04Z</t>
  </si>
  <si>
    <t>2021-12-24T21:17:55Z</t>
  </si>
  <si>
    <t>2021-12-20T14:43:06Z</t>
  </si>
  <si>
    <t>2021-12-18T14:19:29Z</t>
  </si>
  <si>
    <t>2021-12-19T19:06:16Z</t>
  </si>
  <si>
    <t>2021-12-19T19:02:07Z</t>
  </si>
  <si>
    <t>2021-12-19T18:56:47Z</t>
  </si>
  <si>
    <t>2021-12-11T20:32:22Z</t>
  </si>
  <si>
    <t>2021-12-21T19:17:59Z</t>
  </si>
  <si>
    <t>2021-12-23T15:05:05Z</t>
  </si>
  <si>
    <t>2021-12-23T03:11:53Z</t>
  </si>
  <si>
    <t>2021-12-24T06:13:22Z</t>
  </si>
  <si>
    <t>2021-12-19T18:52:56Z</t>
  </si>
  <si>
    <t>2021-12-12T23:54:40Z</t>
  </si>
  <si>
    <t>2021-12-20T22:43:00Z</t>
  </si>
  <si>
    <t>2021-12-19T19:30:56Z</t>
  </si>
  <si>
    <t>2021-12-23T19:45:45Z</t>
  </si>
  <si>
    <t>2021-12-11T20:32:29Z</t>
  </si>
  <si>
    <t>2021-12-20T13:18:54Z</t>
  </si>
  <si>
    <t>2021-12-19T13:17:24Z</t>
  </si>
  <si>
    <t>2021-12-23T19:27:18Z</t>
  </si>
  <si>
    <t>2021-12-19T12:55:22Z</t>
  </si>
  <si>
    <t>2021-12-22T16:19:46Z</t>
  </si>
  <si>
    <t>2021-12-16T02:33:02Z</t>
  </si>
  <si>
    <t>2021-12-23T10:00:27Z</t>
  </si>
  <si>
    <t>2021-12-19T19:02:01Z</t>
  </si>
  <si>
    <t>2021-12-21T09:18:27Z</t>
  </si>
  <si>
    <t>2021-12-18T16:01:23Z</t>
  </si>
  <si>
    <t>2021-12-12T10:03:31Z</t>
  </si>
  <si>
    <t>2021-12-23T15:05:17Z</t>
  </si>
  <si>
    <t>2021-12-21T17:48:12Z</t>
  </si>
  <si>
    <t>2021-12-13T08:00:14Z</t>
  </si>
  <si>
    <t>2021-12-22T00:43:05Z</t>
  </si>
  <si>
    <t>2021-12-11T20:32:42Z</t>
  </si>
  <si>
    <t>2021-12-23T17:28:19Z</t>
  </si>
  <si>
    <t>2021-12-20T18:03:44Z</t>
  </si>
  <si>
    <t>2021-12-19T19:06:38Z</t>
  </si>
  <si>
    <t>2021-12-19T18:54:38Z</t>
  </si>
  <si>
    <t>2021-12-19T19:01:54Z</t>
  </si>
  <si>
    <t>2021-12-19T18:55:35Z</t>
  </si>
  <si>
    <t>2021-12-16T19:53:15Z</t>
  </si>
  <si>
    <t>2021-12-19T13:40:44Z</t>
  </si>
  <si>
    <t>2021-12-18T15:45:42Z</t>
  </si>
  <si>
    <t>2021-12-20T13:19:43Z</t>
  </si>
  <si>
    <t>2021-12-19T12:56:03Z</t>
  </si>
  <si>
    <t>2021-12-18T18:15:02Z</t>
  </si>
  <si>
    <t>2021-12-23T15:05:38Z</t>
  </si>
  <si>
    <t>2021-12-15T12:30:33Z</t>
  </si>
  <si>
    <t>2021-12-16T14:12:01Z</t>
  </si>
  <si>
    <t>2021-12-19T18:02:41Z</t>
  </si>
  <si>
    <t>2021-12-20T04:09:44Z</t>
  </si>
  <si>
    <t>2021-12-23T18:15:34Z</t>
  </si>
  <si>
    <t>2021-12-13T14:45:11Z</t>
  </si>
  <si>
    <t>2021-12-23T16:17:15Z</t>
  </si>
  <si>
    <t>2021-12-16T19:53:31Z</t>
  </si>
  <si>
    <t>2021-12-24T08:21:55Z</t>
  </si>
  <si>
    <t>2021-12-16T02:34:18Z</t>
  </si>
  <si>
    <t>2021-12-15T05:40:15Z</t>
  </si>
  <si>
    <t>2021-12-18T19:10:50Z</t>
  </si>
  <si>
    <t>2021-12-15T04:14:07Z</t>
  </si>
  <si>
    <t>2021-12-24T21:13:31Z</t>
  </si>
  <si>
    <t>2021-12-21T17:48:50Z</t>
  </si>
  <si>
    <t>2021-12-13T08:01:27Z</t>
  </si>
  <si>
    <t>2021-12-20T19:45:23Z</t>
  </si>
  <si>
    <t>2021-12-22T07:53:29Z</t>
  </si>
  <si>
    <t>2021-12-19T13:41:05Z</t>
  </si>
  <si>
    <t>2021-12-22T16:54:22Z</t>
  </si>
  <si>
    <t>2021-12-17T12:58:43Z</t>
  </si>
  <si>
    <t>2021-12-17T17:40:33Z</t>
  </si>
  <si>
    <t>2021-12-20T04:10:14Z</t>
  </si>
  <si>
    <t>2021-12-18T23:10:53Z</t>
  </si>
  <si>
    <t>2021-12-14T18:50:03Z</t>
  </si>
  <si>
    <t>2021-12-23T16:18:32Z</t>
  </si>
  <si>
    <t>2021-12-14T23:23:40Z</t>
  </si>
  <si>
    <t>2021-12-19T13:00:05Z</t>
  </si>
  <si>
    <t>2021-12-19T16:11:04Z</t>
  </si>
  <si>
    <t>2021-12-16T14:12:35Z</t>
  </si>
  <si>
    <t>2021-12-18T17:52:26Z</t>
  </si>
  <si>
    <t>2021-12-24T05:49:16Z</t>
  </si>
  <si>
    <t>2021-12-24T06:15:25Z</t>
  </si>
  <si>
    <t>2021-12-16T02:35:01Z</t>
  </si>
  <si>
    <t>2021-12-22T15:08:57Z</t>
  </si>
  <si>
    <t>2021-12-23T15:56:01Z</t>
  </si>
  <si>
    <t>2021-12-20T01:37:07Z</t>
  </si>
  <si>
    <t>2021-12-20T04:10:33Z</t>
  </si>
  <si>
    <t>2021-12-18T19:11:05Z</t>
  </si>
  <si>
    <t>2021-12-22T16:20:45Z</t>
  </si>
  <si>
    <t>2021-12-19T21:35:50Z</t>
  </si>
  <si>
    <t>2021-12-18T10:28:40Z</t>
  </si>
  <si>
    <t>2021-12-19T20:13:17Z</t>
  </si>
  <si>
    <t>2021-12-21T14:14:33Z</t>
  </si>
  <si>
    <t>2021-12-16T02:35:14Z</t>
  </si>
  <si>
    <t>2021-12-23T03:50:56Z</t>
  </si>
  <si>
    <t>2021-12-19T12:56:47Z</t>
  </si>
  <si>
    <t>2021-12-16T02:34:31Z</t>
  </si>
  <si>
    <t>2021-12-17T22:28:43Z</t>
  </si>
  <si>
    <t>2021-12-11T20:33:23Z</t>
  </si>
  <si>
    <t>2021-12-24T06:15:58Z</t>
  </si>
  <si>
    <t>2021-12-20T04:10:54Z</t>
  </si>
  <si>
    <t>2021-12-12T10:04:48Z</t>
  </si>
  <si>
    <t>2021-12-24T17:01:47Z</t>
  </si>
  <si>
    <t>2021-12-23T03:17:01Z</t>
  </si>
  <si>
    <t>2021-12-23T17:29:32Z</t>
  </si>
  <si>
    <t>2021-12-16T02:35:28Z</t>
  </si>
  <si>
    <t>2021-12-14T23:55:45Z</t>
  </si>
  <si>
    <t>2021-12-18T10:28:54Z</t>
  </si>
  <si>
    <t>2021-12-15T17:04:15Z</t>
  </si>
  <si>
    <t>2021-12-11T22:00:04Z</t>
  </si>
  <si>
    <t>2021-12-20T13:22:47Z</t>
  </si>
  <si>
    <t>2021-12-20T01:37:38Z</t>
  </si>
  <si>
    <t>2021-12-20T14:49:33Z</t>
  </si>
  <si>
    <t>2021-12-19T12:57:06Z</t>
  </si>
  <si>
    <t>2021-12-18T10:29:00Z</t>
  </si>
  <si>
    <t>2021-12-23T15:06:44Z</t>
  </si>
  <si>
    <t>2021-12-24T16:58:52Z</t>
  </si>
  <si>
    <t>2021-12-21T20:05:52Z</t>
  </si>
  <si>
    <t>2021-12-19T10:00:08Z</t>
  </si>
  <si>
    <t>2021-12-12T04:59:28Z</t>
  </si>
  <si>
    <t>2021-12-13T23:49:10Z</t>
  </si>
  <si>
    <t>2021-12-24T17:31:13Z</t>
  </si>
  <si>
    <t>2021-12-14T18:13:31Z</t>
  </si>
  <si>
    <t>2021-12-23T15:56:35Z</t>
  </si>
  <si>
    <t>2021-12-14T18:13:33Z</t>
  </si>
  <si>
    <t>2021-12-19T13:41:55Z</t>
  </si>
  <si>
    <t>2021-12-15T20:23:42Z</t>
  </si>
  <si>
    <t>2021-12-19T22:42:46Z</t>
  </si>
  <si>
    <t>2021-12-16T02:36:11Z</t>
  </si>
  <si>
    <t>2021-12-20T13:21:14Z</t>
  </si>
  <si>
    <t>2021-12-24T11:23:36Z</t>
  </si>
  <si>
    <t>2021-12-17T21:04:25Z</t>
  </si>
  <si>
    <t>2021-12-14T21:53:06Z</t>
  </si>
  <si>
    <t>2021-12-20T01:38:16Z</t>
  </si>
  <si>
    <t>2021-12-20T09:42:45Z</t>
  </si>
  <si>
    <t>2021-12-24T06:16:14Z</t>
  </si>
  <si>
    <t>2021-12-23T17:30:03Z</t>
  </si>
  <si>
    <t>2021-12-21T01:41:15Z</t>
  </si>
  <si>
    <t>2021-12-22T15:09:28Z</t>
  </si>
  <si>
    <t>2021-12-20T15:01:36Z</t>
  </si>
  <si>
    <t>2021-12-17T23:40:26Z</t>
  </si>
  <si>
    <t>2021-12-21T23:35:18Z</t>
  </si>
  <si>
    <t>2021-12-21T21:09:54Z</t>
  </si>
  <si>
    <t>2021-12-22T03:12:04Z</t>
  </si>
  <si>
    <t>2021-12-15T05:42:49Z</t>
  </si>
  <si>
    <t>2021-12-19T17:00:44Z</t>
  </si>
  <si>
    <t>2021-12-18T16:40:13Z</t>
  </si>
  <si>
    <t>2021-12-18T01:28:22Z</t>
  </si>
  <si>
    <t>2021-12-23T19:28:30Z</t>
  </si>
  <si>
    <t>2021-12-20T23:28:39Z</t>
  </si>
  <si>
    <t>2021-12-24T06:15:35Z</t>
  </si>
  <si>
    <t>2021-12-19T17:00:51Z</t>
  </si>
  <si>
    <t>2021-12-15T16:28:00Z</t>
  </si>
  <si>
    <t>2021-12-23T11:29:42Z</t>
  </si>
  <si>
    <t>2021-12-13T23:39:48Z</t>
  </si>
  <si>
    <t>2021-12-22T03:26:36Z</t>
  </si>
  <si>
    <t>2021-12-20T12:23:02Z</t>
  </si>
  <si>
    <t>2021-12-20T09:42:35Z</t>
  </si>
  <si>
    <t>2021-12-19T17:01:02Z</t>
  </si>
  <si>
    <t>2021-12-23T17:30:18Z</t>
  </si>
  <si>
    <t>2021-12-18T14:00:51Z</t>
  </si>
  <si>
    <t>2021-12-16T02:37:16Z</t>
  </si>
  <si>
    <t>2021-12-24T08:24:21Z</t>
  </si>
  <si>
    <t>2021-12-17T18:30:16Z</t>
  </si>
  <si>
    <t>2021-12-11T20:34:08Z</t>
  </si>
  <si>
    <t>2021-12-21T14:52:20Z</t>
  </si>
  <si>
    <t>2021-12-22T07:44:27Z</t>
  </si>
  <si>
    <t>2021-12-20T15:01:58Z</t>
  </si>
  <si>
    <t>2021-12-23T16:50:39Z</t>
  </si>
  <si>
    <t>2021-12-19T12:57:50Z</t>
  </si>
  <si>
    <t>2021-12-16T02:37:34Z</t>
  </si>
  <si>
    <t>2021-12-14T18:50:16Z</t>
  </si>
  <si>
    <t>2021-12-11T22:01:12Z</t>
  </si>
  <si>
    <t>2021-12-22T02:48:22Z</t>
  </si>
  <si>
    <t>2021-12-24T06:17:11Z</t>
  </si>
  <si>
    <t>2021-12-24T06:17:45Z</t>
  </si>
  <si>
    <t>2021-12-24T17:32:20Z</t>
  </si>
  <si>
    <t>2021-12-16T02:37:46Z</t>
  </si>
  <si>
    <t>2021-12-19T18:56:39Z</t>
  </si>
  <si>
    <t>2021-12-19T18:45:13Z</t>
  </si>
  <si>
    <t>2021-12-19T18:43:47Z</t>
  </si>
  <si>
    <t>2021-12-19T19:00:56Z</t>
  </si>
  <si>
    <t>2021-12-18T15:44:56Z</t>
  </si>
  <si>
    <t>2021-12-16T02:28:32Z</t>
  </si>
  <si>
    <t>2021-12-24T01:34:43Z</t>
  </si>
  <si>
    <t>2021-12-18T10:30:05Z</t>
  </si>
  <si>
    <t>2021-12-18T18:15:50Z</t>
  </si>
  <si>
    <t>2021-12-18T16:17:40Z</t>
  </si>
  <si>
    <t>2021-12-11T20:34:31Z</t>
  </si>
  <si>
    <t>2021-12-20T12:23:43Z</t>
  </si>
  <si>
    <t>2021-12-20T14:56:43Z</t>
  </si>
  <si>
    <t>2021-12-22T08:55:47Z</t>
  </si>
  <si>
    <t>2021-12-24T01:35:03Z</t>
  </si>
  <si>
    <t>2021-12-13T06:28:57Z</t>
  </si>
  <si>
    <t>2021-12-24T17:32:45Z</t>
  </si>
  <si>
    <t>2021-12-18T17:17:16Z</t>
  </si>
  <si>
    <t>2021-12-22T03:27:37Z</t>
  </si>
  <si>
    <t>2021-12-13T16:11:48Z</t>
  </si>
  <si>
    <t>2021-12-19T12:58:12Z</t>
  </si>
  <si>
    <t>2021-12-22T16:56:33Z</t>
  </si>
  <si>
    <t>2021-12-16T02:39:03Z</t>
  </si>
  <si>
    <t>2021-12-13T08:06:01Z</t>
  </si>
  <si>
    <t>2021-12-18T10:30:29Z</t>
  </si>
  <si>
    <t>2021-12-19T19:06:44Z</t>
  </si>
  <si>
    <t>2021-12-22T07:45:29Z</t>
  </si>
  <si>
    <t>2021-12-19T18:58:43Z</t>
  </si>
  <si>
    <t>2021-12-19T19:03:32Z</t>
  </si>
  <si>
    <t>2021-12-23T03:19:33Z</t>
  </si>
  <si>
    <t>2021-12-16T02:39:15Z</t>
  </si>
  <si>
    <t>2021-12-24T05:30:59Z</t>
  </si>
  <si>
    <t>2021-12-22T03:28:10Z</t>
  </si>
  <si>
    <t>2021-12-20T19:35:07Z</t>
  </si>
  <si>
    <t>2021-12-22T02:41:01Z</t>
  </si>
  <si>
    <t>2021-12-24T16:03:09Z</t>
  </si>
  <si>
    <t>2021-12-13T08:06:24Z</t>
  </si>
  <si>
    <t>2021-12-19T04:11:28Z</t>
  </si>
  <si>
    <t>2021-12-19T12:58:31Z</t>
  </si>
  <si>
    <t>2021-12-23T15:58:00Z</t>
  </si>
  <si>
    <t>2021-12-13T05:06:20Z</t>
  </si>
  <si>
    <t>2021-12-23T22:48:33Z</t>
  </si>
  <si>
    <t>2021-12-23T23:55:14Z</t>
  </si>
  <si>
    <t>2021-12-22T02:26:04Z</t>
  </si>
  <si>
    <t>2021-12-14T21:10:42Z</t>
  </si>
  <si>
    <t>2021-12-24T10:18:05Z</t>
  </si>
  <si>
    <t>2021-12-20T18:06:08Z</t>
  </si>
  <si>
    <t>2021-12-24T19:22:59Z</t>
  </si>
  <si>
    <t>2021-12-18T07:36:27Z</t>
  </si>
  <si>
    <t>2021-12-18T16:28:44Z</t>
  </si>
  <si>
    <t>2021-12-13T01:12:06Z</t>
  </si>
  <si>
    <t>2021-12-24T06:11:34Z</t>
  </si>
  <si>
    <t>2021-12-24T19:23:10Z</t>
  </si>
  <si>
    <t>2021-12-21T21:09:14Z</t>
  </si>
  <si>
    <t>2021-12-16T10:54:35Z</t>
  </si>
  <si>
    <t>2021-12-24T09:40:44Z</t>
  </si>
  <si>
    <t>2021-12-12T19:27:10Z</t>
  </si>
  <si>
    <t>2021-12-23T18:40:06Z</t>
  </si>
  <si>
    <t>2021-12-21T08:00:20Z</t>
  </si>
  <si>
    <t>2021-12-19T04:11:57Z</t>
  </si>
  <si>
    <t>2021-12-13T23:50:26Z</t>
  </si>
  <si>
    <t>2021-12-24T01:36:38Z</t>
  </si>
  <si>
    <t>2021-12-22T05:26:55Z</t>
  </si>
  <si>
    <t>2021-12-13T23:42:24Z</t>
  </si>
  <si>
    <t>2021-12-19T11:22:26Z</t>
  </si>
  <si>
    <t>2021-12-13T01:12:33Z</t>
  </si>
  <si>
    <t>2021-12-18T15:46:43Z</t>
  </si>
  <si>
    <t>2021-12-19T12:44:41Z</t>
  </si>
  <si>
    <t>2021-12-20T04:15:06Z</t>
  </si>
  <si>
    <t>2021-12-23T16:03:21Z</t>
  </si>
  <si>
    <t>2021-12-20T12:25:22Z</t>
  </si>
  <si>
    <t>2021-12-23T17:31:40Z</t>
  </si>
  <si>
    <t>2021-12-22T02:15:42Z</t>
  </si>
  <si>
    <t>2021-12-23T03:20:45Z</t>
  </si>
  <si>
    <t>2021-12-22T17:12:41Z</t>
  </si>
  <si>
    <t>2021-12-13T02:31:04Z</t>
  </si>
  <si>
    <t>2021-12-12T12:01:13Z</t>
  </si>
  <si>
    <t>2021-12-18T20:24:02Z</t>
  </si>
  <si>
    <t>2021-12-24T10:18:58Z</t>
  </si>
  <si>
    <t>2021-12-12T19:27:28Z</t>
  </si>
  <si>
    <t>2021-12-13T23:43:04Z</t>
  </si>
  <si>
    <t>2021-12-20T04:15:32Z</t>
  </si>
  <si>
    <t>2021-12-20T09:43:11Z</t>
  </si>
  <si>
    <t>2021-12-18T20:08:07Z</t>
  </si>
  <si>
    <t>2021-12-23T16:37:44Z</t>
  </si>
  <si>
    <t>2021-12-24T06:15:46Z</t>
  </si>
  <si>
    <t>2021-12-13T08:08:01Z</t>
  </si>
  <si>
    <t>2021-12-24T06:20:31Z</t>
  </si>
  <si>
    <t>2021-12-18T14:44:30Z</t>
  </si>
  <si>
    <t>2021-12-13T23:43:18Z</t>
  </si>
  <si>
    <t>2021-12-15T00:07:55Z</t>
  </si>
  <si>
    <t>2021-12-14T22:45:38Z</t>
  </si>
  <si>
    <t>2021-12-20T15:53:29Z</t>
  </si>
  <si>
    <t>2021-12-20T11:52:45Z</t>
  </si>
  <si>
    <t>2021-12-18T15:25:34Z</t>
  </si>
  <si>
    <t>2021-12-23T23:20:56Z</t>
  </si>
  <si>
    <t>2021-12-19T14:46:23Z</t>
  </si>
  <si>
    <t>2021-12-20T01:41:50Z</t>
  </si>
  <si>
    <t>2021-12-23T17:32:02Z</t>
  </si>
  <si>
    <t>2021-12-19T13:44:23Z</t>
  </si>
  <si>
    <t>2021-12-20T04:15:56Z</t>
  </si>
  <si>
    <t>2021-12-14T22:01:28Z</t>
  </si>
  <si>
    <t>2021-12-24T20:37:59Z</t>
  </si>
  <si>
    <t>2021-12-23T21:24:09Z</t>
  </si>
  <si>
    <t>2021-12-23T18:19:04Z</t>
  </si>
  <si>
    <t>2021-12-20T01:42:09Z</t>
  </si>
  <si>
    <t>2021-12-11T20:35:59Z</t>
  </si>
  <si>
    <t>2021-12-19T12:59:43Z</t>
  </si>
  <si>
    <t>2021-12-19T13:09:05Z</t>
  </si>
  <si>
    <t>2021-12-22T16:23:57Z</t>
  </si>
  <si>
    <t>2021-12-16T21:41:06Z</t>
  </si>
  <si>
    <t>2021-12-22T22:22:55Z</t>
  </si>
  <si>
    <t>2021-12-19T12:59:55Z</t>
  </si>
  <si>
    <t>2021-12-13T18:25:24Z</t>
  </si>
  <si>
    <t>2021-12-20T01:42:35Z</t>
  </si>
  <si>
    <t>2021-12-18T20:24:30Z</t>
  </si>
  <si>
    <t>2021-12-13T18:25:53Z</t>
  </si>
  <si>
    <t>2021-12-22T16:11:09Z</t>
  </si>
  <si>
    <t>2021-12-24T05:49:00Z</t>
  </si>
  <si>
    <t>2021-12-20T13:18:15Z</t>
  </si>
  <si>
    <t>2021-12-13T08:09:11Z</t>
  </si>
  <si>
    <t>2021-12-21T14:54:58Z</t>
  </si>
  <si>
    <t>2021-12-19T19:42:16Z</t>
  </si>
  <si>
    <t>2021-12-19T15:43:53Z</t>
  </si>
  <si>
    <t>2021-12-23T15:59:20Z</t>
  </si>
  <si>
    <t>2021-12-22T02:33:09Z</t>
  </si>
  <si>
    <t>2021-12-13T23:48:54Z</t>
  </si>
  <si>
    <t>2021-12-23T03:22:57Z</t>
  </si>
  <si>
    <t>2021-12-13T23:44:36Z</t>
  </si>
  <si>
    <t>2021-12-12T15:36:20Z</t>
  </si>
  <si>
    <t>2021-12-19T10:23:00Z</t>
  </si>
  <si>
    <t>2021-12-23T15:03:02Z</t>
  </si>
  <si>
    <t>2021-12-21T17:48:40Z</t>
  </si>
  <si>
    <t>2021-12-23T18:13:31Z</t>
  </si>
  <si>
    <t>2021-12-22T02:41:36Z</t>
  </si>
  <si>
    <t>2021-12-22T08:36:02Z</t>
  </si>
  <si>
    <t>2021-12-20T00:28:36Z</t>
  </si>
  <si>
    <t>2021-12-21T01:42:31Z</t>
  </si>
  <si>
    <t>2021-12-20T01:43:37Z</t>
  </si>
  <si>
    <t>2021-12-20T11:49:50Z</t>
  </si>
  <si>
    <t>2021-12-19T18:31:43Z</t>
  </si>
  <si>
    <t>2021-12-19T13:00:27Z</t>
  </si>
  <si>
    <t>2021-12-13T08:10:00Z</t>
  </si>
  <si>
    <t>2021-12-20T04:18:02Z</t>
  </si>
  <si>
    <t>2021-12-17T13:03:55Z</t>
  </si>
  <si>
    <t>2021-12-22T08:56:33Z</t>
  </si>
  <si>
    <t>2021-12-19T13:00:33Z</t>
  </si>
  <si>
    <t>2021-12-18T02:11:01Z</t>
  </si>
  <si>
    <t>2021-12-23T17:33:07Z</t>
  </si>
  <si>
    <t>2021-12-19T18:55:46Z</t>
  </si>
  <si>
    <t>2021-12-23T15:02:07Z</t>
  </si>
  <si>
    <t>2021-12-22T20:47:34Z</t>
  </si>
  <si>
    <t>2021-12-16T14:17:37Z</t>
  </si>
  <si>
    <t>2021-12-20T04:18:42Z</t>
  </si>
  <si>
    <t>2021-12-19T10:23:35Z</t>
  </si>
  <si>
    <t>2021-12-23T15:59:56Z</t>
  </si>
  <si>
    <t>2021-12-19T17:03:46Z</t>
  </si>
  <si>
    <t>2021-12-22T14:23:59Z</t>
  </si>
  <si>
    <t>2021-12-23T16:00:05Z</t>
  </si>
  <si>
    <t>2021-12-21T10:39:16Z</t>
  </si>
  <si>
    <t>2021-12-16T04:04:19Z</t>
  </si>
  <si>
    <t>2021-12-23T16:04:30Z</t>
  </si>
  <si>
    <t>2021-12-21T10:39:32Z</t>
  </si>
  <si>
    <t>2021-12-22T16:14:17Z</t>
  </si>
  <si>
    <t>2021-12-24T11:17:59Z</t>
  </si>
  <si>
    <t>2021-12-13T23:45:34Z</t>
  </si>
  <si>
    <t>2021-12-15T02:37:23Z</t>
  </si>
  <si>
    <t>2021-12-19T11:25:25Z</t>
  </si>
  <si>
    <t>2021-12-18T20:25:27Z</t>
  </si>
  <si>
    <t>2021-12-19T13:01:06Z</t>
  </si>
  <si>
    <t>2021-12-22T02:26:31Z</t>
  </si>
  <si>
    <t>2021-12-21T10:21:31Z</t>
  </si>
  <si>
    <t>2021-12-22T21:31:51Z</t>
  </si>
  <si>
    <t>2021-12-19T18:01:50Z</t>
  </si>
  <si>
    <t>2021-12-18T17:57:07Z</t>
  </si>
  <si>
    <t>2021-12-19T18:55:40Z</t>
  </si>
  <si>
    <t>2021-12-19T18:47:08Z</t>
  </si>
  <si>
    <t>2021-12-19T18:47:17Z</t>
  </si>
  <si>
    <t>2021-12-23T12:14:09Z</t>
  </si>
  <si>
    <t>2021-12-15T21:01:24Z</t>
  </si>
  <si>
    <t>2021-12-20T14:51:04Z</t>
  </si>
  <si>
    <t>2021-12-24T18:49:10Z</t>
  </si>
  <si>
    <t>2021-12-23T03:54:26Z</t>
  </si>
  <si>
    <t>2021-12-19T14:25:00Z</t>
  </si>
  <si>
    <t>2021-12-23T15:53:03Z</t>
  </si>
  <si>
    <t>2021-12-23T18:13:06Z</t>
  </si>
  <si>
    <t>2021-12-24T21:20:30Z</t>
  </si>
  <si>
    <t>2021-12-19T17:04:27Z</t>
  </si>
  <si>
    <t>2021-12-22T02:17:18Z</t>
  </si>
  <si>
    <t>2021-12-19T20:17:50Z</t>
  </si>
  <si>
    <t>2021-12-13T08:11:52Z</t>
  </si>
  <si>
    <t>2021-12-13T18:08:55Z</t>
  </si>
  <si>
    <t>2021-12-21T08:06:15Z</t>
  </si>
  <si>
    <t>2021-12-20T22:44:23Z</t>
  </si>
  <si>
    <t>2021-12-22T05:27:56Z</t>
  </si>
  <si>
    <t>2021-12-19T13:31:29Z</t>
  </si>
  <si>
    <t>2021-12-23T15:12:11Z</t>
  </si>
  <si>
    <t>2021-12-18T06:17:35Z</t>
  </si>
  <si>
    <t>2021-12-20T19:57:50Z</t>
  </si>
  <si>
    <t>2021-12-24T21:11:22Z</t>
  </si>
  <si>
    <t>2021-12-12T10:10:47Z</t>
  </si>
  <si>
    <t>2021-12-23T15:12:33Z</t>
  </si>
  <si>
    <t>2021-12-24T10:49:34Z</t>
  </si>
  <si>
    <t>2021-12-13T21:46:31Z</t>
  </si>
  <si>
    <t>2021-12-19T09:34:42Z</t>
  </si>
  <si>
    <t>2021-12-22T21:33:56Z</t>
  </si>
  <si>
    <t>2021-12-18T22:19:42Z</t>
  </si>
  <si>
    <t>2021-12-20T15:06:30Z</t>
  </si>
  <si>
    <t>2021-12-15T03:00:46Z</t>
  </si>
  <si>
    <t>2021-12-19T17:04:45Z</t>
  </si>
  <si>
    <t>2021-12-23T15:12:23Z</t>
  </si>
  <si>
    <t>2021-12-11T20:37:59Z</t>
  </si>
  <si>
    <t>2021-12-23T17:33:25Z</t>
  </si>
  <si>
    <t>2021-12-22T16:15:18Z</t>
  </si>
  <si>
    <t>2021-12-24T15:49:30Z</t>
  </si>
  <si>
    <t>2021-12-21T14:50:00Z</t>
  </si>
  <si>
    <t>2021-12-24T21:12:21Z</t>
  </si>
  <si>
    <t>2021-12-19T20:14:44Z</t>
  </si>
  <si>
    <t>2021-12-22T07:38:34Z</t>
  </si>
  <si>
    <t>2021-12-18T14:43:31Z</t>
  </si>
  <si>
    <t>2021-12-13T08:12:47Z</t>
  </si>
  <si>
    <t>2021-12-20T04:48:11Z</t>
  </si>
  <si>
    <t>2021-12-19T05:12:17Z</t>
  </si>
  <si>
    <t>2021-12-24T15:49:41Z</t>
  </si>
  <si>
    <t>2021-12-19T06:34:09Z</t>
  </si>
  <si>
    <t>2021-12-23T08:21:56Z</t>
  </si>
  <si>
    <t>2021-12-21T21:09:36Z</t>
  </si>
  <si>
    <t>2021-12-22T21:34:10Z</t>
  </si>
  <si>
    <t>2021-12-14T22:41:44Z</t>
  </si>
  <si>
    <t>2021-12-23T16:01:20Z</t>
  </si>
  <si>
    <t>2021-12-24T10:50:15Z</t>
  </si>
  <si>
    <t>2021-12-20T13:26:04Z</t>
  </si>
  <si>
    <t>2021-12-22T11:49:36Z</t>
  </si>
  <si>
    <t>2021-12-22T10:22:42Z</t>
  </si>
  <si>
    <t>2021-12-15T03:01:42Z</t>
  </si>
  <si>
    <t>2021-12-20T13:16:08Z</t>
  </si>
  <si>
    <t>2021-12-19T09:35:33Z</t>
  </si>
  <si>
    <t>2021-12-22T07:13:59Z</t>
  </si>
  <si>
    <t>2021-12-15T04:23:50Z</t>
  </si>
  <si>
    <t>2021-12-20T15:07:13Z</t>
  </si>
  <si>
    <t>2021-12-24T00:42:17Z</t>
  </si>
  <si>
    <t>2021-12-19T17:05:16Z</t>
  </si>
  <si>
    <t>2021-12-21T14:50:28Z</t>
  </si>
  <si>
    <t>2021-12-22T23:33:41Z</t>
  </si>
  <si>
    <t>2021-12-24T05:23:28Z</t>
  </si>
  <si>
    <t>2021-12-21T21:28:55Z</t>
  </si>
  <si>
    <t>2021-12-19T06:34:53Z</t>
  </si>
  <si>
    <t>2021-12-24T13:22:07Z</t>
  </si>
  <si>
    <t>2021-12-21T14:01:39Z</t>
  </si>
  <si>
    <t>2021-12-24T15:50:20Z</t>
  </si>
  <si>
    <t>2021-12-12T19:15:33Z</t>
  </si>
  <si>
    <t>2021-12-24T21:21:42Z</t>
  </si>
  <si>
    <t>2021-12-18T22:20:32Z</t>
  </si>
  <si>
    <t>2021-12-23T15:13:11Z</t>
  </si>
  <si>
    <t>2021-12-23T16:15:38Z</t>
  </si>
  <si>
    <t>2021-12-20T04:22:28Z</t>
  </si>
  <si>
    <t>2021-12-18T04:59:44Z</t>
  </si>
  <si>
    <t>2021-12-23T15:13:16Z</t>
  </si>
  <si>
    <t>2021-12-19T06:35:17Z</t>
  </si>
  <si>
    <t>2021-12-18T22:20:48Z</t>
  </si>
  <si>
    <t>2021-12-24T15:50:40Z</t>
  </si>
  <si>
    <t>2021-12-17T19:39:47Z</t>
  </si>
  <si>
    <t>2021-12-21T14:51:06Z</t>
  </si>
  <si>
    <t>2021-12-19T02:01:44Z</t>
  </si>
  <si>
    <t>2021-12-11T20:38:52Z</t>
  </si>
  <si>
    <t>2021-12-16T23:27:06Z</t>
  </si>
  <si>
    <t>2021-12-20T04:22:59Z</t>
  </si>
  <si>
    <t>2021-12-22T04:35:22Z</t>
  </si>
  <si>
    <t>2021-12-22T20:41:40Z</t>
  </si>
  <si>
    <t>2021-12-24T16:45:34Z</t>
  </si>
  <si>
    <t>2021-12-23T17:35:19Z</t>
  </si>
  <si>
    <t>2021-12-15T00:13:10Z</t>
  </si>
  <si>
    <t>2021-12-23T03:28:53Z</t>
  </si>
  <si>
    <t>2021-12-24T06:16:48Z</t>
  </si>
  <si>
    <t>2021-12-13T08:14:24Z</t>
  </si>
  <si>
    <t>2021-12-22T02:42:54Z</t>
  </si>
  <si>
    <t>2021-12-23T16:02:25Z</t>
  </si>
  <si>
    <t>2021-12-24T15:50:58Z</t>
  </si>
  <si>
    <t>2021-12-16T18:37:56Z</t>
  </si>
  <si>
    <t>2021-12-19T04:19:03Z</t>
  </si>
  <si>
    <t>2021-12-20T04:23:22Z</t>
  </si>
  <si>
    <t>2021-12-17T01:47:46Z</t>
  </si>
  <si>
    <t>2021-12-15T00:13:29Z</t>
  </si>
  <si>
    <t>2021-12-24T21:22:13Z</t>
  </si>
  <si>
    <t>2021-12-21T14:51:37Z</t>
  </si>
  <si>
    <t>2021-12-22T18:28:19Z</t>
  </si>
  <si>
    <t>2021-12-24T15:15:44Z</t>
  </si>
  <si>
    <t>2021-12-19T00:56:07Z</t>
  </si>
  <si>
    <t>2021-12-21T17:40:51Z</t>
  </si>
  <si>
    <t>2021-12-18T17:21:01Z</t>
  </si>
  <si>
    <t>2021-12-21T14:51:48Z</t>
  </si>
  <si>
    <t>2021-12-23T12:35:45Z</t>
  </si>
  <si>
    <t>2021-12-19T18:02:20Z</t>
  </si>
  <si>
    <t>2021-12-17T18:08:42Z</t>
  </si>
  <si>
    <t>2021-12-21T22:43:00Z</t>
  </si>
  <si>
    <t>2021-12-24T21:14:03Z</t>
  </si>
  <si>
    <t>2021-12-19T17:49:41Z</t>
  </si>
  <si>
    <t>2021-12-12T22:16:34Z</t>
  </si>
  <si>
    <t>2021-12-21T13:52:24Z</t>
  </si>
  <si>
    <t>2021-12-12T15:56:29Z</t>
  </si>
  <si>
    <t>2021-12-20T15:08:37Z</t>
  </si>
  <si>
    <t>2021-12-11T20:39:30Z</t>
  </si>
  <si>
    <t>2021-12-14T22:36:23Z</t>
  </si>
  <si>
    <t>2021-12-23T20:39:22Z</t>
  </si>
  <si>
    <t>2021-12-24T14:49:48Z</t>
  </si>
  <si>
    <t>2021-12-20T19:48:31Z</t>
  </si>
  <si>
    <t>2021-12-19T13:01:15Z</t>
  </si>
  <si>
    <t>2021-12-24T21:22:48Z</t>
  </si>
  <si>
    <t>2021-12-19T15:47:26Z</t>
  </si>
  <si>
    <t>2021-12-24T15:56:11Z</t>
  </si>
  <si>
    <t>2021-12-22T02:21:11Z</t>
  </si>
  <si>
    <t>2021-12-24T06:15:00Z</t>
  </si>
  <si>
    <t>2021-12-20T04:24:27Z</t>
  </si>
  <si>
    <t>2021-12-11T20:39:48Z</t>
  </si>
  <si>
    <t>2021-12-24T06:11:16Z</t>
  </si>
  <si>
    <t>2021-12-23T15:20:04Z</t>
  </si>
  <si>
    <t>2021-12-17T10:37:47Z</t>
  </si>
  <si>
    <t>2021-12-20T05:46:07Z</t>
  </si>
  <si>
    <t>2021-12-20T15:09:01Z</t>
  </si>
  <si>
    <t>2021-12-13T18:19:47Z</t>
  </si>
  <si>
    <t>2021-12-23T02:05:37Z</t>
  </si>
  <si>
    <t>2021-12-12T22:16:57Z</t>
  </si>
  <si>
    <t>2021-12-16T22:26:02Z</t>
  </si>
  <si>
    <t>2021-12-24T21:23:19Z</t>
  </si>
  <si>
    <t>2021-12-14T18:20:19Z</t>
  </si>
  <si>
    <t>2021-12-21T06:49:17Z</t>
  </si>
  <si>
    <t>2021-12-20T05:46:33Z</t>
  </si>
  <si>
    <t>2021-12-24T18:49:35Z</t>
  </si>
  <si>
    <t>2021-12-17T01:48:18Z</t>
  </si>
  <si>
    <t>2021-12-23T20:40:03Z</t>
  </si>
  <si>
    <t>2021-12-19T15:47:43Z</t>
  </si>
  <si>
    <t>2021-12-20T15:09:20Z</t>
  </si>
  <si>
    <t>2021-12-15T20:37:34Z</t>
  </si>
  <si>
    <t>2021-12-18T16:09:03Z</t>
  </si>
  <si>
    <t>2021-12-16T23:05:23Z</t>
  </si>
  <si>
    <t>2021-12-21T21:07:43Z</t>
  </si>
  <si>
    <t>2021-12-24T14:50:05Z</t>
  </si>
  <si>
    <t>2021-12-20T13:30:17Z</t>
  </si>
  <si>
    <t>2021-12-14T18:20:43Z</t>
  </si>
  <si>
    <t>2021-12-19T15:09:20Z</t>
  </si>
  <si>
    <t>2021-12-21T14:52:58Z</t>
  </si>
  <si>
    <t>2021-12-20T18:12:58Z</t>
  </si>
  <si>
    <t>2021-12-20T16:06:55Z</t>
  </si>
  <si>
    <t>2021-12-19T18:02:54Z</t>
  </si>
  <si>
    <t>2021-12-13T11:16:05Z</t>
  </si>
  <si>
    <t>2021-12-20T10:01:36Z</t>
  </si>
  <si>
    <t>2021-12-19T15:47:57Z</t>
  </si>
  <si>
    <t>2021-12-19T09:38:00Z</t>
  </si>
  <si>
    <t>2021-12-23T18:40:32Z</t>
  </si>
  <si>
    <t>2021-12-13T00:28:22Z</t>
  </si>
  <si>
    <t>2021-12-14T18:20:49Z</t>
  </si>
  <si>
    <t>2021-12-19T02:39:58Z</t>
  </si>
  <si>
    <t>2021-12-21T10:45:01Z</t>
  </si>
  <si>
    <t>2021-12-22T02:41:18Z</t>
  </si>
  <si>
    <t>2021-12-12T23:06:33Z</t>
  </si>
  <si>
    <t>2021-12-23T11:36:12Z</t>
  </si>
  <si>
    <t>2021-12-18T21:09:30Z</t>
  </si>
  <si>
    <t>2021-12-11T20:40:23Z</t>
  </si>
  <si>
    <t>2021-12-22T20:43:12Z</t>
  </si>
  <si>
    <t>2021-12-24T17:12:07Z</t>
  </si>
  <si>
    <t>2021-12-13T23:34:21Z</t>
  </si>
  <si>
    <t>2021-12-19T15:06:20Z</t>
  </si>
  <si>
    <t>2021-12-19T04:27:38Z</t>
  </si>
  <si>
    <t>2021-12-22T20:43:18Z</t>
  </si>
  <si>
    <t>2021-12-19T15:48:07Z</t>
  </si>
  <si>
    <t>2021-12-20T18:13:09Z</t>
  </si>
  <si>
    <t>2021-12-23T15:15:19Z</t>
  </si>
  <si>
    <t>2021-12-18T19:17:12Z</t>
  </si>
  <si>
    <t>2021-12-24T06:17:54Z</t>
  </si>
  <si>
    <t>2021-12-19T07:00:48Z</t>
  </si>
  <si>
    <t>2021-12-18T16:09:25Z</t>
  </si>
  <si>
    <t>2021-12-13T00:09:02Z</t>
  </si>
  <si>
    <t>2021-12-14T18:21:06Z</t>
  </si>
  <si>
    <t>2021-12-22T14:15:31Z</t>
  </si>
  <si>
    <t>2021-12-13T00:09:12Z</t>
  </si>
  <si>
    <t>2021-12-23T20:40:49Z</t>
  </si>
  <si>
    <t>2021-12-19T17:46:22Z</t>
  </si>
  <si>
    <t>2021-12-24T15:53:10Z</t>
  </si>
  <si>
    <t>2021-12-20T13:30:54Z</t>
  </si>
  <si>
    <t>2021-12-20T18:13:19Z</t>
  </si>
  <si>
    <t>2021-12-19T18:01:59Z</t>
  </si>
  <si>
    <t>2021-12-23T15:15:36Z</t>
  </si>
  <si>
    <t>2021-12-12T23:06:58Z</t>
  </si>
  <si>
    <t>2021-12-22T02:26:19Z</t>
  </si>
  <si>
    <t>2021-12-20T14:25:45Z</t>
  </si>
  <si>
    <t>2021-12-13T06:51:25Z</t>
  </si>
  <si>
    <t>2021-12-19T11:30:25Z</t>
  </si>
  <si>
    <t>2021-12-22T16:16:31Z</t>
  </si>
  <si>
    <t>2021-12-24T15:53:25Z</t>
  </si>
  <si>
    <t>2021-12-21T14:53:40Z</t>
  </si>
  <si>
    <t>2021-12-11T20:40:46Z</t>
  </si>
  <si>
    <t>2021-12-19T07:01:24Z</t>
  </si>
  <si>
    <t>2021-12-11T20:40:47Z</t>
  </si>
  <si>
    <t>2021-12-15T01:41:17Z</t>
  </si>
  <si>
    <t>2021-12-20T18:13:29Z</t>
  </si>
  <si>
    <t>2021-12-24T09:49:25Z</t>
  </si>
  <si>
    <t>2021-12-19T11:30:38Z</t>
  </si>
  <si>
    <t>2021-12-13T08:42:02Z</t>
  </si>
  <si>
    <t>2021-12-18T22:22:54Z</t>
  </si>
  <si>
    <t>2021-12-16T23:05:36Z</t>
  </si>
  <si>
    <t>2021-12-17T18:24:43Z</t>
  </si>
  <si>
    <t>2021-12-24T15:53:41Z</t>
  </si>
  <si>
    <t>2021-12-15T03:06:34Z</t>
  </si>
  <si>
    <t>2021-12-17T05:01:38Z</t>
  </si>
  <si>
    <t>2021-12-21T14:02:28Z</t>
  </si>
  <si>
    <t>2021-12-19T17:46:37Z</t>
  </si>
  <si>
    <t>2021-12-23T20:45:06Z</t>
  </si>
  <si>
    <t>2021-12-23T15:16:08Z</t>
  </si>
  <si>
    <t>2021-12-12T10:14:14Z</t>
  </si>
  <si>
    <t>2021-12-15T03:07:02Z</t>
  </si>
  <si>
    <t>2021-12-22T10:27:46Z</t>
  </si>
  <si>
    <t>2021-12-18T14:41:55Z</t>
  </si>
  <si>
    <t>2021-12-23T19:10:57Z</t>
  </si>
  <si>
    <t>2021-12-17T21:28:02Z</t>
  </si>
  <si>
    <t>2021-12-22T17:56:18Z</t>
  </si>
  <si>
    <t>2021-12-18T16:10:20Z</t>
  </si>
  <si>
    <t>2021-12-18T14:42:05Z</t>
  </si>
  <si>
    <t>2021-12-18T22:32:25Z</t>
  </si>
  <si>
    <t>2021-12-18T22:23:26Z</t>
  </si>
  <si>
    <t>2021-12-19T13:06:14Z</t>
  </si>
  <si>
    <t>2021-12-22T02:25:02Z</t>
  </si>
  <si>
    <t>2021-12-23T17:50:38Z</t>
  </si>
  <si>
    <t>2021-12-23T20:41:51Z</t>
  </si>
  <si>
    <t>2021-12-24T06:13:41Z</t>
  </si>
  <si>
    <t>2021-12-21T14:53:23Z</t>
  </si>
  <si>
    <t>2021-12-23T14:45:57Z</t>
  </si>
  <si>
    <t>2021-12-19T02:23:10Z</t>
  </si>
  <si>
    <t>2021-12-19T19:41:29Z</t>
  </si>
  <si>
    <t>2021-12-12T10:14:58Z</t>
  </si>
  <si>
    <t>2021-12-23T15:08:54Z</t>
  </si>
  <si>
    <t>2021-12-22T21:37:46Z</t>
  </si>
  <si>
    <t>2021-12-24T12:38:52Z</t>
  </si>
  <si>
    <t>2021-12-20T18:14:24Z</t>
  </si>
  <si>
    <t>2021-12-24T21:14:30Z</t>
  </si>
  <si>
    <t>2021-12-19T13:06:45Z</t>
  </si>
  <si>
    <t>2021-12-19T23:28:54Z</t>
  </si>
  <si>
    <t>2021-12-21T21:10:13Z</t>
  </si>
  <si>
    <t>2021-12-23T09:36:53Z</t>
  </si>
  <si>
    <t>2021-12-23T03:34:40Z</t>
  </si>
  <si>
    <t>2021-12-13T12:05:51Z</t>
  </si>
  <si>
    <t>2021-12-21T20:37:48Z</t>
  </si>
  <si>
    <t>2021-12-18T23:12:55Z</t>
  </si>
  <si>
    <t>2021-12-19T07:01:13Z</t>
  </si>
  <si>
    <t>2021-12-19T10:06:24Z</t>
  </si>
  <si>
    <t>2021-12-11T20:41:44Z</t>
  </si>
  <si>
    <t>2021-12-20T14:43:15Z</t>
  </si>
  <si>
    <t>2021-12-20T10:01:21Z</t>
  </si>
  <si>
    <t>2021-12-23T15:17:19Z</t>
  </si>
  <si>
    <t>2021-12-17T23:15:44Z</t>
  </si>
  <si>
    <t>2021-12-15T03:08:51Z</t>
  </si>
  <si>
    <t>2021-12-21T14:02:46Z</t>
  </si>
  <si>
    <t>2021-12-24T20:13:52Z</t>
  </si>
  <si>
    <t>2021-12-24T16:21:48Z</t>
  </si>
  <si>
    <t>2021-12-23T20:42:43Z</t>
  </si>
  <si>
    <t>2021-12-19T13:07:19Z</t>
  </si>
  <si>
    <t>2021-12-18T16:11:10Z</t>
  </si>
  <si>
    <t>2021-12-24T05:28:52Z</t>
  </si>
  <si>
    <t>2021-12-17T22:30:36Z</t>
  </si>
  <si>
    <t>2021-12-23T15:17:56Z</t>
  </si>
  <si>
    <t>2021-12-21T05:32:41Z</t>
  </si>
  <si>
    <t>2021-12-19T13:07:32Z</t>
  </si>
  <si>
    <t>2021-12-18T16:11:23Z</t>
  </si>
  <si>
    <t>2021-12-23T11:39:39Z</t>
  </si>
  <si>
    <t>2021-12-13T03:05:53Z</t>
  </si>
  <si>
    <t>2021-12-24T15:49:10Z</t>
  </si>
  <si>
    <t>2021-12-20T16:45:47Z</t>
  </si>
  <si>
    <t>2021-12-16T14:09:42Z</t>
  </si>
  <si>
    <t>2021-12-18T06:26:22Z</t>
  </si>
  <si>
    <t>2021-12-19T22:32:44Z</t>
  </si>
  <si>
    <t>2021-12-21T03:02:23Z</t>
  </si>
  <si>
    <t>2021-12-11T20:42:13Z</t>
  </si>
  <si>
    <t>2021-12-15T03:09:37Z</t>
  </si>
  <si>
    <t>2021-12-18T16:11:32Z</t>
  </si>
  <si>
    <t>2021-12-18T15:32:42Z</t>
  </si>
  <si>
    <t>2021-12-15T03:09:53Z</t>
  </si>
  <si>
    <t>2021-12-24T13:44:00Z</t>
  </si>
  <si>
    <t>2021-12-19T13:07:56Z</t>
  </si>
  <si>
    <t>2021-12-19T18:49:33Z</t>
  </si>
  <si>
    <t>2021-12-15T03:10:03Z</t>
  </si>
  <si>
    <t>2021-12-19T17:48:11Z</t>
  </si>
  <si>
    <t>2021-12-23T01:03:03Z</t>
  </si>
  <si>
    <t>2021-12-24T12:14:48Z</t>
  </si>
  <si>
    <t>2021-12-23T16:05:08Z</t>
  </si>
  <si>
    <t>2021-12-12T08:26:12Z</t>
  </si>
  <si>
    <t>2021-12-13T23:49:36Z</t>
  </si>
  <si>
    <t>2021-12-15T03:10:15Z</t>
  </si>
  <si>
    <t>2021-12-21T05:30:52Z</t>
  </si>
  <si>
    <t>2021-12-12T01:46:31Z</t>
  </si>
  <si>
    <t>2021-12-20T16:55:22Z</t>
  </si>
  <si>
    <t>2021-12-22T04:32:57Z</t>
  </si>
  <si>
    <t>2021-12-11T20:42:42Z</t>
  </si>
  <si>
    <t>2021-12-19T17:48:28Z</t>
  </si>
  <si>
    <t>2021-12-23T19:12:57Z</t>
  </si>
  <si>
    <t>2021-12-19T17:48:32Z</t>
  </si>
  <si>
    <t>2021-12-22T04:33:33Z</t>
  </si>
  <si>
    <t>2021-12-18T16:12:05Z</t>
  </si>
  <si>
    <t>2021-12-15T03:10:39Z</t>
  </si>
  <si>
    <t>2021-12-17T23:55:18Z</t>
  </si>
  <si>
    <t>2021-12-24T11:17:32Z</t>
  </si>
  <si>
    <t>2021-12-21T01:42:41Z</t>
  </si>
  <si>
    <t>2021-12-24T14:49:30Z</t>
  </si>
  <si>
    <t>2021-12-23T20:43:46Z</t>
  </si>
  <si>
    <t>2021-12-18T16:48:37Z</t>
  </si>
  <si>
    <t>2021-12-19T17:48:40Z</t>
  </si>
  <si>
    <t>2021-12-17T19:44:46Z</t>
  </si>
  <si>
    <t>2021-12-19T17:48:42Z</t>
  </si>
  <si>
    <t>2021-12-21T01:41:31Z</t>
  </si>
  <si>
    <t>2021-12-19T10:40:17Z</t>
  </si>
  <si>
    <t>2021-12-24T12:39:41Z</t>
  </si>
  <si>
    <t>2021-12-21T08:04:55Z</t>
  </si>
  <si>
    <t>2021-12-15T03:10:58Z</t>
  </si>
  <si>
    <t>2021-12-16T23:35:10Z</t>
  </si>
  <si>
    <t>2021-12-16T18:34:55Z</t>
  </si>
  <si>
    <t>2021-12-23T15:19:14Z</t>
  </si>
  <si>
    <t>2021-12-12T13:40:36Z</t>
  </si>
  <si>
    <t>2021-12-15T22:57:05Z</t>
  </si>
  <si>
    <t>2021-12-18T16:12:16Z</t>
  </si>
  <si>
    <t>2021-12-21T04:10:01Z</t>
  </si>
  <si>
    <t>2021-12-16T23:35:26Z</t>
  </si>
  <si>
    <t>2021-12-23T15:53:59Z</t>
  </si>
  <si>
    <t>2021-12-11T20:43:09Z</t>
  </si>
  <si>
    <t>2021-12-23T16:05:25Z</t>
  </si>
  <si>
    <t>2021-12-22T16:21:24Z</t>
  </si>
  <si>
    <t>2021-12-22T02:41:12Z</t>
  </si>
  <si>
    <t>2021-12-19T17:48:55Z</t>
  </si>
  <si>
    <t>2021-12-24T05:29:51Z</t>
  </si>
  <si>
    <t>2021-12-12T17:39:21Z</t>
  </si>
  <si>
    <t>2021-12-19T13:08:56Z</t>
  </si>
  <si>
    <t>2021-12-12T14:24:31Z</t>
  </si>
  <si>
    <t>2021-12-24T15:04:14Z</t>
  </si>
  <si>
    <t>2021-12-23T18:44:12Z</t>
  </si>
  <si>
    <t>2021-12-22T21:39:53Z</t>
  </si>
  <si>
    <t>2021-12-15T22:57:18Z</t>
  </si>
  <si>
    <t>2021-12-18T14:41:41Z</t>
  </si>
  <si>
    <t>2021-12-16T14:10:06Z</t>
  </si>
  <si>
    <t>2021-12-19T08:35:12Z</t>
  </si>
  <si>
    <t>2021-12-20T15:08:19Z</t>
  </si>
  <si>
    <t>2021-12-11T20:43:18Z</t>
  </si>
  <si>
    <t>2021-12-12T22:21:52Z</t>
  </si>
  <si>
    <t>2021-12-11T20:43:26Z</t>
  </si>
  <si>
    <t>2021-12-19T17:49:12Z</t>
  </si>
  <si>
    <t>2021-12-12T10:17:52Z</t>
  </si>
  <si>
    <t>2021-12-20T16:55:43Z</t>
  </si>
  <si>
    <t>2021-12-15T03:12:06Z</t>
  </si>
  <si>
    <t>2021-12-17T22:57:03Z</t>
  </si>
  <si>
    <t>2021-12-18T16:12:42Z</t>
  </si>
  <si>
    <t>2021-12-19T17:49:16Z</t>
  </si>
  <si>
    <t>2021-12-14T11:40:47Z</t>
  </si>
  <si>
    <t>2021-12-18T09:44:07Z</t>
  </si>
  <si>
    <t>2021-12-16T18:35:20Z</t>
  </si>
  <si>
    <t>2021-12-11T20:43:41Z</t>
  </si>
  <si>
    <t>2021-12-11T20:31:34Z</t>
  </si>
  <si>
    <t>2021-12-19T17:49:25Z</t>
  </si>
  <si>
    <t>2021-12-18T16:12:51Z</t>
  </si>
  <si>
    <t>2021-12-15T20:46:22Z</t>
  </si>
  <si>
    <t>2021-12-19T13:09:32Z</t>
  </si>
  <si>
    <t>2021-12-24T12:36:23Z</t>
  </si>
  <si>
    <t>2021-12-21T09:38:57Z</t>
  </si>
  <si>
    <t>2021-12-21T21:03:17Z</t>
  </si>
  <si>
    <t>2021-12-16T23:06:14Z</t>
  </si>
  <si>
    <t>2021-12-18T21:43:26Z</t>
  </si>
  <si>
    <t>2021-12-19T13:32:33Z</t>
  </si>
  <si>
    <t>2021-12-23T20:44:44Z</t>
  </si>
  <si>
    <t>2021-12-23T12:42:01Z</t>
  </si>
  <si>
    <t>2021-12-19T04:20:11Z</t>
  </si>
  <si>
    <t>2021-12-20T22:14:30Z</t>
  </si>
  <si>
    <t>2021-12-13T02:48:35Z</t>
  </si>
  <si>
    <t>2021-12-19T13:09:40Z</t>
  </si>
  <si>
    <t>2021-12-24T06:14:40Z</t>
  </si>
  <si>
    <t>2021-12-18T20:06:11Z</t>
  </si>
  <si>
    <t>2021-12-18T16:13:05Z</t>
  </si>
  <si>
    <t>2021-12-15T00:23:47Z</t>
  </si>
  <si>
    <t>2021-12-21T14:01:46Z</t>
  </si>
  <si>
    <t>2021-12-16T18:35:40Z</t>
  </si>
  <si>
    <t>2021-12-22T02:44:41Z</t>
  </si>
  <si>
    <t>2021-12-19T13:09:49Z</t>
  </si>
  <si>
    <t>2021-12-19T04:27:29Z</t>
  </si>
  <si>
    <t>2021-12-24T17:29:48Z</t>
  </si>
  <si>
    <t>2021-12-14T08:25:05Z</t>
  </si>
  <si>
    <t>2021-12-23T11:10:31Z</t>
  </si>
  <si>
    <t>2021-12-19T02:21:11Z</t>
  </si>
  <si>
    <t>2021-12-24T11:19:03Z</t>
  </si>
  <si>
    <t>2021-12-21T14:02:05Z</t>
  </si>
  <si>
    <t>2021-12-12T11:20:15Z</t>
  </si>
  <si>
    <t>2021-12-21T05:34:06Z</t>
  </si>
  <si>
    <t>2021-12-22T16:22:21Z</t>
  </si>
  <si>
    <t>2021-12-18T23:12:07Z</t>
  </si>
  <si>
    <t>2021-12-19T13:09:57Z</t>
  </si>
  <si>
    <t>2021-12-19T19:05:25Z</t>
  </si>
  <si>
    <t>2021-12-22T18:33:37Z</t>
  </si>
  <si>
    <t>2021-12-21T14:02:12Z</t>
  </si>
  <si>
    <t>2021-12-21T21:03:42Z</t>
  </si>
  <si>
    <t>2021-12-20T22:07:50Z</t>
  </si>
  <si>
    <t>2021-12-19T17:47:58Z</t>
  </si>
  <si>
    <t>2021-12-24T00:33:14Z</t>
  </si>
  <si>
    <t>2021-12-23T15:20:47Z</t>
  </si>
  <si>
    <t>2021-12-19T18:45:47Z</t>
  </si>
  <si>
    <t>2021-12-17T15:48:19Z</t>
  </si>
  <si>
    <t>2021-12-17T23:57:35Z</t>
  </si>
  <si>
    <t>2021-12-20T23:54:50Z</t>
  </si>
  <si>
    <t>2021-12-24T21:14:59Z</t>
  </si>
  <si>
    <t>2021-12-23T15:54:33Z</t>
  </si>
  <si>
    <t>2021-12-14T13:41:32Z</t>
  </si>
  <si>
    <t>2021-12-22T21:33:03Z</t>
  </si>
  <si>
    <t>2021-12-18T16:16:08Z</t>
  </si>
  <si>
    <t>2021-12-21T04:12:10Z</t>
  </si>
  <si>
    <t>2021-12-20T16:55:31Z</t>
  </si>
  <si>
    <t>2021-12-18T16:13:21Z</t>
  </si>
  <si>
    <t>2021-12-23T22:25:40Z</t>
  </si>
  <si>
    <t>2021-12-23T19:58:26Z</t>
  </si>
  <si>
    <t>2021-12-13T03:17:52Z</t>
  </si>
  <si>
    <t>2021-12-19T04:27:48Z</t>
  </si>
  <si>
    <t>2021-12-12T16:20:45Z</t>
  </si>
  <si>
    <t>2021-12-16T01:30:32Z</t>
  </si>
  <si>
    <t>2021-12-19T04:27:59Z</t>
  </si>
  <si>
    <t>2021-12-21T14:02:39Z</t>
  </si>
  <si>
    <t>2021-12-20T14:46:02Z</t>
  </si>
  <si>
    <t>2021-12-20T22:08:21Z</t>
  </si>
  <si>
    <t>2021-12-21T22:50:10Z</t>
  </si>
  <si>
    <t>2021-12-13T18:16:00Z</t>
  </si>
  <si>
    <t>2021-12-12T12:10:42Z</t>
  </si>
  <si>
    <t>2021-12-23T15:21:09Z</t>
  </si>
  <si>
    <t>2021-12-18T23:12:28Z</t>
  </si>
  <si>
    <t>2021-12-23T12:42:55Z</t>
  </si>
  <si>
    <t>2021-12-19T17:50:10Z</t>
  </si>
  <si>
    <t>2021-12-14T04:00:38Z</t>
  </si>
  <si>
    <t>2021-12-22T20:48:48Z</t>
  </si>
  <si>
    <t>2021-12-24T19:37:34Z</t>
  </si>
  <si>
    <t>2021-12-15T22:59:22Z</t>
  </si>
  <si>
    <t>2021-12-24T06:12:58Z</t>
  </si>
  <si>
    <t>2021-12-24T12:37:15Z</t>
  </si>
  <si>
    <t>2021-12-12T00:43:16Z</t>
  </si>
  <si>
    <t>2021-12-21T21:04:23Z</t>
  </si>
  <si>
    <t>2021-12-18T01:30:07Z</t>
  </si>
  <si>
    <t>2021-12-22T21:42:00Z</t>
  </si>
  <si>
    <t>2021-12-24T10:19:02Z</t>
  </si>
  <si>
    <t>2021-12-21T14:03:05Z</t>
  </si>
  <si>
    <t>2021-12-12T17:06:55Z</t>
  </si>
  <si>
    <t>2021-12-24T06:08:04Z</t>
  </si>
  <si>
    <t>2021-12-13T08:24:29Z</t>
  </si>
  <si>
    <t>2021-12-24T20:12:42Z</t>
  </si>
  <si>
    <t>2021-12-19T04:28:44Z</t>
  </si>
  <si>
    <t>2021-12-13T05:36:25Z</t>
  </si>
  <si>
    <t>2021-12-18T20:07:42Z</t>
  </si>
  <si>
    <t>2021-12-24T19:37:53Z</t>
  </si>
  <si>
    <t>2021-12-18T20:34:07Z</t>
  </si>
  <si>
    <t>2021-12-12T12:11:04Z</t>
  </si>
  <si>
    <t>2021-12-24T12:36:51Z</t>
  </si>
  <si>
    <t>2021-12-22T02:15:18Z</t>
  </si>
  <si>
    <t>2021-12-13T13:09:28Z</t>
  </si>
  <si>
    <t>2021-12-19T21:04:53Z</t>
  </si>
  <si>
    <t>2021-12-17T01:47:12Z</t>
  </si>
  <si>
    <t>Fleet BL 1</t>
  </si>
  <si>
    <t>Market Pos</t>
  </si>
  <si>
    <t>"=(NOW()+TIME(ABS(TimeZone),0,0))"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</si>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</sst>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&quot;$&quot;#,##0.00"/>
    <numFmt numFmtId="165" formatCode="[$-F400]h:mm:ss\ AM/PM"/>
    <numFmt numFmtId="166" formatCode="[$-F800]dddd\,\ mmmm\ dd\,\ yyyy"/>
    <numFmt numFmtId="167" formatCode="#,##0.0"/>
  </numFmts>
  <fonts count="20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FA3AE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rgb="FFFFFFCC"/>
      </patternFill>
    </fill>
    <fill>
      <patternFill patternType="solid">
        <fgColor rgb="FFFF2F2F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10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5" fillId="9" borderId="0" applyNumberFormat="0" applyBorder="0" applyAlignment="0" applyProtection="0"/>
    <xf numFmtId="0" fontId="12" fillId="14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2" fillId="19" borderId="0" applyNumberFormat="0" applyBorder="0" applyAlignment="0" applyProtection="0"/>
    <xf numFmtId="0" fontId="14" fillId="0" borderId="0" applyNumberFormat="0" applyFill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6" fillId="23" borderId="1" applyNumberFormat="0" applyAlignment="0" applyProtection="0"/>
    <xf numFmtId="0" fontId="5" fillId="25" borderId="0" applyNumberFormat="0" applyBorder="0" applyAlignment="0" applyProtection="0"/>
    <xf numFmtId="0" fontId="12" fillId="26" borderId="0" applyNumberFormat="0" applyBorder="0" applyAlignment="0" applyProtection="0"/>
    <xf numFmtId="0" fontId="5" fillId="27" borderId="6" applyNumberFormat="0" applyFont="0" applyAlignment="0" applyProtection="0"/>
  </cellStyleXfs>
  <cellXfs count="116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9" fontId="7" fillId="8" borderId="1" xfId="6" applyNumberFormat="1" applyFont="1" applyBorder="1"/>
    <xf numFmtId="44" fontId="9" fillId="4" borderId="0" xfId="3" applyNumberFormat="1" applyFont="1"/>
    <xf numFmtId="3" fontId="7" fillId="10" borderId="0" xfId="7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1" borderId="0" xfId="8"/>
    <xf numFmtId="3" fontId="9" fillId="6" borderId="2" xfId="4" applyNumberFormat="1" applyFont="1"/>
    <xf numFmtId="0" fontId="5" fillId="7" borderId="0" xfId="5"/>
    <xf numFmtId="2" fontId="9" fillId="6" borderId="2" xfId="4" applyNumberFormat="1" applyFont="1"/>
    <xf numFmtId="0" fontId="9" fillId="8" borderId="2" xfId="6" applyFont="1" applyBorder="1"/>
    <xf numFmtId="3" fontId="9" fillId="15" borderId="2" xfId="13" applyNumberFormat="1" applyFont="1" applyBorder="1"/>
    <xf numFmtId="3" fontId="11" fillId="14" borderId="2" xfId="12" applyNumberFormat="1" applyFont="1" applyBorder="1"/>
    <xf numFmtId="9" fontId="5" fillId="8" borderId="1" xfId="6" applyNumberFormat="1" applyBorder="1"/>
    <xf numFmtId="0" fontId="8" fillId="5" borderId="0" xfId="0" applyFont="1" applyFill="1" applyBorder="1" applyAlignment="1">
      <alignment horizontal="center"/>
    </xf>
    <xf numFmtId="3" fontId="9" fillId="16" borderId="2" xfId="14" applyNumberFormat="1" applyFont="1" applyBorder="1"/>
    <xf numFmtId="0" fontId="13" fillId="6" borderId="2" xfId="4" applyFont="1"/>
    <xf numFmtId="0" fontId="7" fillId="15" borderId="2" xfId="13" applyFont="1" applyBorder="1"/>
    <xf numFmtId="0" fontId="7" fillId="18" borderId="2" xfId="16" applyFont="1" applyBorder="1"/>
    <xf numFmtId="0" fontId="7" fillId="17" borderId="2" xfId="15" applyFont="1" applyBorder="1"/>
    <xf numFmtId="0" fontId="7" fillId="8" borderId="2" xfId="6" applyFont="1" applyBorder="1"/>
    <xf numFmtId="0" fontId="7" fillId="7" borderId="2" xfId="5" applyFont="1" applyBorder="1"/>
    <xf numFmtId="0" fontId="11" fillId="20" borderId="2" xfId="17" applyFont="1" applyFill="1" applyBorder="1"/>
    <xf numFmtId="0" fontId="15" fillId="18" borderId="2" xfId="16" applyFont="1" applyBorder="1"/>
    <xf numFmtId="0" fontId="15" fillId="8" borderId="2" xfId="6" applyFont="1" applyBorder="1"/>
    <xf numFmtId="0" fontId="15" fillId="6" borderId="2" xfId="4" applyFont="1"/>
    <xf numFmtId="0" fontId="15" fillId="15" borderId="2" xfId="13" applyFont="1" applyBorder="1"/>
    <xf numFmtId="164" fontId="7" fillId="18" borderId="2" xfId="16" applyNumberFormat="1" applyFont="1" applyBorder="1"/>
    <xf numFmtId="164" fontId="9" fillId="11" borderId="2" xfId="8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6" borderId="2" xfId="18" applyFont="1" applyFill="1" applyBorder="1"/>
    <xf numFmtId="0" fontId="9" fillId="7" borderId="2" xfId="18" applyFont="1" applyFill="1" applyBorder="1"/>
    <xf numFmtId="0" fontId="9" fillId="18" borderId="2" xfId="16" applyFont="1" applyBorder="1"/>
    <xf numFmtId="0" fontId="9" fillId="17" borderId="2" xfId="15" applyFont="1" applyBorder="1"/>
    <xf numFmtId="0" fontId="7" fillId="21" borderId="2" xfId="19" applyFont="1" applyBorder="1"/>
    <xf numFmtId="0" fontId="15" fillId="21" borderId="2" xfId="19" applyFont="1" applyBorder="1"/>
    <xf numFmtId="0" fontId="9" fillId="15" borderId="2" xfId="13" applyFont="1" applyBorder="1"/>
    <xf numFmtId="4" fontId="11" fillId="16" borderId="0" xfId="14" applyNumberFormat="1" applyFont="1"/>
    <xf numFmtId="4" fontId="7" fillId="22" borderId="0" xfId="20" applyNumberFormat="1" applyFont="1"/>
    <xf numFmtId="4" fontId="11" fillId="13" borderId="0" xfId="10" applyNumberFormat="1" applyFont="1"/>
    <xf numFmtId="0" fontId="7" fillId="0" borderId="0" xfId="0" applyFont="1"/>
    <xf numFmtId="0" fontId="9" fillId="23" borderId="1" xfId="21" applyFont="1"/>
    <xf numFmtId="14" fontId="7" fillId="0" borderId="0" xfId="0" applyNumberFormat="1" applyFont="1"/>
    <xf numFmtId="0" fontId="9" fillId="23" borderId="1" xfId="21" applyNumberFormat="1" applyFont="1"/>
    <xf numFmtId="4" fontId="9" fillId="11" borderId="2" xfId="8" applyNumberFormat="1" applyFont="1" applyBorder="1"/>
    <xf numFmtId="0" fontId="17" fillId="0" borderId="0" xfId="0" applyFont="1"/>
    <xf numFmtId="0" fontId="7" fillId="0" borderId="0" xfId="0" applyFont="1" applyBorder="1"/>
    <xf numFmtId="0" fontId="17" fillId="0" borderId="0" xfId="0" applyFont="1" applyBorder="1"/>
    <xf numFmtId="0" fontId="9" fillId="23" borderId="4" xfId="21" applyNumberFormat="1" applyFont="1" applyBorder="1"/>
    <xf numFmtId="4" fontId="9" fillId="11" borderId="5" xfId="8" applyNumberFormat="1" applyFont="1" applyBorder="1"/>
    <xf numFmtId="14" fontId="7" fillId="0" borderId="0" xfId="0" applyNumberFormat="1" applyFont="1" applyBorder="1"/>
    <xf numFmtId="0" fontId="9" fillId="23" borderId="1" xfId="21" applyNumberFormat="1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13" fillId="9" borderId="2" xfId="11" applyFont="1" applyBorder="1"/>
    <xf numFmtId="0" fontId="1" fillId="0" borderId="0" xfId="1" applyAlignment="1">
      <alignment vertical="center"/>
    </xf>
    <xf numFmtId="0" fontId="12" fillId="14" borderId="0" xfId="12" applyAlignment="1">
      <alignment vertical="center"/>
    </xf>
    <xf numFmtId="0" fontId="11" fillId="13" borderId="0" xfId="10" applyFont="1"/>
    <xf numFmtId="0" fontId="12" fillId="16" borderId="0" xfId="14"/>
    <xf numFmtId="0" fontId="11" fillId="16" borderId="0" xfId="14" applyFont="1"/>
    <xf numFmtId="164" fontId="9" fillId="24" borderId="2" xfId="8" applyNumberFormat="1" applyFont="1" applyFill="1" applyBorder="1"/>
    <xf numFmtId="14" fontId="0" fillId="0" borderId="0" xfId="0" applyNumberFormat="1"/>
    <xf numFmtId="0" fontId="12" fillId="26" borderId="0" xfId="23"/>
    <xf numFmtId="0" fontId="11" fillId="26" borderId="0" xfId="23" applyFont="1"/>
    <xf numFmtId="0" fontId="5" fillId="22" borderId="0" xfId="20"/>
    <xf numFmtId="0" fontId="5" fillId="25" borderId="0" xfId="22"/>
    <xf numFmtId="4" fontId="0" fillId="0" borderId="0" xfId="0" applyNumberFormat="1"/>
    <xf numFmtId="0" fontId="10" fillId="11" borderId="0" xfId="8" applyAlignment="1">
      <alignment horizontal="center"/>
    </xf>
    <xf numFmtId="4" fontId="3" fillId="4" borderId="0" xfId="3" applyNumberFormat="1"/>
    <xf numFmtId="1" fontId="3" fillId="4" borderId="0" xfId="3" applyNumberFormat="1"/>
    <xf numFmtId="0" fontId="18" fillId="4" borderId="0" xfId="3" applyFont="1"/>
    <xf numFmtId="165" fontId="10" fillId="11" borderId="0" xfId="8" applyNumberFormat="1"/>
    <xf numFmtId="14" fontId="10" fillId="11" borderId="0" xfId="8" applyNumberFormat="1"/>
    <xf numFmtId="166" fontId="0" fillId="0" borderId="0" xfId="0" applyNumberFormat="1"/>
    <xf numFmtId="3" fontId="3" fillId="4" borderId="0" xfId="3" applyNumberFormat="1"/>
    <xf numFmtId="0" fontId="8" fillId="5" borderId="3" xfId="0" applyFont="1" applyFill="1" applyBorder="1" applyAlignment="1"/>
    <xf numFmtId="0" fontId="18" fillId="3" borderId="0" xfId="2" applyFont="1"/>
    <xf numFmtId="167" fontId="2" fillId="3" borderId="0" xfId="2" applyNumberFormat="1"/>
    <xf numFmtId="0" fontId="9" fillId="27" borderId="6" xfId="24" applyFont="1"/>
    <xf numFmtId="0" fontId="2" fillId="3" borderId="0" xfId="2"/>
    <xf numFmtId="3" fontId="9" fillId="4" borderId="0" xfId="3" applyNumberFormat="1" applyFont="1"/>
    <xf numFmtId="3" fontId="9" fillId="4" borderId="0" xfId="3" applyNumberFormat="1" applyFont="1" applyBorder="1"/>
    <xf numFmtId="4" fontId="9" fillId="23" borderId="1" xfId="21" applyNumberFormat="1" applyFont="1"/>
    <xf numFmtId="4" fontId="9" fillId="23" borderId="1" xfId="21" applyNumberFormat="1" applyFont="1" applyBorder="1"/>
    <xf numFmtId="4" fontId="9" fillId="23" borderId="4" xfId="21" applyNumberFormat="1" applyFont="1" applyBorder="1"/>
    <xf numFmtId="0" fontId="9" fillId="7" borderId="2" xfId="5" applyFont="1" applyBorder="1"/>
    <xf numFmtId="0" fontId="9" fillId="18" borderId="2" xfId="18" applyFont="1" applyFill="1" applyBorder="1"/>
    <xf numFmtId="0" fontId="9" fillId="23" borderId="1" xfId="21" applyFont="1" applyBorder="1"/>
    <xf numFmtId="4" fontId="11" fillId="16" borderId="0" xfId="14" applyNumberFormat="1" applyFont="1" applyBorder="1"/>
    <xf numFmtId="4" fontId="9" fillId="3" borderId="0" xfId="2" applyNumberFormat="1" applyFont="1"/>
    <xf numFmtId="4" fontId="9" fillId="3" borderId="0" xfId="2" applyNumberFormat="1" applyFont="1" applyBorder="1"/>
    <xf numFmtId="4" fontId="11" fillId="28" borderId="0" xfId="10" applyNumberFormat="1" applyFont="1" applyFill="1"/>
    <xf numFmtId="4" fontId="11" fillId="28" borderId="0" xfId="10" applyNumberFormat="1" applyFont="1" applyFill="1" applyBorder="1"/>
    <xf numFmtId="0" fontId="17" fillId="0" borderId="0" xfId="0" applyNumberFormat="1" applyFont="1"/>
    <xf numFmtId="0" fontId="17" fillId="0" borderId="0" xfId="0" applyNumberFormat="1" applyFont="1" applyBorder="1"/>
    <xf numFmtId="0" fontId="9" fillId="6" borderId="0" xfId="4" applyFont="1" applyBorder="1"/>
    <xf numFmtId="0" fontId="7" fillId="0" borderId="5" xfId="0" applyFont="1" applyBorder="1"/>
    <xf numFmtId="0" fontId="9" fillId="6" borderId="0" xfId="18" applyFont="1" applyFill="1" applyBorder="1"/>
    <xf numFmtId="0" fontId="9" fillId="23" borderId="4" xfId="21" applyFont="1" applyBorder="1"/>
    <xf numFmtId="0" fontId="8" fillId="5" borderId="3" xfId="0" applyFont="1" applyFill="1" applyBorder="1" applyAlignment="1">
      <alignment horizontal="center"/>
    </xf>
    <xf numFmtId="0" fontId="12" fillId="12" borderId="0" xfId="9" applyAlignment="1">
      <alignment horizontal="center"/>
    </xf>
    <xf numFmtId="0" fontId="2" fillId="3" borderId="0" xfId="2" applyAlignment="1">
      <alignment horizontal="center"/>
    </xf>
    <xf numFmtId="0" fontId="10" fillId="11" borderId="0" xfId="8" applyAlignment="1">
      <alignment horizontal="center"/>
    </xf>
    <xf numFmtId="0" fontId="12" fillId="13" borderId="0" xfId="10" applyAlignment="1">
      <alignment horizontal="center"/>
    </xf>
    <xf numFmtId="10" fontId="12" fillId="13" borderId="0" xfId="10" applyNumberFormat="1" applyAlignment="1">
      <alignment horizontal="center"/>
    </xf>
    <xf numFmtId="0" fontId="12" fillId="14" borderId="0" xfId="12" applyAlignment="1">
      <alignment horizontal="center"/>
    </xf>
    <xf numFmtId="0" fontId="0" fillId="0" borderId="0" xfId="0" applyAlignment="1">
      <alignment horizontal="left" vertical="top" wrapText="1"/>
    </xf>
  </cellXfs>
  <cellStyles count="25">
    <cellStyle name="20% - Accent1" xfId="19" builtinId="30"/>
    <cellStyle name="20% - Accent3" xfId="11" builtinId="38"/>
    <cellStyle name="20% - Accent6" xfId="7" builtinId="50"/>
    <cellStyle name="40% - Accent1" xfId="5" builtinId="31"/>
    <cellStyle name="40% - Accent2" xfId="6" builtinId="35"/>
    <cellStyle name="40% - Accent4" xfId="15" builtinId="43"/>
    <cellStyle name="40% - Accent5" xfId="13" builtinId="47"/>
    <cellStyle name="40% - Accent6" xfId="16" builtinId="51"/>
    <cellStyle name="60% - Accent2" xfId="22" builtinId="36"/>
    <cellStyle name="60% - Accent4" xfId="20" builtinId="44"/>
    <cellStyle name="Accent1" xfId="9" builtinId="29"/>
    <cellStyle name="Accent2" xfId="10" builtinId="33"/>
    <cellStyle name="Accent3" xfId="17" builtinId="37"/>
    <cellStyle name="Accent4" xfId="23" builtinId="41"/>
    <cellStyle name="Accent5" xfId="12" builtinId="45"/>
    <cellStyle name="Accent6" xfId="14" builtinId="49"/>
    <cellStyle name="Bad" xfId="8" builtinId="27"/>
    <cellStyle name="Good" xfId="2" builtinId="26"/>
    <cellStyle name="Hyperlink" xfId="1" builtinId="8"/>
    <cellStyle name="Input" xfId="21" builtinId="20"/>
    <cellStyle name="Neutral" xfId="3" builtinId="28"/>
    <cellStyle name="Normal" xfId="0" builtinId="0"/>
    <cellStyle name="Note" xfId="24" builtinId="10"/>
    <cellStyle name="Output" xfId="4" builtinId="21"/>
    <cellStyle name="Warning Text" xfId="18" builtinId="11"/>
  </cellStyles>
  <dxfs count="301"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  <alignment horizontal="center" vertical="bottom" textRotation="0" wrapText="0" indent="0" justifyLastLine="0" shrinkToFit="0" readingOrder="0"/>
    </dxf>
    <dxf>
      <font>
        <b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</font>
      <numFmt numFmtId="4" formatCode="#,##0.00"/>
      <fill>
        <patternFill patternType="solid">
          <fgColor indexed="64"/>
          <bgColor rgb="FFFF2F2F"/>
        </patternFill>
      </fill>
    </dxf>
    <dxf>
      <font>
        <b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theme="1" tint="0.34998626667073579"/>
        <name val="Calibri"/>
        <family val="2"/>
        <scheme val="minor"/>
      </font>
    </dxf>
    <dxf>
      <font>
        <b/>
      </font>
    </dxf>
    <dxf>
      <font>
        <b/>
      </font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auto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300"/>
      <tableStyleElement type="firstRowStripe" dxfId="299"/>
      <tableStyleElement type="secondRowStripe" dxfId="298"/>
    </tableStyle>
  </tableStyles>
  <colors>
    <mruColors>
      <color rgb="FFFF2F2F"/>
      <color rgb="FFF8696B"/>
      <color rgb="FFFFA3AE"/>
      <color rgb="FFFFB9C1"/>
      <color rgb="FFFF7989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8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BD10695-967F-486D-BCAA-C7C4A2546E0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50" xr16:uid="{3F924F72-BB19-4B57-9575-63718A60B2D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61" xr16:uid="{FDFF45D7-4964-44DE-921E-499C5E8D4D0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72" xr16:uid="{2B68A0D6-6DDC-42E2-9027-EFB77B33E2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83" xr16:uid="{61333F76-21AC-4A63-8FCB-2E43C799548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94" xr16:uid="{7AED699D-82AF-48B5-9D96-EA91E549831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105" xr16:uid="{E91814D0-988B-42BA-BFBF-51AFE19A0AA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116" xr16:uid="{5658AAD9-AEAD-4332-80C6-98ECAFBBC0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127" xr16:uid="{2E477626-3730-4EBB-AC9E-E7032D8C11A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2" xr16:uid="{37C5958C-DCA9-49A9-B52E-22E684E241D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13" xr16:uid="{12D660DF-B20E-47B6-81E1-25BDBF26F5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24" xr16:uid="{4FF3FE59-E7D7-4710-B67F-6894200C34D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35" xr16:uid="{99036C13-B9DE-4B84-A0CE-F22661EA1F7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44" xr16:uid="{13A3FA20-323A-4FF4-9133-4075B0AA386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45" xr16:uid="{0C754D02-D669-41B6-B201-D9E8CFFEB65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46" xr16:uid="{6708E20F-F41E-40B2-9999-F195A6283F8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47" xr16:uid="{3F4045EB-C8B0-4965-A486-FD6A78FE08B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48" xr16:uid="{66A223C4-FD27-48DE-8209-75A18B0352C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49" xr16:uid="{EAC724CE-1103-4C38-A616-0C530017940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51" xr16:uid="{4840D623-87C3-40F4-A200-35404B40876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connectionId="52" xr16:uid="{A62B2E92-30F8-4CC7-91EE-386FE228D8B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connectionId="53" xr16:uid="{986A8580-DE26-49CE-8107-419E307F61B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connectionId="54" xr16:uid="{052F71F6-C7AC-4781-BA91-4D91D2FF73A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connectionId="55" xr16:uid="{AE156D59-65C5-4ECD-ACC7-EF4A37D40A7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connectionId="56" xr16:uid="{E20ACD40-FDAE-4D30-B95D-12F20DA8BC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connectionId="57" xr16:uid="{A369EE55-512A-40B5-B770-9DF06C62510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connectionId="58" xr16:uid="{C541197C-859C-4229-89B7-BA1BAF99810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connectionId="59" xr16:uid="{D1304522-F362-41C2-AD5F-26524A557B8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connectionId="60" xr16:uid="{CDC47FA2-556D-4580-B37B-A823079F3E6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connectionId="62" xr16:uid="{A991693B-AF72-44AF-ADD1-548264F112E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connectionId="63" xr16:uid="{B502290F-8717-4DB0-944C-C7B9F1745EC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connectionId="64" xr16:uid="{2A54D9F6-CBB7-40FB-B402-ACAC3FBDCB9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connectionId="65" xr16:uid="{68CD992E-318C-4C70-8100-DC25DAF57E1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connectionId="66" xr16:uid="{D01732E8-0BC5-422E-809B-4BC37F212AC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connectionId="67" xr16:uid="{153ABE8B-D205-4726-9556-B41861C6200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connectionId="68" xr16:uid="{A422E7B6-C0F9-44A1-93CA-22080536B0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connectionId="69" xr16:uid="{B5E65E3A-EF43-498C-9D34-BACAEE41CBC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connectionId="70" xr16:uid="{63896510-A89C-4FB3-9278-02119BA350B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connectionId="71" xr16:uid="{0378877E-DC27-4FB5-8CCF-EA5543AEBF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connectionId="73" xr16:uid="{29FC4970-BB5E-460D-81A4-C6818B6C84D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connectionId="74" xr16:uid="{EB3D81CF-33FF-44AB-B767-CE4D0512E69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connectionId="75" xr16:uid="{685B38A3-DA93-4E86-BD9D-2523244AB2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connectionId="76" xr16:uid="{548919F8-9485-487C-A157-1CB38A75A1E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connectionId="77" xr16:uid="{62736871-D3D3-4CA9-BA63-9530BF60E02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connectionId="78" xr16:uid="{03763F61-5666-485E-B48E-21E6C26068A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connectionId="79" xr16:uid="{2C146F04-B039-4B20-8922-7140EA1021D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connectionId="80" xr16:uid="{B37143C4-6E69-4D9E-85C0-ACEA3F22EDD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connectionId="81" xr16:uid="{E00F5D13-2220-47CA-9F50-1CCA55A7805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connectionId="82" xr16:uid="{ADB9DB6C-78EE-4E5F-A234-3E06BC6A3F1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connectionId="84" xr16:uid="{F753C5B4-4A7C-41CE-B4C5-A468BB09746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connectionId="85" xr16:uid="{6B168994-3CD9-475C-BAE1-70E1593E01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connectionId="86" xr16:uid="{00B02AB0-ED7C-41DC-84F0-0EEF41F9BF2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connectionId="87" xr16:uid="{B6E31148-2416-4031-8A6C-9DCF256CCE4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connectionId="88" xr16:uid="{279CF540-CC39-4552-9F1B-14CBB9F4920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connectionId="89" xr16:uid="{34D87627-6B7F-407C-8344-E87F995D31C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connectionId="90" xr16:uid="{2AD015F4-9BB0-44D9-B3EF-38F1A961180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connectionId="91" xr16:uid="{07A5F355-D182-441B-87EA-1100A1782FD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connectionId="92" xr16:uid="{302FD575-5A69-439E-B42F-035E40C1B152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connectionId="93" xr16:uid="{0A86DDFE-5D7F-4075-83F7-CA533EF453B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connectionId="95" xr16:uid="{D79647F5-8BA1-4582-90FD-45C50AA3D9B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connectionId="96" xr16:uid="{DF793FAD-0B28-4C50-861F-8A573B5F184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connectionId="97" xr16:uid="{4E8F711A-0CC9-4344-A533-70E1B3B7E2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connectionId="98" xr16:uid="{D7A7C491-CAE0-4AE5-9BC4-469785F82E4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connectionId="99" xr16:uid="{5822C9D2-63F2-43C1-9B99-06CB94F7E1C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connectionId="100" xr16:uid="{0177086D-CB1D-4F96-9CAC-8CFE23B0849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connectionId="101" xr16:uid="{9B43A708-2DFA-4701-8BDA-E2F263D4523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connectionId="102" xr16:uid="{C81D99CB-0239-4D95-910A-9E113921C4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connectionId="103" xr16:uid="{E37CE053-56A8-4D79-B75C-12561AE9BE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connectionId="104" xr16:uid="{ED216B9A-D23D-4D85-9751-A932F022B9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connectionId="106" xr16:uid="{4C14FDC8-0CAF-4B73-A6AD-1B3246532D6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connectionId="107" xr16:uid="{4A696BD1-5BDE-41B4-8957-2853600F8FB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connectionId="108" xr16:uid="{AA1DFD09-7087-4683-965F-081F94773B8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connectionId="109" xr16:uid="{2D860715-AE38-4351-95F2-F2848CF301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connectionId="110" xr16:uid="{13064000-40F9-48B1-B552-5ED3E739F8F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connectionId="111" xr16:uid="{DC748F85-7200-474C-B619-1F3B2AD4EF6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connectionId="112" xr16:uid="{24DE8316-3B0F-4D6E-84F8-E9E1D8B769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connectionId="113" xr16:uid="{6242D49F-DA76-4B4B-B6B0-1119D7DCD51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connectionId="114" xr16:uid="{55F2C8C5-494D-499F-B45F-2F4D0E1B25C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connectionId="115" xr16:uid="{384CE11C-D98A-48A5-9F0B-D5F6D1230D1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connectionId="117" xr16:uid="{DD23D29E-DE13-437D-A4A7-B52C52DD2F0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connectionId="118" xr16:uid="{2FB37F76-B066-492A-B8DB-89911C49C2D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connectionId="119" xr16:uid="{C527EEF0-95B3-480B-B4F9-0D5DCDB688E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connectionId="120" xr16:uid="{16A2B53A-B3FF-46C6-B4E7-201CA2E6EB63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connectionId="121" xr16:uid="{2ADDE469-FA58-4461-82EE-7266E17F14D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connectionId="122" xr16:uid="{BF6D1CE3-D6F5-4C5B-853F-AE70E14719B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connectionId="123" xr16:uid="{F846E66F-0609-4D1E-8196-428DF8AE508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connectionId="124" xr16:uid="{9E82BAE2-C18B-4BD6-9EC6-9D77A17870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connectionId="125" xr16:uid="{AFFAF6B1-240B-465D-AE0F-242CFF8A0E4A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connectionId="126" xr16:uid="{5B2F40AB-6544-43CF-B051-A28156BA17A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connectionId="128" xr16:uid="{24145B6E-F4C1-4DE2-814E-68F54E85FC8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connectionId="129" xr16:uid="{3F6C3C62-9ABC-4DF3-A13C-34B4773C712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connectionId="130" xr16:uid="{566D0817-CA5F-427F-8C8F-3700B6C54BB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connectionId="131" xr16:uid="{179BF552-564E-4E9B-95EB-2E338C74054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connectionId="132" xr16:uid="{58E7A7C3-3980-4AE3-9A6A-8ECBDF2EB96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connectionId="133" xr16:uid="{5092CDE1-6F88-4955-AE1B-8188E9748F4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connectionId="134" xr16:uid="{25E73FA8-447B-4F12-A82C-A64E215B510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connectionId="135" xr16:uid="{FE056553-A20E-41E4-BF5C-053B722CBEA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connectionId="136" xr16:uid="{93308EBD-1527-46F8-A79E-DABABD159F6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connectionId="137" xr16:uid="{5AAAEC99-B055-4E39-BB4A-492097FD51F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connectionId="3" xr16:uid="{C3FF5872-F329-4646-A10F-13FE6EBD35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connectionId="4" xr16:uid="{838B6725-F17C-4483-864C-0B57B68995E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connectionId="5" xr16:uid="{4D26A158-EAC2-4754-9287-7B380555C07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connectionId="6" xr16:uid="{A1B835FA-1AD7-41DC-8A81-1785F7E4F88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connectionId="7" xr16:uid="{1D48DB3B-DEB1-4501-A1DB-BF47F00821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connectionId="8" xr16:uid="{EB380C93-3BEF-407E-8C8C-147D1BD581D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connectionId="9" xr16:uid="{6E69B4CE-F8DA-4AF3-9395-986B5A40993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connectionId="10" xr16:uid="{CF40DBA4-D283-4D1E-A21F-CA8210BD39F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connectionId="11" xr16:uid="{2B922630-F0BA-4108-A302-54DFA1D5EC3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connectionId="12" xr16:uid="{F3993267-0478-4303-9CB4-D4C029405B9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connectionId="14" xr16:uid="{0A0FDC1A-C019-4154-8B95-F8DA0F1E72B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connectionId="15" xr16:uid="{A65FE50E-47C6-47F8-9195-6F01B227187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connectionId="16" xr16:uid="{82176509-ECDF-4BB3-8AFA-98588228C79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connectionId="17" xr16:uid="{E74D0D0F-7346-404B-A0A1-8C47A1BDD78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connectionId="18" xr16:uid="{4490235C-6CEA-4057-A843-7F29DC92277D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connectionId="19" xr16:uid="{4BEF3E7C-EAE5-4725-9097-55AED93969E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connectionId="20" xr16:uid="{35A1C71B-A1AA-4701-9E42-C19D21F0BAC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connectionId="21" xr16:uid="{B1449B3D-6CDA-46FB-84C4-A51A15DEA73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connectionId="22" xr16:uid="{D4C97C50-4607-4F56-A454-4F38876A2DF0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connectionId="23" xr16:uid="{2E118048-174E-4BE4-98AE-78CD9DB42065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connectionId="25" xr16:uid="{C97C8FFB-4427-4171-8C88-C9291E0D4FE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connectionId="26" xr16:uid="{4D374C73-BF35-4A4D-98B5-558E46C9F06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connectionId="27" xr16:uid="{7971F878-DE17-4BD9-85EF-91D43E42A0E7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connectionId="28" xr16:uid="{BADF83BB-0C2F-48D8-AD2A-7626191B4F7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connectionId="29" xr16:uid="{A82AEC52-EEE1-4225-AD49-0697A24EBC4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connectionId="30" xr16:uid="{D03BC8B2-6612-4664-BC85-49B5C5B4DC4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connectionId="31" xr16:uid="{DF4C1488-5186-4D7A-BAFB-C3942865EDAB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connectionId="32" xr16:uid="{B43C2F4B-C566-430C-942A-BB5C18C60554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connectionId="33" xr16:uid="{4C510C0A-1C6C-4286-BEA8-9EE5D076B59E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connectionId="34" xr16:uid="{6206312D-46F8-460A-8D52-F452D088B9F1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connectionId="36" xr16:uid="{0D19B232-EB7F-45FA-B70D-80F039992A06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connectionId="37" xr16:uid="{A44B3C1D-F9D7-47F4-9D96-11BEA6AB0FE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connectionId="38" xr16:uid="{B8D87FD8-AAD2-4765-AE9B-B64B0A85D4D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connectionId="39" xr16:uid="{A40FEF8F-EFC4-45A2-9B45-CE86DB297DF8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3" connectionId="40" xr16:uid="{B060005E-E901-409B-B850-534BD889ED0C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4" connectionId="41" xr16:uid="{9B51C3D6-D0D1-415B-97C0-08164761ECD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5" connectionId="42" xr16:uid="{F71AEF0D-20D7-49C8-AF43-0C2C95CCB52F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6" connectionId="43" xr16:uid="{58B3011E-DD1F-45B8-A98B-A5DCC44001F9}" autoFormatId="16" applyNumberFormats="0" applyBorderFormats="0" applyFontFormats="0" applyPatternFormats="0" applyAlignmentFormats="0" applyWidthHeightFormats="0">
  <queryTableRefresh nextId="9" unboundColumnsRight="1">
    <queryTableFields count="6">
      <queryTableField id="1" name="Column1.average" tableColumnId="1"/>
      <queryTableField id="4" name="Column1.lowest" tableColumnId="4"/>
      <queryTableField id="5" name="Column1.order_count" tableColumnId="5"/>
      <queryTableField id="6" name="Column1.volume" tableColumnId="6"/>
      <queryTableField id="7" name="Parse" tableColumnId="2"/>
      <queryTableField id="8" dataBound="0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4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5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6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7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8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9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0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1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2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3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4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5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6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7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8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9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0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1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2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3.xml"/></Relationships>
</file>

<file path=xl/tables/_rels/table7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4.xml"/></Relationships>
</file>

<file path=xl/tables/_rels/table7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5.xml"/></Relationships>
</file>

<file path=xl/tables/_rels/table7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_rels/table7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7.xml"/></Relationships>
</file>

<file path=xl/tables/_rels/table8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8.xml"/></Relationships>
</file>

<file path=xl/tables/_rels/table8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9.xml"/></Relationships>
</file>

<file path=xl/tables/_rels/table8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0.xml"/></Relationships>
</file>

<file path=xl/tables/_rels/table8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1.xml"/></Relationships>
</file>

<file path=xl/tables/_rels/table8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2.xml"/></Relationships>
</file>

<file path=xl/tables/_rels/table8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3.xml"/></Relationships>
</file>

<file path=xl/tables/_rels/table8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4.xml"/></Relationships>
</file>

<file path=xl/tables/_rels/table8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5.xml"/></Relationships>
</file>

<file path=xl/tables/_rels/table8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6.xml"/></Relationships>
</file>

<file path=xl/tables/_rels/table8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7.xml"/></Relationships>
</file>

<file path=xl/tables/_rels/table9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8.xml"/></Relationships>
</file>

<file path=xl/tables/_rels/table9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9.xml"/></Relationships>
</file>

<file path=xl/tables/_rels/table9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0.xml"/></Relationships>
</file>

<file path=xl/tables/_rels/table9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1.xml"/></Relationships>
</file>

<file path=xl/tables/_rels/table9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2.xml"/></Relationships>
</file>

<file path=xl/tables/_rels/table9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3.xml"/></Relationships>
</file>

<file path=xl/tables/_rels/table9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4.xml"/></Relationships>
</file>

<file path=xl/tables/_rels/table9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5.xml"/></Relationships>
</file>

<file path=xl/tables/_rels/table9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6.xml"/></Relationships>
</file>

<file path=xl/tables/_rels/table9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7.xml"/></Relationships>
</file>

<file path=xl/tables/_rels/table10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8.xml"/></Relationships>
</file>

<file path=xl/tables/_rels/table10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9.xml"/></Relationships>
</file>

<file path=xl/tables/_rels/table10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0.xml"/></Relationships>
</file>

<file path=xl/tables/_rels/table10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1.xml"/></Relationships>
</file>

<file path=xl/tables/_rels/table10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2.xml"/></Relationships>
</file>

<file path=xl/tables/_rels/table10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3.xml"/></Relationships>
</file>

<file path=xl/tables/_rels/table10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4.xml"/></Relationships>
</file>

<file path=xl/tables/_rels/table10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5.xml"/></Relationships>
</file>

<file path=xl/tables/_rels/table10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6.xml"/></Relationships>
</file>

<file path=xl/tables/_rels/table10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7.xml"/></Relationships>
</file>

<file path=xl/tables/_rels/table1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8.xml"/></Relationships>
</file>

<file path=xl/tables/_rels/table1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9.xml"/></Relationships>
</file>

<file path=xl/tables/_rels/table1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0.xml"/></Relationships>
</file>

<file path=xl/tables/_rels/table1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1.xml"/></Relationships>
</file>

<file path=xl/tables/_rels/table1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2.xml"/></Relationships>
</file>

<file path=xl/tables/_rels/table1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3.xml"/></Relationships>
</file>

<file path=xl/tables/_rels/table1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4.xml"/></Relationships>
</file>

<file path=xl/tables/_rels/table1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5.xml"/></Relationships>
</file>

<file path=xl/tables/_rels/table1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6.xml"/></Relationships>
</file>

<file path=xl/tables/_rels/table1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7.xml"/></Relationships>
</file>

<file path=xl/tables/_rels/table1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8.xml"/></Relationships>
</file>

<file path=xl/tables/_rels/table1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9.xml"/></Relationships>
</file>

<file path=xl/tables/_rels/table1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0.xml"/></Relationships>
</file>

<file path=xl/tables/_rels/table1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1.xml"/></Relationships>
</file>

<file path=xl/tables/_rels/table1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2.xml"/></Relationships>
</file>

<file path=xl/tables/_rels/table1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3.xml"/></Relationships>
</file>

<file path=xl/tables/_rels/table1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4.xml"/></Relationships>
</file>

<file path=xl/tables/_rels/table1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5.xml"/></Relationships>
</file>

<file path=xl/tables/_rels/table1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6.xml"/></Relationships>
</file>

<file path=xl/tables/_rels/table1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7.xml"/></Relationships>
</file>

<file path=xl/tables/_rels/table1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8.xml"/></Relationships>
</file>

<file path=xl/tables/_rels/table1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9.xml"/></Relationships>
</file>

<file path=xl/tables/_rels/table1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0.xml"/></Relationships>
</file>

<file path=xl/tables/_rels/table1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1.xml"/></Relationships>
</file>

<file path=xl/tables/_rels/table1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2.xml"/></Relationships>
</file>

<file path=xl/tables/_rels/table1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3.xml"/></Relationships>
</file>

<file path=xl/tables/_rels/table1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4.xml"/></Relationships>
</file>

<file path=xl/tables/_rels/table1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5.xml"/></Relationships>
</file>

<file path=xl/tables/_rels/table1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6.xml"/></Relationships>
</file>

<file path=xl/tables/_rels/table1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7.xml"/></Relationships>
</file>

<file path=xl/tables/_rels/table1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F95D97-3FE0-4640-8C77-A5D7FDE275BB}" name="Table1" displayName="Table1" ref="A1:O80" totalsRowShown="0" dataDxfId="290">
  <autoFilter ref="A1:O80" xr:uid="{2AF95D97-3FE0-4640-8C77-A5D7FDE275BB}"/>
  <sortState xmlns:xlrd2="http://schemas.microsoft.com/office/spreadsheetml/2017/richdata2" ref="A2:O80">
    <sortCondition ref="A1:A80"/>
  </sortState>
  <tableColumns count="15">
    <tableColumn id="1" xr3:uid="{C641B123-62B0-4D9E-8C7B-5BC97C8954B1}" name="Name" dataDxfId="289"/>
    <tableColumn id="2" xr3:uid="{63C85D97-D97F-4BB3-B594-6ED26C3992EE}" name="TypeID" dataDxfId="288">
      <calculatedColumnFormula>VLOOKUP(A2,TypeIDs!B:C,2,FALSE)</calculatedColumnFormula>
    </tableColumn>
    <tableColumn id="15" xr3:uid="{67B70282-B128-448D-953C-C53B373D0D26}" name="Market Pos" dataDxfId="287">
      <calculatedColumnFormula>VLOOKUP(B2,TradeSheet!B:T,19,FALSE)</calculatedColumnFormula>
    </tableColumn>
    <tableColumn id="9" xr3:uid="{5114D7DC-2FCC-48F1-8B02-7608C7FF09B1}" name="Category" dataDxfId="286"/>
    <tableColumn id="7" xr3:uid="{603AFD24-D6CE-4E31-8568-B0840F81EC76}" name="#" dataDxfId="285" dataCellStyle="Neutral">
      <calculatedColumnFormula>MAX(VLOOKUP(B2,TradeSheet!B:K,10,FALSE)-O2,0)</calculatedColumnFormula>
    </tableColumn>
    <tableColumn id="12" xr3:uid="{3AC93A2C-99A1-4898-9434-63553A752E86}" name="# +/-" dataDxfId="284" dataCellStyle="Neutral"/>
    <tableColumn id="10" xr3:uid="{7AB7EC78-F703-4366-B1CE-54F75442F9D0}" name=" " dataDxfId="283" dataCellStyle="Input">
      <calculatedColumnFormula>VLOOKUP(B2,TypeIDs!C:D,2,FALSE)</calculatedColumnFormula>
    </tableColumn>
    <tableColumn id="11" xr3:uid="{F84A1AB7-ECF9-42FD-88C3-0CC8188587F8}" name="Volume" dataDxfId="282" dataCellStyle="Input">
      <calculatedColumnFormula>MAX(G2*(E2+F2),0)</calculatedColumnFormula>
    </tableColumn>
    <tableColumn id="3" xr3:uid="{B8A9B089-19F3-47E6-980C-77B26CEF9D43}" name="Buy" dataDxfId="281" dataCellStyle="Bad">
      <calculatedColumnFormula>VLOOKUP(B2,TradeSheet!B:E,3,FALSE)</calculatedColumnFormula>
    </tableColumn>
    <tableColumn id="4" xr3:uid="{69767C5F-1B59-4BBB-8552-9B8118414C1D}" name="Total Revenue" dataDxfId="280" dataCellStyle="Accent6">
      <calculatedColumnFormula>MAX(VLOOKUP(B2,TradeSheet!B:F,5,FALSE)*(IF(F2&gt;0,E2,E2+F2)+O2),0)</calculatedColumnFormula>
    </tableColumn>
    <tableColumn id="13" xr3:uid="{4A4512D5-5DEE-4141-84F0-C43F8D1DAB45}" name="Total Investment" dataDxfId="279" dataCellStyle="Accent2">
      <calculatedColumnFormula>MAX(I2*(E2+F2),0)</calculatedColumnFormula>
    </tableColumn>
    <tableColumn id="5" xr3:uid="{9952A3C5-2D3A-447C-8E4A-430B0E9F7C91}" name="Profit" dataDxfId="278" dataCellStyle="Good">
      <calculatedColumnFormula>(J2-K2)</calculatedColumnFormula>
    </tableColumn>
    <tableColumn id="6" xr3:uid="{71BB8A3C-295F-45BD-A034-F8EC1805889E}" name="Order Date" dataDxfId="277"/>
    <tableColumn id="8" xr3:uid="{55DE6210-B9F5-4630-9A28-812209C8C180}" name="Out?" dataDxfId="276"/>
    <tableColumn id="14" xr3:uid="{AF966135-9064-4DA5-8BCE-E923C2B822E1}" name="Left" dataDxfId="27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2564895C-8B31-4C0A-A71B-9405C44EF4D6}" name="Table141" displayName="Table141" ref="J1:J38" totalsRowShown="0">
  <autoFilter ref="J1:J38" xr:uid="{2564895C-8B31-4C0A-A71B-9405C44EF4D6}"/>
  <tableColumns count="1">
    <tableColumn id="1" xr3:uid="{7CDE063B-CAE3-42AE-9646-7D675586B8DB}" name="Fleet BL 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6768" tableType="queryTable" totalsRowShown="0">
  <autoFilter ref="A1:K6768" xr:uid="{0A2CFC4A-0981-4514-BFC9-EEF08D75C47F}"/>
  <sortState xmlns:xlrd2="http://schemas.microsoft.com/office/spreadsheetml/2017/richdata2" ref="A2:K6768">
    <sortCondition ref="I1:I6768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92B095-693B-45CB-BA04-7E83DD984539}" name="datasource_tranquility_type_id_2048" displayName="datasource_tranquility_type_id_2048" ref="B3:G17" tableType="queryTable" totalsRowShown="0">
  <autoFilter ref="B3:G17" xr:uid="{ABC8484E-24CE-4B2D-B56F-35318D1CF6F6}"/>
  <tableColumns count="6">
    <tableColumn id="1" xr3:uid="{1990CE7F-19DE-4773-9E4E-5016AB813115}" uniqueName="1" name="Column1.average" queryTableFieldId="1"/>
    <tableColumn id="4" xr3:uid="{9419F7E4-C827-4F93-BA35-EAF49EBCBF28}" uniqueName="4" name="Column1.lowest" queryTableFieldId="4"/>
    <tableColumn id="5" xr3:uid="{97D121A3-59EA-4011-B031-ABD80F41A699}" uniqueName="5" name="Column1.order_count" queryTableFieldId="5"/>
    <tableColumn id="6" xr3:uid="{CE71230F-3914-4E70-B00E-86C97268C803}" uniqueName="6" name="Column1.volume" queryTableFieldId="6"/>
    <tableColumn id="2" xr3:uid="{F71BB1AE-6571-4A79-A4FB-0FF3041BF8C2}" uniqueName="2" name="Parse" queryTableFieldId="7" dataDxfId="0"/>
    <tableColumn id="3" xr3:uid="{E037F50F-ECD8-4159-8910-F9731A03C578}" uniqueName="3" name="Column1" queryTableFieldId="8" dataDxfId="273">
      <calculatedColumnFormula>IFERROR(IF((F4-F3)&gt;1,(LARGE(F4:$F4,1)-LARGE(F4:$F$4,2)),""),"")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28796F52-9D7F-4D4C-A6C3-D00D29044CD2}" name="datasource_tranquility_type_id_2048105" displayName="datasource_tranquility_type_id_2048105" ref="B18:G32" tableType="queryTable" totalsRowShown="0">
  <autoFilter ref="B18:G32" xr:uid="{28796F52-9D7F-4D4C-A6C3-D00D29044CD2}"/>
  <tableColumns count="6">
    <tableColumn id="1" xr3:uid="{414F937A-B4E8-4BE1-A08B-BC17E0F796AF}" uniqueName="1" name="Column1.average" queryTableFieldId="1"/>
    <tableColumn id="4" xr3:uid="{542532AC-042F-4555-9FF4-D3DC136FDAB9}" uniqueName="4" name="Column1.lowest" queryTableFieldId="4"/>
    <tableColumn id="5" xr3:uid="{A612AE5A-74B6-4875-A32B-EB966F699586}" uniqueName="5" name="Column1.order_count" queryTableFieldId="5"/>
    <tableColumn id="6" xr3:uid="{2E0733B3-9879-4797-943B-B0B5691A16E7}" uniqueName="6" name="Column1.volume" queryTableFieldId="6"/>
    <tableColumn id="2" xr3:uid="{7BEABC0B-602C-4BC5-9787-7B38AECA1895}" uniqueName="2" name="Parse" queryTableFieldId="7" dataDxfId="272"/>
    <tableColumn id="3" xr3:uid="{A5576819-3EF2-4FA2-8337-C07D374F6425}" uniqueName="3" name="Column1" queryTableFieldId="8" dataDxfId="271">
      <calculatedColumnFormula>IFERROR(IF((F19-F18)&gt;1,(LARGE(F19:$F19,1)-LARGE(F$19:$F19,2))-1,""),"")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6D500522-292E-445F-9387-DC4526312304}" name="datasource_tranquility_type_id_2048105106" displayName="datasource_tranquility_type_id_2048105106" ref="B33:G47" tableType="queryTable" totalsRowShown="0">
  <autoFilter ref="B33:G47" xr:uid="{6D500522-292E-445F-9387-DC4526312304}"/>
  <tableColumns count="6">
    <tableColumn id="1" xr3:uid="{E7D4B304-1966-4FAC-9D38-EE7997CEA03B}" uniqueName="1" name="Column1.average" queryTableFieldId="1"/>
    <tableColumn id="4" xr3:uid="{E0CBF06C-2083-4946-B913-AF526A443146}" uniqueName="4" name="Column1.lowest" queryTableFieldId="4"/>
    <tableColumn id="5" xr3:uid="{2680C3E4-0F3C-4250-911B-DABF0C7D13A5}" uniqueName="5" name="Column1.order_count" queryTableFieldId="5"/>
    <tableColumn id="6" xr3:uid="{60618AE0-08E6-40FA-A4FC-E4B1DD6D12E7}" uniqueName="6" name="Column1.volume" queryTableFieldId="6"/>
    <tableColumn id="2" xr3:uid="{294A1347-49E3-4474-9AF4-DE6D84F5DA5C}" uniqueName="2" name="Parse" queryTableFieldId="7" dataDxfId="270"/>
    <tableColumn id="3" xr3:uid="{7561C059-A353-43DF-8961-ACE8975D3C93}" uniqueName="3" name="Column1" queryTableFieldId="8" dataDxfId="269">
      <calculatedColumnFormula>IFERROR(IF((F34-F33)&gt;1,(LARGE(F34:$F34,1)-LARGE(F$34:$F34,2))-1,""),"")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8CD9082B-7EA9-4B8E-9AEE-ACB84A9DCCBD}" name="datasource_tranquility_type_id_2048105106107" displayName="datasource_tranquility_type_id_2048105106107" ref="B48:G62" tableType="queryTable" totalsRowShown="0">
  <autoFilter ref="B48:G62" xr:uid="{8CD9082B-7EA9-4B8E-9AEE-ACB84A9DCCBD}"/>
  <tableColumns count="6">
    <tableColumn id="1" xr3:uid="{9AC6941B-FF28-4D26-978C-C3F7148BED20}" uniqueName="1" name="Column1.average" queryTableFieldId="1"/>
    <tableColumn id="4" xr3:uid="{602368A8-8713-4821-95CA-9504081812B3}" uniqueName="4" name="Column1.lowest" queryTableFieldId="4"/>
    <tableColumn id="5" xr3:uid="{6C16C27F-6970-49DA-972A-92E07663A2CA}" uniqueName="5" name="Column1.order_count" queryTableFieldId="5"/>
    <tableColumn id="6" xr3:uid="{27A33C0E-AD93-46B4-8D70-0318925E06E4}" uniqueName="6" name="Column1.volume" queryTableFieldId="6"/>
    <tableColumn id="2" xr3:uid="{7150C28D-DC9D-4040-89E8-3452181F1203}" uniqueName="2" name="Parse" queryTableFieldId="7" dataDxfId="268"/>
    <tableColumn id="3" xr3:uid="{B039DD3A-2F18-497F-8E4E-3BB566D25D85}" uniqueName="3" name="Column1" queryTableFieldId="8" dataDxfId="267">
      <calculatedColumnFormula>IFERROR(IF((F49-F48)&gt;1,(LARGE(F49:$F49,1)-LARGE(F$49:$F49,2))-1,""),"")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7A36E60E-93D9-4CF4-B8A2-6398D1999452}" name="datasource_tranquility_type_id_2048105106107108" displayName="datasource_tranquility_type_id_2048105106107108" ref="B63:G77" tableType="queryTable" totalsRowShown="0">
  <autoFilter ref="B63:G77" xr:uid="{7A36E60E-93D9-4CF4-B8A2-6398D1999452}"/>
  <tableColumns count="6">
    <tableColumn id="1" xr3:uid="{9B15D19A-945E-4E70-83C1-6C4B64050FFA}" uniqueName="1" name="Column1.average" queryTableFieldId="1"/>
    <tableColumn id="4" xr3:uid="{5A404F28-366E-4F53-811C-320D4139FC3D}" uniqueName="4" name="Column1.lowest" queryTableFieldId="4"/>
    <tableColumn id="5" xr3:uid="{9890AE11-9214-4B53-9B58-577CAF6D5243}" uniqueName="5" name="Column1.order_count" queryTableFieldId="5"/>
    <tableColumn id="6" xr3:uid="{8487D7C8-EAFF-4861-B54E-A1A58C96ABFE}" uniqueName="6" name="Column1.volume" queryTableFieldId="6"/>
    <tableColumn id="2" xr3:uid="{D6EB8C27-33D2-4AFF-92E3-ABCDA8213693}" uniqueName="2" name="Parse" queryTableFieldId="7" dataDxfId="266"/>
    <tableColumn id="3" xr3:uid="{781AA01F-98F6-4351-8F2E-E1488BDE21B8}" uniqueName="3" name="Column1" queryTableFieldId="8" dataDxfId="265">
      <calculatedColumnFormula>IFERROR(IF((F64-F63)&gt;1,(LARGE(F64:$F64,1)-LARGE(F$64:$F64,2))-1,""),"")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8E5E11-9031-40BB-8494-3A2E36D0AC69}" name="datasource_tranquility_type_id_20481051061071084" displayName="datasource_tranquility_type_id_20481051061071084" ref="B78:G92" tableType="queryTable" totalsRowShown="0">
  <autoFilter ref="B78:G92" xr:uid="{F58E5E11-9031-40BB-8494-3A2E36D0AC69}"/>
  <tableColumns count="6">
    <tableColumn id="1" xr3:uid="{A070B266-7F19-45F6-8AC1-E483A98F7B2F}" uniqueName="1" name="Column1.average" queryTableFieldId="1"/>
    <tableColumn id="4" xr3:uid="{562C689A-26C6-41C6-8F4B-189589BF9529}" uniqueName="4" name="Column1.lowest" queryTableFieldId="4"/>
    <tableColumn id="5" xr3:uid="{14F010FB-602A-4809-A3BB-FDB6827CB34A}" uniqueName="5" name="Column1.order_count" queryTableFieldId="5"/>
    <tableColumn id="6" xr3:uid="{82127521-0264-4210-8A16-BE45CF9037E8}" uniqueName="6" name="Column1.volume" queryTableFieldId="6"/>
    <tableColumn id="2" xr3:uid="{FADF0459-EEDA-4761-BC6A-7E3EDF6F6833}" uniqueName="2" name="Parse" queryTableFieldId="7" dataDxfId="264"/>
    <tableColumn id="3" xr3:uid="{3DC01886-9AA9-49A3-88D4-296CAAE079B1}" uniqueName="3" name="Column1" queryTableFieldId="8" dataDxfId="263">
      <calculatedColumnFormula>IFERROR(IF((F79-F78)&gt;1,(LARGE(F79:$F79,1)-LARGE(F$79:$F79,2))-1,""),"")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4D6549-6FF5-4D3C-B3D1-6D4AED8D20F1}" name="datasource_tranquility_type_id_204810510610710845" displayName="datasource_tranquility_type_id_204810510610710845" ref="B93:G107" tableType="queryTable" totalsRowShown="0">
  <autoFilter ref="B93:G107" xr:uid="{E74D6549-6FF5-4D3C-B3D1-6D4AED8D20F1}"/>
  <tableColumns count="6">
    <tableColumn id="1" xr3:uid="{6C0ADB76-F3B8-436A-9010-9A3D317E24FB}" uniqueName="1" name="Column1.average" queryTableFieldId="1"/>
    <tableColumn id="4" xr3:uid="{92A4DDBF-033B-4846-BAA1-2826547BA17E}" uniqueName="4" name="Column1.lowest" queryTableFieldId="4"/>
    <tableColumn id="5" xr3:uid="{3ECDF039-76B7-455F-84CB-9DC9EB14ECBF}" uniqueName="5" name="Column1.order_count" queryTableFieldId="5"/>
    <tableColumn id="6" xr3:uid="{C6AB04F8-857B-48CE-91A8-DDC12FCB91A9}" uniqueName="6" name="Column1.volume" queryTableFieldId="6"/>
    <tableColumn id="2" xr3:uid="{78E311A4-F003-40B3-9B13-9DDA8F1C2CBF}" uniqueName="2" name="Parse" queryTableFieldId="7" dataDxfId="262"/>
    <tableColumn id="3" xr3:uid="{CD9F2163-BBE8-456A-B1CE-925ABF559A65}" uniqueName="3" name="Column1" queryTableFieldId="8" dataDxfId="261">
      <calculatedColumnFormula>IFERROR(IF((F94-F93)&gt;1,(LARGE(F94:$F94,1)-LARGE(F$94:$F94,2))-1,""),"")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B61399-14DD-410E-8C53-6EF197706D12}" name="datasource_tranquility_type_id_2048105106107108457" displayName="datasource_tranquility_type_id_2048105106107108457" ref="B108:G122" tableType="queryTable" totalsRowShown="0">
  <autoFilter ref="B108:G122" xr:uid="{5BB61399-14DD-410E-8C53-6EF197706D12}"/>
  <tableColumns count="6">
    <tableColumn id="1" xr3:uid="{778F01FE-8623-4E3B-8431-7BD4650B4A18}" uniqueName="1" name="Column1.average" queryTableFieldId="1"/>
    <tableColumn id="4" xr3:uid="{E4AE3DD3-C7DB-4804-82E1-A9713707A606}" uniqueName="4" name="Column1.lowest" queryTableFieldId="4"/>
    <tableColumn id="5" xr3:uid="{758336AC-53EF-4CBA-B831-FFAE11068EF3}" uniqueName="5" name="Column1.order_count" queryTableFieldId="5"/>
    <tableColumn id="6" xr3:uid="{966B0610-8482-4082-B93E-E771207D74C5}" uniqueName="6" name="Column1.volume" queryTableFieldId="6"/>
    <tableColumn id="2" xr3:uid="{0D5901EC-5F71-41E4-8E1F-E6B1044AA349}" uniqueName="2" name="Parse" queryTableFieldId="7" dataDxfId="260"/>
    <tableColumn id="3" xr3:uid="{1A8DEB81-1FA0-4EA1-B123-5036F260B3D0}" uniqueName="3" name="Column1" queryTableFieldId="8" dataDxfId="259">
      <calculatedColumnFormula>IFERROR(IF((F109-F108)&gt;1,(LARGE(F109:$F109,1)-LARGE(F$109:$F109,2))-1,""),"")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194166-0EEE-467B-8A07-E7FEBE23F43D}" name="datasource_tranquility_type_id_20481051061071084578" displayName="datasource_tranquility_type_id_20481051061071084578" ref="B123:G137" tableType="queryTable" totalsRowShown="0">
  <autoFilter ref="B123:G137" xr:uid="{5A194166-0EEE-467B-8A07-E7FEBE23F43D}"/>
  <tableColumns count="6">
    <tableColumn id="1" xr3:uid="{34BBCC23-CD3F-4EE4-8994-1F5164B45834}" uniqueName="1" name="Column1.average" queryTableFieldId="1"/>
    <tableColumn id="4" xr3:uid="{FCD560CA-BA6D-4F39-82BF-6ED705248CB3}" uniqueName="4" name="Column1.lowest" queryTableFieldId="4"/>
    <tableColumn id="5" xr3:uid="{96855524-7FE0-4592-930A-B7B915417C67}" uniqueName="5" name="Column1.order_count" queryTableFieldId="5"/>
    <tableColumn id="6" xr3:uid="{B3F8709C-862A-48AA-9119-5896D2AA659B}" uniqueName="6" name="Column1.volume" queryTableFieldId="6"/>
    <tableColumn id="2" xr3:uid="{87CC34F4-485A-4290-90B5-DE7A429AFBE3}" uniqueName="2" name="Parse" queryTableFieldId="7" dataDxfId="258"/>
    <tableColumn id="3" xr3:uid="{0DB8B75D-F130-4F57-9655-47E147BE0C18}" uniqueName="3" name="Column1" queryTableFieldId="8" dataDxfId="257">
      <calculatedColumnFormula>IFERROR(IF((F124-F123)&gt;1,(LARGE(F124:$F124,1)-LARGE(F$124:$F124,2))-1,""),"")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6893E5B-CF21-4244-B9F8-B3575D595C94}" name="datasource_tranquility_type_id_204810510610710845789" displayName="datasource_tranquility_type_id_204810510610710845789" ref="B138:G152" tableType="queryTable" totalsRowShown="0">
  <autoFilter ref="B138:G152" xr:uid="{66893E5B-CF21-4244-B9F8-B3575D595C94}"/>
  <tableColumns count="6">
    <tableColumn id="1" xr3:uid="{72D6D92D-3C04-47EA-B61A-7E89EABB1310}" uniqueName="1" name="Column1.average" queryTableFieldId="1"/>
    <tableColumn id="4" xr3:uid="{09E2B63C-E87F-4E1F-837F-32E42B7A55E5}" uniqueName="4" name="Column1.lowest" queryTableFieldId="4"/>
    <tableColumn id="5" xr3:uid="{9ADAD2CA-24F3-46F1-80C4-3DEF71711D14}" uniqueName="5" name="Column1.order_count" queryTableFieldId="5"/>
    <tableColumn id="6" xr3:uid="{40EB16E2-BE49-4F1E-94D3-5C375E74C947}" uniqueName="6" name="Column1.volume" queryTableFieldId="6"/>
    <tableColumn id="2" xr3:uid="{68779FA5-D4A2-480D-B86C-FD65D9F03AF2}" uniqueName="2" name="Parse" queryTableFieldId="7" dataDxfId="256"/>
    <tableColumn id="3" xr3:uid="{493EC343-C3F6-4B84-B6D6-94F9AEBD7705}" uniqueName="3" name="Column1" queryTableFieldId="8" dataDxfId="255">
      <calculatedColumnFormula>IFERROR(IF((F139-F138)&gt;1,(LARGE(F139:$F139,1)-LARGE(F$139:$F139,2))-1,""),"")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09EF9D7-68C3-4144-82FE-201DAD64E98C}" name="datasource_tranquility_type_id_20481051061071084578910" displayName="datasource_tranquility_type_id_20481051061071084578910" ref="B153:G167" tableType="queryTable" totalsRowShown="0">
  <autoFilter ref="B153:G167" xr:uid="{709EF9D7-68C3-4144-82FE-201DAD64E98C}"/>
  <tableColumns count="6">
    <tableColumn id="1" xr3:uid="{3E1A1F22-2D24-42D2-9614-9C8D0CD4A079}" uniqueName="1" name="Column1.average" queryTableFieldId="1"/>
    <tableColumn id="4" xr3:uid="{D52FE9FB-9953-48CD-8092-4408CE4D82F4}" uniqueName="4" name="Column1.lowest" queryTableFieldId="4"/>
    <tableColumn id="5" xr3:uid="{46471AD7-0F7A-4DFD-B3AA-07774720E205}" uniqueName="5" name="Column1.order_count" queryTableFieldId="5"/>
    <tableColumn id="6" xr3:uid="{EDB0B9EB-EB64-46A3-9CA1-69A925E25B80}" uniqueName="6" name="Column1.volume" queryTableFieldId="6"/>
    <tableColumn id="2" xr3:uid="{E0361F27-D633-4039-B944-AD89756EE72F}" uniqueName="2" name="Parse" queryTableFieldId="7" dataDxfId="254"/>
    <tableColumn id="3" xr3:uid="{CB1376D8-1394-424F-90E6-2A4C6895E59A}" uniqueName="3" name="Column1" queryTableFieldId="8" dataDxfId="253">
      <calculatedColumnFormula>IFERROR(IF((F154-F153)&gt;1,(LARGE(F154:$F154,1)-LARGE(F$154:$F154,2))-1,""),"")</calculatedColumnFormula>
    </tableColumn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538EE46-3BEF-4783-8D55-DB7598C0F4C3}" name="datasource_tranquility_type_id_2048105106107108457891011" displayName="datasource_tranquility_type_id_2048105106107108457891011" ref="B168:G182" tableType="queryTable" totalsRowShown="0">
  <autoFilter ref="B168:G182" xr:uid="{2538EE46-3BEF-4783-8D55-DB7598C0F4C3}"/>
  <tableColumns count="6">
    <tableColumn id="1" xr3:uid="{413E8AFF-BA63-4F3B-A5FB-D084F258E047}" uniqueName="1" name="Column1.average" queryTableFieldId="1"/>
    <tableColumn id="4" xr3:uid="{FA05E23C-558C-456F-AD90-F1D683A3B616}" uniqueName="4" name="Column1.lowest" queryTableFieldId="4"/>
    <tableColumn id="5" xr3:uid="{34A3ED37-6E10-42BD-9D0B-39473409F8C1}" uniqueName="5" name="Column1.order_count" queryTableFieldId="5"/>
    <tableColumn id="6" xr3:uid="{07EF265F-F78F-4396-945C-7964C4D2C528}" uniqueName="6" name="Column1.volume" queryTableFieldId="6"/>
    <tableColumn id="2" xr3:uid="{B10DE7B9-6DBB-4FE2-B951-3E4FB17F89C9}" uniqueName="2" name="Parse" queryTableFieldId="7" dataDxfId="252"/>
    <tableColumn id="3" xr3:uid="{8FAAA63E-F598-479F-938F-3359C3A65E96}" uniqueName="3" name="Column1" queryTableFieldId="8" dataDxfId="251">
      <calculatedColumnFormula>IFERROR(IF((F169-F168)&gt;1,(LARGE(F169:$F169,1)-LARGE(F$169:$F169,2))-1,""),"")</calculatedColumnFormula>
    </tableColumn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2B7B23-9FD2-428F-BE66-456D58FA5A57}" name="datasource_tranquility_type_id_204810510610710845789101112" displayName="datasource_tranquility_type_id_204810510610710845789101112" ref="B183:G197" tableType="queryTable" totalsRowShown="0">
  <autoFilter ref="B183:G197" xr:uid="{F32B7B23-9FD2-428F-BE66-456D58FA5A57}"/>
  <tableColumns count="6">
    <tableColumn id="1" xr3:uid="{5EEAFEA5-F218-4E74-A394-5234D670940B}" uniqueName="1" name="Column1.average" queryTableFieldId="1"/>
    <tableColumn id="4" xr3:uid="{C5AB040D-982C-4FBB-A5AD-52EC3CC39625}" uniqueName="4" name="Column1.lowest" queryTableFieldId="4"/>
    <tableColumn id="5" xr3:uid="{422F30C8-2186-499A-A792-F968AA3C574C}" uniqueName="5" name="Column1.order_count" queryTableFieldId="5"/>
    <tableColumn id="6" xr3:uid="{581DADAD-B265-477C-9B88-23795FEDB4D5}" uniqueName="6" name="Column1.volume" queryTableFieldId="6"/>
    <tableColumn id="2" xr3:uid="{35465CED-0439-4F09-A9E5-185E6B988AFB}" uniqueName="2" name="Parse" queryTableFieldId="7" dataDxfId="250"/>
    <tableColumn id="3" xr3:uid="{48F2ED9F-C1D5-492B-A37F-903BF7A2164C}" uniqueName="3" name="Column1" queryTableFieldId="8" dataDxfId="249">
      <calculatedColumnFormula>IFERROR(IF((F184-F183)&gt;1,(LARGE(F184:$F184,1)-LARGE(F$184:$F184,2))-1,""),"")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FE5938-6094-46DF-B71C-53C092BAE02F}" name="datasource_tranquility_type_id_20481051061071084578910111213" displayName="datasource_tranquility_type_id_20481051061071084578910111213" ref="B198:G212" tableType="queryTable" totalsRowShown="0">
  <autoFilter ref="B198:G212" xr:uid="{64FE5938-6094-46DF-B71C-53C092BAE02F}"/>
  <tableColumns count="6">
    <tableColumn id="1" xr3:uid="{FB96ED13-3833-468D-8D7B-B84E025DFCC3}" uniqueName="1" name="Column1.average" queryTableFieldId="1"/>
    <tableColumn id="4" xr3:uid="{E77A6C2B-28C4-4975-9E49-D0C54F1D20A6}" uniqueName="4" name="Column1.lowest" queryTableFieldId="4"/>
    <tableColumn id="5" xr3:uid="{1FB47A2D-2FD5-46B9-B28C-0F206507AB67}" uniqueName="5" name="Column1.order_count" queryTableFieldId="5"/>
    <tableColumn id="6" xr3:uid="{8B709254-2E96-4223-843F-E1E385E9BA84}" uniqueName="6" name="Column1.volume" queryTableFieldId="6"/>
    <tableColumn id="2" xr3:uid="{455D4D73-EB71-4E74-A73D-16650BEFBB02}" uniqueName="2" name="Parse" queryTableFieldId="7" dataDxfId="248"/>
    <tableColumn id="3" xr3:uid="{4BB203C8-5EAD-4155-88FD-52B22A90A605}" uniqueName="3" name="Column1" queryTableFieldId="8" dataDxfId="247">
      <calculatedColumnFormula>IFERROR(IF((F199-F198)&gt;1,(LARGE(F199:$F199,1)-LARGE(F$199:$F199,2))-1,""),"")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2FFA956-73AA-4067-B4EE-632DB8AD367E}" name="datasource_tranquility_type_id_2048105106107108457891011121314" displayName="datasource_tranquility_type_id_2048105106107108457891011121314" ref="B213:G227" tableType="queryTable" totalsRowShown="0">
  <autoFilter ref="B213:G227" xr:uid="{82FFA956-73AA-4067-B4EE-632DB8AD367E}"/>
  <tableColumns count="6">
    <tableColumn id="1" xr3:uid="{C56C88B3-7D9D-4048-8205-630BB3FE5544}" uniqueName="1" name="Column1.average" queryTableFieldId="1"/>
    <tableColumn id="4" xr3:uid="{D51EF828-B059-41DA-B605-6C6F5CD0E015}" uniqueName="4" name="Column1.lowest" queryTableFieldId="4"/>
    <tableColumn id="5" xr3:uid="{40019139-8229-4B3B-BAB1-B8DCA25C0703}" uniqueName="5" name="Column1.order_count" queryTableFieldId="5"/>
    <tableColumn id="6" xr3:uid="{A7018F8F-99F0-4D00-A783-A14F4D4B3C25}" uniqueName="6" name="Column1.volume" queryTableFieldId="6"/>
    <tableColumn id="2" xr3:uid="{ECFFD00C-B19D-44F8-A596-50CC4C8AFBCC}" uniqueName="2" name="Parse" queryTableFieldId="7" dataDxfId="246"/>
    <tableColumn id="3" xr3:uid="{A0D1241B-DF24-45BD-9E20-0D810568B321}" uniqueName="3" name="Column1" queryTableFieldId="8" dataDxfId="245">
      <calculatedColumnFormula>IFERROR(IF((F214-F213)&gt;1,(LARGE(F214:$F214,1)-LARGE(F$214:$F214,2))-1,""),"")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15F2B9C-4FC2-455D-B244-98D872DF2EDD}" name="datasource_tranquility_type_id_204810510610710845789101112131415" displayName="datasource_tranquility_type_id_204810510610710845789101112131415" ref="B228:G242" tableType="queryTable" totalsRowShown="0">
  <autoFilter ref="B228:G242" xr:uid="{815F2B9C-4FC2-455D-B244-98D872DF2EDD}"/>
  <tableColumns count="6">
    <tableColumn id="1" xr3:uid="{CDFA073E-D573-4E54-B166-10F910D2F043}" uniqueName="1" name="Column1.average" queryTableFieldId="1"/>
    <tableColumn id="4" xr3:uid="{7E900143-9B02-45CE-8C61-EB8515C533E5}" uniqueName="4" name="Column1.lowest" queryTableFieldId="4"/>
    <tableColumn id="5" xr3:uid="{739EE427-0212-4471-94A5-DA7B3E7D1CE5}" uniqueName="5" name="Column1.order_count" queryTableFieldId="5"/>
    <tableColumn id="6" xr3:uid="{238B13AD-F0BE-489E-B5CC-979757383B9E}" uniqueName="6" name="Column1.volume" queryTableFieldId="6"/>
    <tableColumn id="2" xr3:uid="{1E8133DF-A720-4607-A432-0032B50ADA1F}" uniqueName="2" name="Parse" queryTableFieldId="7" dataDxfId="244"/>
    <tableColumn id="3" xr3:uid="{52218C7A-3EF4-46D5-BF42-D9E2E8C4135C}" uniqueName="3" name="Column1" queryTableFieldId="8" dataDxfId="243">
      <calculatedColumnFormula>IFERROR(IF((F229-F228)&gt;1,(LARGE(F229:$F229,1)-LARGE(F$229:$F229,2))-1,""),"")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E124570-642E-4A2E-9FF4-9A389391E24E}" name="datasource_tranquility_type_id_20481051061071084578910111213141516" displayName="datasource_tranquility_type_id_20481051061071084578910111213141516" ref="B243:G257" tableType="queryTable" totalsRowShown="0">
  <autoFilter ref="B243:G257" xr:uid="{CE124570-642E-4A2E-9FF4-9A389391E24E}"/>
  <tableColumns count="6">
    <tableColumn id="1" xr3:uid="{D08E1E7D-9490-4AAE-A26C-861422E68466}" uniqueName="1" name="Column1.average" queryTableFieldId="1"/>
    <tableColumn id="4" xr3:uid="{F37F1593-7BD0-4CDC-9456-4D0AF0E01441}" uniqueName="4" name="Column1.lowest" queryTableFieldId="4"/>
    <tableColumn id="5" xr3:uid="{C71D30F0-5787-44D5-BC58-E489B052BF13}" uniqueName="5" name="Column1.order_count" queryTableFieldId="5"/>
    <tableColumn id="6" xr3:uid="{2638B789-D29F-4673-AA29-7198F21AD5AD}" uniqueName="6" name="Column1.volume" queryTableFieldId="6"/>
    <tableColumn id="2" xr3:uid="{E2444D22-66C1-4916-8F21-F2B7CBA327D4}" uniqueName="2" name="Parse" queryTableFieldId="7" dataDxfId="242"/>
    <tableColumn id="3" xr3:uid="{5D17E40B-6879-4511-B74F-D175456431B0}" uniqueName="3" name="Column1" queryTableFieldId="8" dataDxfId="241">
      <calculatedColumnFormula>IFERROR(IF((F244-F243)&gt;1,(LARGE(F244:$F244,1)-LARGE(F$244:$F244,2))-1,""),"")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DF8584E-4649-4329-8DDC-C293115F8DBA}" name="datasource_tranquility_type_id_2048105106107108457891011121314151617" displayName="datasource_tranquility_type_id_2048105106107108457891011121314151617" ref="B258:G272" tableType="queryTable" totalsRowShown="0">
  <autoFilter ref="B258:G272" xr:uid="{6DF8584E-4649-4329-8DDC-C293115F8DBA}"/>
  <tableColumns count="6">
    <tableColumn id="1" xr3:uid="{9ED1D7FA-6C83-4CD3-8B2E-5D7E3A868BE1}" uniqueName="1" name="Column1.average" queryTableFieldId="1"/>
    <tableColumn id="4" xr3:uid="{2552A7CF-7C6B-413B-8420-D98821754BB1}" uniqueName="4" name="Column1.lowest" queryTableFieldId="4"/>
    <tableColumn id="5" xr3:uid="{30BF2BF5-3124-4EBA-9366-85B09F6CAF0A}" uniqueName="5" name="Column1.order_count" queryTableFieldId="5"/>
    <tableColumn id="6" xr3:uid="{61773BD7-A386-44DF-8127-EB3BC186EE77}" uniqueName="6" name="Column1.volume" queryTableFieldId="6"/>
    <tableColumn id="2" xr3:uid="{10634E12-7400-4FE0-817B-25911FAEFF2A}" uniqueName="2" name="Parse" queryTableFieldId="7" dataDxfId="240"/>
    <tableColumn id="3" xr3:uid="{4FA6F118-5B95-4FDF-8C30-A1B69EAD2CD9}" uniqueName="3" name="Column1" queryTableFieldId="8" dataDxfId="239">
      <calculatedColumnFormula>IFERROR(IF((F259-F258)&gt;1,(LARGE(F259:$F259,1)-LARGE(F$259:$F259,2))-1,""),"")</calculatedColumnFormula>
    </tableColumn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7BAFC1-F259-4DCE-9E8C-4E8CD92431A2}" name="datasource_tranquility_type_id_204810510610710845789101112131415161718" displayName="datasource_tranquility_type_id_204810510610710845789101112131415161718" ref="B273:G287" tableType="queryTable" totalsRowShown="0">
  <autoFilter ref="B273:G287" xr:uid="{3B7BAFC1-F259-4DCE-9E8C-4E8CD92431A2}"/>
  <tableColumns count="6">
    <tableColumn id="1" xr3:uid="{B0BB3224-FB47-46F8-B410-2A15509305AA}" uniqueName="1" name="Column1.average" queryTableFieldId="1"/>
    <tableColumn id="4" xr3:uid="{9E950277-481E-4E26-8FE7-8FB13770CE00}" uniqueName="4" name="Column1.lowest" queryTableFieldId="4"/>
    <tableColumn id="5" xr3:uid="{54014EF0-1C34-4846-B092-8360518B0EB4}" uniqueName="5" name="Column1.order_count" queryTableFieldId="5"/>
    <tableColumn id="6" xr3:uid="{8A3435F8-CD54-4D21-BAC5-11E3F5E34DD4}" uniqueName="6" name="Column1.volume" queryTableFieldId="6"/>
    <tableColumn id="2" xr3:uid="{C1B09A61-BA6A-42B2-9C2D-204ADE768D41}" uniqueName="2" name="Parse" queryTableFieldId="7" dataDxfId="238"/>
    <tableColumn id="3" xr3:uid="{DAAB44E3-E4C9-427D-83B0-19B3DAB4E999}" uniqueName="3" name="Column1" queryTableFieldId="8" dataDxfId="237">
      <calculatedColumnFormula>IFERROR(IF((F274-F273)&gt;1,(LARGE(F274:$F274,1)-LARGE(F$274:$F274,2))-1,""),"")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8A19A66-5292-4BED-A226-85CED02096DE}" name="datasource_tranquility_type_id_20481051061071084578910111213141516171819" displayName="datasource_tranquility_type_id_20481051061071084578910111213141516171819" ref="B288:G302" tableType="queryTable" totalsRowShown="0">
  <autoFilter ref="B288:G302" xr:uid="{88A19A66-5292-4BED-A226-85CED02096DE}"/>
  <tableColumns count="6">
    <tableColumn id="1" xr3:uid="{34CC382A-8EBF-4F81-876A-15EAAF832387}" uniqueName="1" name="Column1.average" queryTableFieldId="1"/>
    <tableColumn id="4" xr3:uid="{35CB8A63-7158-4A6F-9E84-FCE96EEE1A24}" uniqueName="4" name="Column1.lowest" queryTableFieldId="4"/>
    <tableColumn id="5" xr3:uid="{EFA847CA-B2AC-478B-AD80-9D27073E913C}" uniqueName="5" name="Column1.order_count" queryTableFieldId="5"/>
    <tableColumn id="6" xr3:uid="{48D0501A-3009-48C2-8D7A-AD9DB64DA740}" uniqueName="6" name="Column1.volume" queryTableFieldId="6"/>
    <tableColumn id="2" xr3:uid="{302C4DB4-A037-47CA-930C-598B1680C5C5}" uniqueName="2" name="Parse" queryTableFieldId="7" dataDxfId="236"/>
    <tableColumn id="3" xr3:uid="{94B81C39-91B7-44A3-A26F-E18258ADEF69}" uniqueName="3" name="Column1" queryTableFieldId="8" dataDxfId="235">
      <calculatedColumnFormula>IFERROR(IF((F289-F288)&gt;1,(LARGE(F289:$F289,1)-LARGE(F$289:$F289,2))-1,""),"")</calculatedColumnFormula>
    </tableColumn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4169B63-CA03-44AB-A96B-E72FF8C9148E}" name="datasource_tranquility_type_id_2048105106107108457891011121314151617181920" displayName="datasource_tranquility_type_id_2048105106107108457891011121314151617181920" ref="B303:G317" tableType="queryTable" totalsRowShown="0">
  <autoFilter ref="B303:G317" xr:uid="{14169B63-CA03-44AB-A96B-E72FF8C9148E}"/>
  <tableColumns count="6">
    <tableColumn id="1" xr3:uid="{C4A0E79B-FA3F-4E22-B580-14C6F27AFFC9}" uniqueName="1" name="Column1.average" queryTableFieldId="1"/>
    <tableColumn id="4" xr3:uid="{CF940453-1FE6-47EB-B0FE-7F4AE092B878}" uniqueName="4" name="Column1.lowest" queryTableFieldId="4"/>
    <tableColumn id="5" xr3:uid="{14EFA75F-B2C7-494E-93C3-CC771724EF11}" uniqueName="5" name="Column1.order_count" queryTableFieldId="5"/>
    <tableColumn id="6" xr3:uid="{0F1CB052-D8A9-4F06-A05E-A048A1483C66}" uniqueName="6" name="Column1.volume" queryTableFieldId="6"/>
    <tableColumn id="2" xr3:uid="{C13BFAEA-5956-4750-B0FE-0F4DE87FDFD7}" uniqueName="2" name="Parse" queryTableFieldId="7" dataDxfId="234"/>
    <tableColumn id="3" xr3:uid="{8BD212DE-BB28-4992-94D5-0C4F057F71A9}" uniqueName="3" name="Column1" queryTableFieldId="8" dataDxfId="233">
      <calculatedColumnFormula>IFERROR(IF((F304-F303)&gt;1,(LARGE(F304:$F304,1)-LARGE(F$304:$F304,2))-1,""),"")</calculatedColumnFormula>
    </tableColumn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EF043B7-357D-4AC8-8046-4616515E5A3D}" name="datasource_tranquility_type_id_204810510610710845789101112131415161718192021" displayName="datasource_tranquility_type_id_204810510610710845789101112131415161718192021" ref="B318:G332" tableType="queryTable" totalsRowShown="0">
  <autoFilter ref="B318:G332" xr:uid="{AEF043B7-357D-4AC8-8046-4616515E5A3D}"/>
  <tableColumns count="6">
    <tableColumn id="1" xr3:uid="{67914F14-365E-4FE1-A523-B675210508CE}" uniqueName="1" name="Column1.average" queryTableFieldId="1"/>
    <tableColumn id="4" xr3:uid="{C71F8D7B-F32F-486B-A948-5EF02077ABA2}" uniqueName="4" name="Column1.lowest" queryTableFieldId="4"/>
    <tableColumn id="5" xr3:uid="{358D4FC7-79FB-4FAB-A50F-26A226F3FDA1}" uniqueName="5" name="Column1.order_count" queryTableFieldId="5"/>
    <tableColumn id="6" xr3:uid="{38FE8E7C-3414-4A89-B9B3-6E618E81FD96}" uniqueName="6" name="Column1.volume" queryTableFieldId="6"/>
    <tableColumn id="2" xr3:uid="{1348BAE9-8FB2-49C9-8316-1F75197458BF}" uniqueName="2" name="Parse" queryTableFieldId="7" dataDxfId="232"/>
    <tableColumn id="3" xr3:uid="{5E56B818-0BF2-4F64-B3BE-85202638F8C8}" uniqueName="3" name="Column1" queryTableFieldId="8" dataDxfId="231">
      <calculatedColumnFormula>IFERROR(IF((F319-F318)&gt;1,(LARGE(F319:$F319,1)-LARGE(F$319:$F319,2))-1,""),"")</calculatedColumnFormula>
    </tableColumn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8F2F417-6C5A-456C-B27F-B2F5AE4FE4ED}" name="datasource_tranquility_type_id_20481051061071084578910111213141516171819202122" displayName="datasource_tranquility_type_id_20481051061071084578910111213141516171819202122" ref="B333:G347" tableType="queryTable" totalsRowShown="0">
  <autoFilter ref="B333:G347" xr:uid="{68F2F417-6C5A-456C-B27F-B2F5AE4FE4ED}"/>
  <tableColumns count="6">
    <tableColumn id="1" xr3:uid="{CBC85DC5-CFC3-4756-9774-4F626E83FFC1}" uniqueName="1" name="Column1.average" queryTableFieldId="1"/>
    <tableColumn id="4" xr3:uid="{35B2BC10-399A-418D-A4A3-3156016F37EF}" uniqueName="4" name="Column1.lowest" queryTableFieldId="4"/>
    <tableColumn id="5" xr3:uid="{57AC83D1-2321-4B61-B290-4AF6F580C909}" uniqueName="5" name="Column1.order_count" queryTableFieldId="5"/>
    <tableColumn id="6" xr3:uid="{C68ED0DA-BC1B-4111-9B4E-4DAD1B2362C4}" uniqueName="6" name="Column1.volume" queryTableFieldId="6"/>
    <tableColumn id="2" xr3:uid="{00F0CAC1-930F-445E-8D58-4514AE8A2B0D}" uniqueName="2" name="Parse" queryTableFieldId="7" dataDxfId="230"/>
    <tableColumn id="3" xr3:uid="{A26C3F70-164C-4A92-B4FC-49CF39239DDF}" uniqueName="3" name="Column1" queryTableFieldId="8" dataDxfId="229">
      <calculatedColumnFormula>IFERROR(IF((F334-F333)&gt;1,(LARGE(F334:$F334,1)-LARGE(F$334:$F334,2))-1,""),"")</calculatedColumnFormula>
    </tableColumn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16C4F7-B888-4564-9F95-5EC6E14CC26F}" name="datasource_tranquility_type_id_2048105106107108457891011121314151617181920212223" displayName="datasource_tranquility_type_id_2048105106107108457891011121314151617181920212223" ref="B348:G362" tableType="queryTable" totalsRowShown="0">
  <autoFilter ref="B348:G362" xr:uid="{2316C4F7-B888-4564-9F95-5EC6E14CC26F}"/>
  <tableColumns count="6">
    <tableColumn id="1" xr3:uid="{3F3AEE75-DEC0-4EBD-BCC2-119B18682250}" uniqueName="1" name="Column1.average" queryTableFieldId="1"/>
    <tableColumn id="4" xr3:uid="{A203301A-4711-4C79-B006-BD9A3DB91731}" uniqueName="4" name="Column1.lowest" queryTableFieldId="4"/>
    <tableColumn id="5" xr3:uid="{4A20F2BC-DFEF-447C-8B3A-89E7FB799933}" uniqueName="5" name="Column1.order_count" queryTableFieldId="5"/>
    <tableColumn id="6" xr3:uid="{DFA6544D-0623-4E83-85DF-C442D42DF1C8}" uniqueName="6" name="Column1.volume" queryTableFieldId="6"/>
    <tableColumn id="2" xr3:uid="{5D574EAD-A925-4011-8637-E35F40A84AA8}" uniqueName="2" name="Parse" queryTableFieldId="7" dataDxfId="228"/>
    <tableColumn id="3" xr3:uid="{5AE04B27-DDC6-4D1F-8FC0-994614302B09}" uniqueName="3" name="Column1" queryTableFieldId="8" dataDxfId="227">
      <calculatedColumnFormula>IFERROR(IF((F349-F348)&gt;1,(LARGE(F349:$F349,1)-LARGE(F$349:$F349,2))-1,""),"")</calculatedColumnFormula>
    </tableColumn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2F6C118-1F6E-4DE9-ADAE-0D8AC6902284}" name="datasource_tranquility_type_id_204810510610710845789101112131415161718192021222324" displayName="datasource_tranquility_type_id_204810510610710845789101112131415161718192021222324" ref="B363:G377" tableType="queryTable" totalsRowShown="0">
  <autoFilter ref="B363:G377" xr:uid="{82F6C118-1F6E-4DE9-ADAE-0D8AC6902284}"/>
  <tableColumns count="6">
    <tableColumn id="1" xr3:uid="{A965912B-3439-42AC-85E0-31D7F0358541}" uniqueName="1" name="Column1.average" queryTableFieldId="1"/>
    <tableColumn id="4" xr3:uid="{99714C35-D139-45B4-B0E9-C2AC848924F1}" uniqueName="4" name="Column1.lowest" queryTableFieldId="4"/>
    <tableColumn id="5" xr3:uid="{A43FF90A-986E-4E99-A3ED-CF7D8FE29784}" uniqueName="5" name="Column1.order_count" queryTableFieldId="5"/>
    <tableColumn id="6" xr3:uid="{52DFA143-2076-4AFF-8035-2ED61120BC2C}" uniqueName="6" name="Column1.volume" queryTableFieldId="6"/>
    <tableColumn id="2" xr3:uid="{260767C7-77CD-4452-9A2B-F7BC7A7531EB}" uniqueName="2" name="Parse" queryTableFieldId="7" dataDxfId="226"/>
    <tableColumn id="3" xr3:uid="{1E608BA7-B1DE-406B-8311-A8579056C7F6}" uniqueName="3" name="Column1" queryTableFieldId="8" dataDxfId="225">
      <calculatedColumnFormula>IFERROR(IF((F364-F363)&gt;1,(LARGE(F364:$F364,1)-LARGE(F$364:$F364,2))-1,""),"")</calculatedColumnFormula>
    </tableColumn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3FE9918-BAB4-4011-8019-23DFEC2B9203}" name="datasource_tranquility_type_id_20481051061071084578910111213141516171819202122232425" displayName="datasource_tranquility_type_id_20481051061071084578910111213141516171819202122232425" ref="B378:G392" tableType="queryTable" totalsRowShown="0">
  <autoFilter ref="B378:G392" xr:uid="{63FE9918-BAB4-4011-8019-23DFEC2B9203}"/>
  <tableColumns count="6">
    <tableColumn id="1" xr3:uid="{659C42B8-91B3-419F-B382-02B41D4257BC}" uniqueName="1" name="Column1.average" queryTableFieldId="1"/>
    <tableColumn id="4" xr3:uid="{A12AE575-FDA6-4600-A0A2-A061E5C4A2A6}" uniqueName="4" name="Column1.lowest" queryTableFieldId="4"/>
    <tableColumn id="5" xr3:uid="{A1F137FC-50C4-43E0-B9DC-D8B7E76581E3}" uniqueName="5" name="Column1.order_count" queryTableFieldId="5"/>
    <tableColumn id="6" xr3:uid="{406BE8C8-DF2C-4566-B45F-4B3F16F5B3D4}" uniqueName="6" name="Column1.volume" queryTableFieldId="6"/>
    <tableColumn id="2" xr3:uid="{9FE2FE24-F8A3-46F0-830E-50F74EABDA09}" uniqueName="2" name="Parse" queryTableFieldId="7" dataDxfId="224"/>
    <tableColumn id="3" xr3:uid="{39B50E70-B21C-4503-9D2D-DC8A5385BB9F}" uniqueName="3" name="Column1" queryTableFieldId="8" dataDxfId="223">
      <calculatedColumnFormula>IFERROR(IF((F379-F378)&gt;1,(LARGE(F379:$F379,1)-LARGE(F$379:$F379,2))-1,""),"")</calculatedColumnFormula>
    </tableColumn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D5D1A65-58F7-4C46-9D8B-979C2194A8D7}" name="datasource_tranquility_type_id_2048105106107108457891011121314151617181920212223242526" displayName="datasource_tranquility_type_id_2048105106107108457891011121314151617181920212223242526" ref="B393:G407" tableType="queryTable" totalsRowShown="0">
  <autoFilter ref="B393:G407" xr:uid="{CD5D1A65-58F7-4C46-9D8B-979C2194A8D7}"/>
  <tableColumns count="6">
    <tableColumn id="1" xr3:uid="{B767A94B-3269-437A-8D07-83D09E5111BC}" uniqueName="1" name="Column1.average" queryTableFieldId="1"/>
    <tableColumn id="4" xr3:uid="{B833C5F8-56E7-46E2-B937-70A42138B061}" uniqueName="4" name="Column1.lowest" queryTableFieldId="4"/>
    <tableColumn id="5" xr3:uid="{C43152E2-1028-4706-8564-2F95E9427212}" uniqueName="5" name="Column1.order_count" queryTableFieldId="5"/>
    <tableColumn id="6" xr3:uid="{C8C76870-7313-4DD9-9387-68BD2CEB3FF4}" uniqueName="6" name="Column1.volume" queryTableFieldId="6"/>
    <tableColumn id="2" xr3:uid="{E6202F45-387E-4094-97D2-06F0BA97EA3F}" uniqueName="2" name="Parse" queryTableFieldId="7" dataDxfId="222"/>
    <tableColumn id="3" xr3:uid="{A30AD665-E75C-4D21-8C7D-B2CE8FA503CF}" uniqueName="3" name="Column1" queryTableFieldId="8" dataDxfId="221">
      <calculatedColumnFormula>IFERROR(IF((F394-F393)&gt;1,(LARGE(F394:$F394,1)-LARGE(F$394:$F394,2))-1,""),"")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B9D41D1-73DB-4F27-AAB5-0BED7A777595}" name="datasource_tranquility_type_id_204810510610710845789101112131415161718192021222324252627" displayName="datasource_tranquility_type_id_204810510610710845789101112131415161718192021222324252627" ref="B408:G422" tableType="queryTable" totalsRowShown="0">
  <autoFilter ref="B408:G422" xr:uid="{0B9D41D1-73DB-4F27-AAB5-0BED7A777595}"/>
  <tableColumns count="6">
    <tableColumn id="1" xr3:uid="{78C2A978-0036-4C30-BA11-09B0F65C8441}" uniqueName="1" name="Column1.average" queryTableFieldId="1"/>
    <tableColumn id="4" xr3:uid="{C0A226AB-118D-4647-B75D-36BE02442C61}" uniqueName="4" name="Column1.lowest" queryTableFieldId="4"/>
    <tableColumn id="5" xr3:uid="{4623CA93-BB61-4555-8010-4FF256034030}" uniqueName="5" name="Column1.order_count" queryTableFieldId="5"/>
    <tableColumn id="6" xr3:uid="{900B510E-427A-46E6-A0B2-212D88D39C2A}" uniqueName="6" name="Column1.volume" queryTableFieldId="6"/>
    <tableColumn id="2" xr3:uid="{30C9A7C0-C820-41E7-A190-2C2675B6A17F}" uniqueName="2" name="Parse" queryTableFieldId="7" dataDxfId="220"/>
    <tableColumn id="3" xr3:uid="{536AD163-D846-4722-96E3-5863A0B0BDEE}" uniqueName="3" name="Column1" queryTableFieldId="8" dataDxfId="219">
      <calculatedColumnFormula>IFERROR(IF((F409-F408)&gt;1,(LARGE(F409:$F409,1)-LARGE(F$409:$F409,2))-1,""),"")</calculatedColumnFormula>
    </tableColumn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C07A0FC-7904-4B3D-8573-6A6B9688CD96}" name="datasource_tranquility_type_id_20481051061071084578910111213141516171819202122232425262728" displayName="datasource_tranquility_type_id_20481051061071084578910111213141516171819202122232425262728" ref="B423:G437" tableType="queryTable" totalsRowShown="0">
  <autoFilter ref="B423:G437" xr:uid="{0C07A0FC-7904-4B3D-8573-6A6B9688CD96}"/>
  <tableColumns count="6">
    <tableColumn id="1" xr3:uid="{307BC85B-1675-48B6-947C-4206E53C31C4}" uniqueName="1" name="Column1.average" queryTableFieldId="1"/>
    <tableColumn id="4" xr3:uid="{0A3742F1-339D-4B47-897D-331A1F2A8A7B}" uniqueName="4" name="Column1.lowest" queryTableFieldId="4"/>
    <tableColumn id="5" xr3:uid="{8DEEA8B9-95CC-42F8-AFC3-D05F9C5B3E3C}" uniqueName="5" name="Column1.order_count" queryTableFieldId="5"/>
    <tableColumn id="6" xr3:uid="{879CB899-A4BF-4B06-BFE6-1C25FB3A8663}" uniqueName="6" name="Column1.volume" queryTableFieldId="6"/>
    <tableColumn id="2" xr3:uid="{64044C75-D612-4CF4-86C0-A067086274B5}" uniqueName="2" name="Parse" queryTableFieldId="7" dataDxfId="218"/>
    <tableColumn id="3" xr3:uid="{525BB6D3-DE6A-4E94-8D15-CF8F6E0BEF58}" uniqueName="3" name="Column1" queryTableFieldId="8" dataDxfId="217">
      <calculatedColumnFormula>IFERROR(IF((F424-F423)&gt;1,(LARGE(F424:$F424,1)-LARGE(F$424:$F424,2))-1,""),"")</calculatedColumnFormula>
    </tableColumn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DF6AFBA-397A-46B4-A147-895748A58AC8}" name="datasource_tranquility_type_id_2048105106107108457891011121314151617181920212223242526272829" displayName="datasource_tranquility_type_id_2048105106107108457891011121314151617181920212223242526272829" ref="B438:G452" tableType="queryTable" totalsRowShown="0">
  <autoFilter ref="B438:G452" xr:uid="{2DF6AFBA-397A-46B4-A147-895748A58AC8}"/>
  <tableColumns count="6">
    <tableColumn id="1" xr3:uid="{679A538B-1DDF-40AD-B3F4-7413C7555629}" uniqueName="1" name="Column1.average" queryTableFieldId="1"/>
    <tableColumn id="4" xr3:uid="{6E1C49F7-2D6D-4B8C-9F65-85874C5458B0}" uniqueName="4" name="Column1.lowest" queryTableFieldId="4"/>
    <tableColumn id="5" xr3:uid="{28E8FD19-ADD0-425C-98E2-1FB12E57A7F6}" uniqueName="5" name="Column1.order_count" queryTableFieldId="5"/>
    <tableColumn id="6" xr3:uid="{9833117E-BF27-4911-8395-B4C03A8D0030}" uniqueName="6" name="Column1.volume" queryTableFieldId="6"/>
    <tableColumn id="2" xr3:uid="{4D910C92-5008-4BCE-9A3B-F036DEE4DA30}" uniqueName="2" name="Parse" queryTableFieldId="7" dataDxfId="216"/>
    <tableColumn id="3" xr3:uid="{F370FB14-12B6-46FA-A091-A0636D4DEDD2}" uniqueName="3" name="Column1" queryTableFieldId="8" dataDxfId="215">
      <calculatedColumnFormula>IFERROR(IF((F439-F438)&gt;1,(LARGE(F439:$F439,1)-LARGE(F$439:$F439,2))-1,""),"")</calculatedColumnFormula>
    </tableColumn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E920292-82E7-4356-98AE-57472C5517B1}" name="datasource_tranquility_type_id_204810510610710845789101112131415161718192021222324252627282930" displayName="datasource_tranquility_type_id_204810510610710845789101112131415161718192021222324252627282930" ref="B453:G467" tableType="queryTable" totalsRowShown="0">
  <autoFilter ref="B453:G467" xr:uid="{3E920292-82E7-4356-98AE-57472C5517B1}"/>
  <tableColumns count="6">
    <tableColumn id="1" xr3:uid="{1FB477F5-C869-4B51-AB3D-4E34BBDB7727}" uniqueName="1" name="Column1.average" queryTableFieldId="1"/>
    <tableColumn id="4" xr3:uid="{6AE82A3B-F988-4F0D-865C-6751B0F334B2}" uniqueName="4" name="Column1.lowest" queryTableFieldId="4"/>
    <tableColumn id="5" xr3:uid="{D5B9E102-5E45-404B-8F13-EF1F45E9966C}" uniqueName="5" name="Column1.order_count" queryTableFieldId="5"/>
    <tableColumn id="6" xr3:uid="{AA740525-4B60-482C-A690-44F15F257438}" uniqueName="6" name="Column1.volume" queryTableFieldId="6"/>
    <tableColumn id="2" xr3:uid="{34928509-2FA2-4BAA-892B-3EAD7341D9A3}" uniqueName="2" name="Parse" queryTableFieldId="7" dataDxfId="214"/>
    <tableColumn id="3" xr3:uid="{5EADB032-643C-4E1A-822C-1F65B33A3A1D}" uniqueName="3" name="Column1" queryTableFieldId="8" dataDxfId="213">
      <calculatedColumnFormula>IFERROR(IF((F454-F453)&gt;1,(LARGE(F454:$F454,1)-LARGE(F$454:$F454,2))-1,""),"")</calculatedColumnFormula>
    </tableColumn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6DA6CAB-EB11-46B5-B76B-136AB07795AE}" name="datasource_tranquility_type_id_20481051061071084578910111213141516171819202122232425262728293031" displayName="datasource_tranquility_type_id_20481051061071084578910111213141516171819202122232425262728293031" ref="B468:G482" tableType="queryTable" totalsRowShown="0">
  <autoFilter ref="B468:G482" xr:uid="{76DA6CAB-EB11-46B5-B76B-136AB07795AE}"/>
  <tableColumns count="6">
    <tableColumn id="1" xr3:uid="{CC8966BC-53C9-479A-841B-F27CFD285351}" uniqueName="1" name="Column1.average" queryTableFieldId="1"/>
    <tableColumn id="4" xr3:uid="{33C20E53-A308-4C7D-B21E-08B4D08DA279}" uniqueName="4" name="Column1.lowest" queryTableFieldId="4"/>
    <tableColumn id="5" xr3:uid="{CF54E037-0C26-454E-93DA-318483DD64CB}" uniqueName="5" name="Column1.order_count" queryTableFieldId="5"/>
    <tableColumn id="6" xr3:uid="{2436C1DB-3FF0-442E-A370-C056FF61BD74}" uniqueName="6" name="Column1.volume" queryTableFieldId="6"/>
    <tableColumn id="2" xr3:uid="{35C2ABC4-B10C-4CAF-9AF5-FF4843C3980A}" uniqueName="2" name="Parse" queryTableFieldId="7" dataDxfId="212"/>
    <tableColumn id="3" xr3:uid="{1A2DB773-2A24-48D6-AC2D-BBED2DD71FD2}" uniqueName="3" name="Column1" queryTableFieldId="8" dataDxfId="211">
      <calculatedColumnFormula>IFERROR(IF((F469-F468)&gt;1,(LARGE(F469:$F469,1)-LARGE(F$469:$F469,2))-1,""),"")</calculatedColumnFormula>
    </tableColumn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477FB7A-485C-44A0-9ED6-F0B789EA6BB9}" name="datasource_tranquility_type_id_2048105106107108457891011121314151617181920212223242526272829303132" displayName="datasource_tranquility_type_id_2048105106107108457891011121314151617181920212223242526272829303132" ref="B483:G497" tableType="queryTable" totalsRowShown="0">
  <autoFilter ref="B483:G497" xr:uid="{F477FB7A-485C-44A0-9ED6-F0B789EA6BB9}"/>
  <tableColumns count="6">
    <tableColumn id="1" xr3:uid="{1D85CD71-1AA3-4575-8747-CC5E6BC142BE}" uniqueName="1" name="Column1.average" queryTableFieldId="1"/>
    <tableColumn id="4" xr3:uid="{70F835A0-E3E9-4052-8649-224C896DC557}" uniqueName="4" name="Column1.lowest" queryTableFieldId="4"/>
    <tableColumn id="5" xr3:uid="{7FA3FE50-23DA-4CD7-BE33-65215CD62471}" uniqueName="5" name="Column1.order_count" queryTableFieldId="5"/>
    <tableColumn id="6" xr3:uid="{F6373EA8-C0DE-490D-9B55-A6919A15E1D1}" uniqueName="6" name="Column1.volume" queryTableFieldId="6"/>
    <tableColumn id="2" xr3:uid="{E6CEB3BA-FE2A-459A-A09D-E14ECA69D22A}" uniqueName="2" name="Parse" queryTableFieldId="7" dataDxfId="210"/>
    <tableColumn id="3" xr3:uid="{82C1E7FD-1059-4BA8-885B-AE3E4B52FC04}" uniqueName="3" name="Column1" queryTableFieldId="8" dataDxfId="209">
      <calculatedColumnFormula>IFERROR(IF((F484-F483)&gt;1,(LARGE(F484:$F484,1)-LARGE(F$484:$F484,2))-1,""),"")</calculatedColumnFormula>
    </tableColumn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6F49577-237D-49E1-A4EC-4E2D57F0F689}" name="datasource_tranquility_type_id_204810510610710845789101112131415161718192021222324252627282930313233" displayName="datasource_tranquility_type_id_204810510610710845789101112131415161718192021222324252627282930313233" ref="B498:G512" tableType="queryTable" totalsRowShown="0">
  <autoFilter ref="B498:G512" xr:uid="{36F49577-237D-49E1-A4EC-4E2D57F0F689}"/>
  <tableColumns count="6">
    <tableColumn id="1" xr3:uid="{35E30D9F-AB74-4123-BBE5-19AB4553E1A2}" uniqueName="1" name="Column1.average" queryTableFieldId="1"/>
    <tableColumn id="4" xr3:uid="{A862B8E6-DEB9-47A3-A8A2-72A804EEB382}" uniqueName="4" name="Column1.lowest" queryTableFieldId="4"/>
    <tableColumn id="5" xr3:uid="{B4B67BAC-8C84-4564-9C3F-B581F77A3211}" uniqueName="5" name="Column1.order_count" queryTableFieldId="5"/>
    <tableColumn id="6" xr3:uid="{3E45D285-410A-4558-B839-2974CB632D01}" uniqueName="6" name="Column1.volume" queryTableFieldId="6"/>
    <tableColumn id="2" xr3:uid="{7CA6199F-EA98-4F67-85D5-47981AEE4389}" uniqueName="2" name="Parse" queryTableFieldId="7" dataDxfId="208"/>
    <tableColumn id="3" xr3:uid="{D6175245-40C6-4621-ADA5-E78AD90FE091}" uniqueName="3" name="Column1" queryTableFieldId="8" dataDxfId="207">
      <calculatedColumnFormula>IFERROR(IF((F499-F498)&gt;1,(LARGE(F499:$F499,1)-LARGE(F$499:$F499,2))-1,""),"")</calculatedColumnFormula>
    </tableColumn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B97DE35-B6E5-455E-A3CB-C1F56EE8A3F1}" name="datasource_tranquility_type_id_20481051061071084578910111213141516171819202122232425262728293031323334" displayName="datasource_tranquility_type_id_20481051061071084578910111213141516171819202122232425262728293031323334" ref="B513:G527" tableType="queryTable" totalsRowShown="0">
  <autoFilter ref="B513:G527" xr:uid="{5B97DE35-B6E5-455E-A3CB-C1F56EE8A3F1}"/>
  <tableColumns count="6">
    <tableColumn id="1" xr3:uid="{AE9BD600-7389-4C2D-ADDB-9F6EF7E5CA5F}" uniqueName="1" name="Column1.average" queryTableFieldId="1"/>
    <tableColumn id="4" xr3:uid="{C1464DFA-F9DC-4C1C-AEEC-35F002CF62E1}" uniqueName="4" name="Column1.lowest" queryTableFieldId="4"/>
    <tableColumn id="5" xr3:uid="{35F86954-3842-42EB-BF9D-A4FF3A9B1242}" uniqueName="5" name="Column1.order_count" queryTableFieldId="5"/>
    <tableColumn id="6" xr3:uid="{1C82E859-1EDB-4FD0-A661-FD8DC11457DD}" uniqueName="6" name="Column1.volume" queryTableFieldId="6"/>
    <tableColumn id="2" xr3:uid="{68FA862B-49C4-4EB5-8B51-8950FD62F136}" uniqueName="2" name="Parse" queryTableFieldId="7" dataDxfId="206"/>
    <tableColumn id="3" xr3:uid="{A926C164-5FB4-419E-A711-0C993917D6F7}" uniqueName="3" name="Column1" queryTableFieldId="8" dataDxfId="205">
      <calculatedColumnFormula>IFERROR(IF((F514-F513)&gt;1,(LARGE(F514:$F514,1)-LARGE(F$514:$F514,2))-1,""),"")</calculatedColumnFormula>
    </tableColumn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5AD736B-4903-4294-837B-08B92794E49C}" name="datasource_tranquility_type_id_2048105106107108457891011121314151617181920212223242526272829303132333435" displayName="datasource_tranquility_type_id_2048105106107108457891011121314151617181920212223242526272829303132333435" ref="B528:G542" tableType="queryTable" totalsRowShown="0">
  <autoFilter ref="B528:G542" xr:uid="{A5AD736B-4903-4294-837B-08B92794E49C}"/>
  <tableColumns count="6">
    <tableColumn id="1" xr3:uid="{03B57C15-F747-4956-A3F9-75196CE387B2}" uniqueName="1" name="Column1.average" queryTableFieldId="1"/>
    <tableColumn id="4" xr3:uid="{551BF537-B0E5-492A-B364-5EBAD1486B1B}" uniqueName="4" name="Column1.lowest" queryTableFieldId="4"/>
    <tableColumn id="5" xr3:uid="{3A4C729B-D2D1-4BFD-8E90-008D3EBD1895}" uniqueName="5" name="Column1.order_count" queryTableFieldId="5"/>
    <tableColumn id="6" xr3:uid="{56397719-5B2B-48D1-BC74-183337688A61}" uniqueName="6" name="Column1.volume" queryTableFieldId="6"/>
    <tableColumn id="2" xr3:uid="{D0A690B2-6DB2-43ED-B0F5-999CA65C7B17}" uniqueName="2" name="Parse" queryTableFieldId="7" dataDxfId="204"/>
    <tableColumn id="3" xr3:uid="{4748B1FB-5FBF-489E-8120-F07CFF3B40A9}" uniqueName="3" name="Column1" queryTableFieldId="8" dataDxfId="203">
      <calculatedColumnFormula>IFERROR(IF((F529-F528)&gt;1,(LARGE(F529:$F529,1)-LARGE(F$529:$F529,2))-1,""),"")</calculatedColumnFormula>
    </tableColumn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D887F4F-05C1-470E-9B01-0C4A0389C617}" name="datasource_tranquility_type_id_204810510610710845789101112131415161718192021222324252627282930313233343536" displayName="datasource_tranquility_type_id_204810510610710845789101112131415161718192021222324252627282930313233343536" ref="B543:G557" tableType="queryTable" totalsRowShown="0">
  <autoFilter ref="B543:G557" xr:uid="{1D887F4F-05C1-470E-9B01-0C4A0389C617}"/>
  <tableColumns count="6">
    <tableColumn id="1" xr3:uid="{0E147E3F-EA2A-4A0E-BC1F-C48617CCED98}" uniqueName="1" name="Column1.average" queryTableFieldId="1"/>
    <tableColumn id="4" xr3:uid="{3F100885-7D05-4046-811B-DAB43BC0CBC2}" uniqueName="4" name="Column1.lowest" queryTableFieldId="4"/>
    <tableColumn id="5" xr3:uid="{1EB8FFC8-DFDC-4B02-AEF4-A2D89F824FBA}" uniqueName="5" name="Column1.order_count" queryTableFieldId="5"/>
    <tableColumn id="6" xr3:uid="{5257D607-1FEC-4ED3-847D-CA9ABE654292}" uniqueName="6" name="Column1.volume" queryTableFieldId="6"/>
    <tableColumn id="2" xr3:uid="{1723A2F5-A87F-42DC-B392-24153B26C55F}" uniqueName="2" name="Parse" queryTableFieldId="7" dataDxfId="202"/>
    <tableColumn id="3" xr3:uid="{8F11AFCC-62C2-41B3-B884-2C55B2829CBD}" uniqueName="3" name="Column1" queryTableFieldId="8" dataDxfId="201">
      <calculatedColumnFormula>IFERROR(IF((F544-F543)&gt;1,(LARGE(F544:$F544,1)-LARGE(F$544:$F544,2))-1,""),"")</calculatedColumnFormula>
    </tableColumn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5F82DADA-467A-4370-91E0-C460F0C258BC}" name="datasource_tranquility_type_id_20481051061071084578910111213141516171819202122232425262728293031323334353637" displayName="datasource_tranquility_type_id_20481051061071084578910111213141516171819202122232425262728293031323334353637" ref="B558:G572" tableType="queryTable" totalsRowShown="0">
  <autoFilter ref="B558:G572" xr:uid="{5F82DADA-467A-4370-91E0-C460F0C258BC}"/>
  <tableColumns count="6">
    <tableColumn id="1" xr3:uid="{4B267EDC-59BF-41D2-819E-D505259763FD}" uniqueName="1" name="Column1.average" queryTableFieldId="1"/>
    <tableColumn id="4" xr3:uid="{2F8B6D12-0AA2-43D2-88B0-F16F01800A56}" uniqueName="4" name="Column1.lowest" queryTableFieldId="4"/>
    <tableColumn id="5" xr3:uid="{15FA4779-0EBD-42C9-B597-D80C03FE536F}" uniqueName="5" name="Column1.order_count" queryTableFieldId="5"/>
    <tableColumn id="6" xr3:uid="{FACCF093-C804-4429-85EF-0D4CA86F0A41}" uniqueName="6" name="Column1.volume" queryTableFieldId="6"/>
    <tableColumn id="2" xr3:uid="{B65C9999-DEF3-42B8-9266-88E53BA6EE85}" uniqueName="2" name="Parse" queryTableFieldId="7" dataDxfId="200"/>
    <tableColumn id="3" xr3:uid="{76AA7A56-35C0-41BF-A163-B1D27E54B3D7}" uniqueName="3" name="Column1" queryTableFieldId="8" dataDxfId="199">
      <calculatedColumnFormula>IFERROR(IF((F559-F558)&gt;1,(LARGE(F559:$F559,1)-LARGE(F$559:$F559,2))-1,""),"")</calculatedColumnFormula>
    </tableColumn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0463C44-E11A-460A-A8EB-7A6EEEDDFE26}" name="datasource_tranquility_type_id_2048105106107108457891011121314151617181920212223242526272829303132333435363738" displayName="datasource_tranquility_type_id_2048105106107108457891011121314151617181920212223242526272829303132333435363738" ref="B573:G587" tableType="queryTable" totalsRowShown="0">
  <autoFilter ref="B573:G587" xr:uid="{10463C44-E11A-460A-A8EB-7A6EEEDDFE26}"/>
  <tableColumns count="6">
    <tableColumn id="1" xr3:uid="{014129A4-AC89-4D37-90B1-51696BAB6E71}" uniqueName="1" name="Column1.average" queryTableFieldId="1"/>
    <tableColumn id="4" xr3:uid="{3EA2CD1C-E562-43CB-AEE6-E95AD86165BA}" uniqueName="4" name="Column1.lowest" queryTableFieldId="4"/>
    <tableColumn id="5" xr3:uid="{7BC827B9-7077-44C1-A2CA-92A908244840}" uniqueName="5" name="Column1.order_count" queryTableFieldId="5"/>
    <tableColumn id="6" xr3:uid="{5C7D9E8C-214D-4B7D-A4C2-046167F85E40}" uniqueName="6" name="Column1.volume" queryTableFieldId="6"/>
    <tableColumn id="2" xr3:uid="{F9C43309-2B2A-490D-BE75-942F894A77FD}" uniqueName="2" name="Parse" queryTableFieldId="7" dataDxfId="198"/>
    <tableColumn id="3" xr3:uid="{1E685411-BE66-4900-B833-3328FE025524}" uniqueName="3" name="Column1" queryTableFieldId="8" dataDxfId="197">
      <calculatedColumnFormula>IFERROR(IF((F574-F573)&gt;1,(LARGE(F574:$F574,1)-LARGE(F$574:$F574,2))-1,""),"")</calculatedColumnFormula>
    </tableColumn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92339B7-385B-4724-89B9-7BA4DEFF8363}" name="datasource_tranquility_type_id_204810510610710845789101112131415161718192021222324252627282930313233343536373839" displayName="datasource_tranquility_type_id_204810510610710845789101112131415161718192021222324252627282930313233343536373839" ref="B588:G602" tableType="queryTable" totalsRowShown="0">
  <autoFilter ref="B588:G602" xr:uid="{092339B7-385B-4724-89B9-7BA4DEFF8363}"/>
  <tableColumns count="6">
    <tableColumn id="1" xr3:uid="{B016F26B-0534-43DC-804A-25A19F3C9F8F}" uniqueName="1" name="Column1.average" queryTableFieldId="1"/>
    <tableColumn id="4" xr3:uid="{51EEFA57-FAB1-4649-98EB-4842FD156EBA}" uniqueName="4" name="Column1.lowest" queryTableFieldId="4"/>
    <tableColumn id="5" xr3:uid="{506B1412-F538-4F4D-9792-45CB65B039FD}" uniqueName="5" name="Column1.order_count" queryTableFieldId="5"/>
    <tableColumn id="6" xr3:uid="{C419D288-E126-4967-934E-FADF81106700}" uniqueName="6" name="Column1.volume" queryTableFieldId="6"/>
    <tableColumn id="2" xr3:uid="{30D27887-EAD2-4B49-A3B6-7EB15C9ED527}" uniqueName="2" name="Parse" queryTableFieldId="7" dataDxfId="196"/>
    <tableColumn id="3" xr3:uid="{D3C45D4E-42F6-4AFE-9389-F9A59050AF30}" uniqueName="3" name="Column1" queryTableFieldId="8" dataDxfId="195">
      <calculatedColumnFormula>IFERROR(IF((F589-F588)&gt;1,(LARGE(F589:$F589,1)-LARGE(F$589:$F589,2))-1,""),"")</calculatedColumnFormula>
    </tableColumn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A70E6383-AC45-41F5-9B73-2D710CCEBA05}" name="datasource_tranquility_type_id_20481051061071084578910111213141516171819202122232425262728293031323334353637383940" displayName="datasource_tranquility_type_id_20481051061071084578910111213141516171819202122232425262728293031323334353637383940" ref="B603:G617" tableType="queryTable" totalsRowShown="0">
  <autoFilter ref="B603:G617" xr:uid="{A70E6383-AC45-41F5-9B73-2D710CCEBA05}"/>
  <tableColumns count="6">
    <tableColumn id="1" xr3:uid="{5A906D94-C262-4948-8948-50DD8AFA553E}" uniqueName="1" name="Column1.average" queryTableFieldId="1"/>
    <tableColumn id="4" xr3:uid="{3426CA7A-896A-4368-83E0-9008C8EA2254}" uniqueName="4" name="Column1.lowest" queryTableFieldId="4"/>
    <tableColumn id="5" xr3:uid="{BEE0B963-B870-4116-8ACC-506F181F92C6}" uniqueName="5" name="Column1.order_count" queryTableFieldId="5"/>
    <tableColumn id="6" xr3:uid="{5ED6989B-9D53-4331-B339-5CD7323ABB62}" uniqueName="6" name="Column1.volume" queryTableFieldId="6"/>
    <tableColumn id="2" xr3:uid="{D5489677-5EBA-4A75-A13C-EEED844A2595}" uniqueName="2" name="Parse" queryTableFieldId="7" dataDxfId="194"/>
    <tableColumn id="3" xr3:uid="{28C783CD-45F4-45A0-9CBC-C37008942E52}" uniqueName="3" name="Column1" queryTableFieldId="8" dataDxfId="193">
      <calculatedColumnFormula>IFERROR(IF((F604-F603)&gt;1,(LARGE(F604:$F604,1)-LARGE(F$604:$F604,2))-1,""),"")</calculatedColumnFormula>
    </tableColumn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2CD0E36-8445-4243-8D86-EE4294D91B9D}" name="datasource_tranquility_type_id_2048105106107108457891011121314151617181920212223242526272829303132333435363738394041" displayName="datasource_tranquility_type_id_2048105106107108457891011121314151617181920212223242526272829303132333435363738394041" ref="B618:G632" tableType="queryTable" totalsRowShown="0">
  <autoFilter ref="B618:G632" xr:uid="{02CD0E36-8445-4243-8D86-EE4294D91B9D}"/>
  <tableColumns count="6">
    <tableColumn id="1" xr3:uid="{3C55ADC8-25CC-4BA6-BE84-FA2F0E9AA5C6}" uniqueName="1" name="Column1.average" queryTableFieldId="1"/>
    <tableColumn id="4" xr3:uid="{111DFC6D-E5A4-4BAA-B2B3-F17E42200693}" uniqueName="4" name="Column1.lowest" queryTableFieldId="4"/>
    <tableColumn id="5" xr3:uid="{B5FB5955-23A7-453C-97DD-A06CF91C91D3}" uniqueName="5" name="Column1.order_count" queryTableFieldId="5"/>
    <tableColumn id="6" xr3:uid="{62423D85-8D66-4166-A3E2-18264D22DDEF}" uniqueName="6" name="Column1.volume" queryTableFieldId="6"/>
    <tableColumn id="2" xr3:uid="{077ECF6E-2361-464D-99DA-E8A8D932AB95}" uniqueName="2" name="Parse" queryTableFieldId="7" dataDxfId="192"/>
    <tableColumn id="3" xr3:uid="{B44731BC-DB58-45F5-B7C5-91D9375247D5}" uniqueName="3" name="Column1" queryTableFieldId="8" dataDxfId="191">
      <calculatedColumnFormula>IFERROR(IF((F619-F618)&gt;1,(LARGE(F619:$F619,1)-LARGE(F$619:$F619,2))-1,""),"")</calculatedColumnFormula>
    </tableColumn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2173016-250D-41F9-8370-578A646B46BD}" name="datasource_tranquility_type_id_204810510610710845789101112131415161718192021222324252627282930313233343536373839404142" displayName="datasource_tranquility_type_id_204810510610710845789101112131415161718192021222324252627282930313233343536373839404142" ref="B633:G647" tableType="queryTable" totalsRowShown="0">
  <autoFilter ref="B633:G647" xr:uid="{02173016-250D-41F9-8370-578A646B46BD}"/>
  <tableColumns count="6">
    <tableColumn id="1" xr3:uid="{16F57C31-D4AA-4969-A916-9116D2842799}" uniqueName="1" name="Column1.average" queryTableFieldId="1"/>
    <tableColumn id="4" xr3:uid="{3689B343-9B7E-4FC6-B3E9-30313BAE7922}" uniqueName="4" name="Column1.lowest" queryTableFieldId="4"/>
    <tableColumn id="5" xr3:uid="{FB064FB9-FED0-4751-9CC3-094468DE8A7F}" uniqueName="5" name="Column1.order_count" queryTableFieldId="5"/>
    <tableColumn id="6" xr3:uid="{E11634C8-2272-4161-8A1F-BE1C0C1550C3}" uniqueName="6" name="Column1.volume" queryTableFieldId="6"/>
    <tableColumn id="2" xr3:uid="{0B249324-F7F6-4244-A424-6F0269EEC242}" uniqueName="2" name="Parse" queryTableFieldId="7" dataDxfId="190"/>
    <tableColumn id="3" xr3:uid="{064A5491-41E3-4824-899B-751FA51755B9}" uniqueName="3" name="Column1" queryTableFieldId="8" dataDxfId="189">
      <calculatedColumnFormula>IFERROR(IF((F634-F633)&gt;1,(LARGE(F634:$F634,1)-LARGE(F$634:$F634,2))-1,""),"")</calculatedColumnFormula>
    </tableColumn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A20F76BC-C631-4BBB-AB12-BE7986012F9C}" name="datasource_tranquility_type_id_20481051061071084578910111213141516171819202122232425262728293031323334353637383940414243" displayName="datasource_tranquility_type_id_20481051061071084578910111213141516171819202122232425262728293031323334353637383940414243" ref="B648:G662" tableType="queryTable" totalsRowShown="0">
  <autoFilter ref="B648:G662" xr:uid="{A20F76BC-C631-4BBB-AB12-BE7986012F9C}"/>
  <tableColumns count="6">
    <tableColumn id="1" xr3:uid="{3BBC6FFB-1044-43DF-90F4-402D91E94F33}" uniqueName="1" name="Column1.average" queryTableFieldId="1"/>
    <tableColumn id="4" xr3:uid="{A360DFA8-CDE0-429E-9FF6-5F4437101919}" uniqueName="4" name="Column1.lowest" queryTableFieldId="4"/>
    <tableColumn id="5" xr3:uid="{DF779289-66E5-4375-88EC-8EB33562A9B7}" uniqueName="5" name="Column1.order_count" queryTableFieldId="5"/>
    <tableColumn id="6" xr3:uid="{AE746D03-E525-4874-B677-D839BF0C11F6}" uniqueName="6" name="Column1.volume" queryTableFieldId="6"/>
    <tableColumn id="2" xr3:uid="{12690D57-B360-4F22-BDD3-31190221CF9C}" uniqueName="2" name="Parse" queryTableFieldId="7" dataDxfId="188"/>
    <tableColumn id="3" xr3:uid="{4272845D-1189-4A54-AAB2-8EB070A596F1}" uniqueName="3" name="Column1" queryTableFieldId="8" dataDxfId="187">
      <calculatedColumnFormula>IFERROR(IF((F649-F648)&gt;1,(LARGE(F649:$F649,1)-LARGE(F$649:$F649,2))-1,""),"")</calculatedColumnFormula>
    </tableColumn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20E34740-1DFF-4F2B-97E5-AF4E0E00FE22}" name="datasource_tranquility_type_id_2048105106107108457891011121314151617181920212223242526272829303132333435363738394041424344" displayName="datasource_tranquility_type_id_2048105106107108457891011121314151617181920212223242526272829303132333435363738394041424344" ref="B663:G677" tableType="queryTable" totalsRowShown="0">
  <autoFilter ref="B663:G677" xr:uid="{20E34740-1DFF-4F2B-97E5-AF4E0E00FE22}"/>
  <tableColumns count="6">
    <tableColumn id="1" xr3:uid="{FB17E7E2-8B03-4965-B5C4-6C81C493C09B}" uniqueName="1" name="Column1.average" queryTableFieldId="1"/>
    <tableColumn id="4" xr3:uid="{CA47BF3D-8CED-4F12-8851-32DFE2DFD126}" uniqueName="4" name="Column1.lowest" queryTableFieldId="4"/>
    <tableColumn id="5" xr3:uid="{60B504F1-53A1-4213-8765-2A9B65E6AD95}" uniqueName="5" name="Column1.order_count" queryTableFieldId="5"/>
    <tableColumn id="6" xr3:uid="{25A6D34F-AF32-4F6D-9144-0CA973710FEA}" uniqueName="6" name="Column1.volume" queryTableFieldId="6"/>
    <tableColumn id="2" xr3:uid="{719E3904-77AC-4775-9E7A-0BB3AF052D42}" uniqueName="2" name="Parse" queryTableFieldId="7" dataDxfId="186"/>
    <tableColumn id="3" xr3:uid="{CE3C027E-4A5C-4819-A8CE-B9613FD00D17}" uniqueName="3" name="Column1" queryTableFieldId="8" dataDxfId="185">
      <calculatedColumnFormula>IFERROR(IF((F664-F663)&gt;1,(LARGE(F664:$F664,1)-LARGE(F$664:$F664,2))-1,""),"")</calculatedColumnFormula>
    </tableColumn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260B8EE-4498-4148-BFD7-2B1CF9962DD5}" name="datasource_tranquility_type_id_204810510610710845789101112131415161718192021222324252627282930313233343536373839404142434445" displayName="datasource_tranquility_type_id_204810510610710845789101112131415161718192021222324252627282930313233343536373839404142434445" ref="B678:G692" tableType="queryTable" totalsRowShown="0">
  <autoFilter ref="B678:G692" xr:uid="{4260B8EE-4498-4148-BFD7-2B1CF9962DD5}"/>
  <tableColumns count="6">
    <tableColumn id="1" xr3:uid="{572A2A14-0255-4536-B114-A1335F3AF6FE}" uniqueName="1" name="Column1.average" queryTableFieldId="1"/>
    <tableColumn id="4" xr3:uid="{82417B8F-F301-4468-A686-1D7075C82609}" uniqueName="4" name="Column1.lowest" queryTableFieldId="4"/>
    <tableColumn id="5" xr3:uid="{67BE7F66-64F9-4FF9-8E49-8BB82A738497}" uniqueName="5" name="Column1.order_count" queryTableFieldId="5"/>
    <tableColumn id="6" xr3:uid="{5E4B30F6-C458-493D-887A-2D9DAC18A86F}" uniqueName="6" name="Column1.volume" queryTableFieldId="6"/>
    <tableColumn id="2" xr3:uid="{A8814B89-92CE-45AF-AAD2-6197E749E948}" uniqueName="2" name="Parse" queryTableFieldId="7" dataDxfId="184"/>
    <tableColumn id="3" xr3:uid="{87F98E17-91F3-4B00-978D-25971A95735E}" uniqueName="3" name="Column1" queryTableFieldId="8" dataDxfId="183">
      <calculatedColumnFormula>IFERROR(IF((F679-F678)&gt;1,(LARGE(F679:$F679,1)-LARGE(F$679:$F679,2))-1,""),"")</calculatedColumnFormula>
    </tableColumn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F29C34DE-307C-42F8-B0AF-C9347AE4A39A}" name="datasource_tranquility_type_id_20481051061071084578910111213141516171819202122232425262728293031323334353637383940414243444546" displayName="datasource_tranquility_type_id_20481051061071084578910111213141516171819202122232425262728293031323334353637383940414243444546" ref="B693:G707" tableType="queryTable" totalsRowShown="0">
  <autoFilter ref="B693:G707" xr:uid="{F29C34DE-307C-42F8-B0AF-C9347AE4A39A}"/>
  <tableColumns count="6">
    <tableColumn id="1" xr3:uid="{45F8E0E8-D252-4B75-B8EC-AD46E87125DC}" uniqueName="1" name="Column1.average" queryTableFieldId="1"/>
    <tableColumn id="4" xr3:uid="{8C29EF1C-023F-411A-B920-BBEE59FBCADE}" uniqueName="4" name="Column1.lowest" queryTableFieldId="4"/>
    <tableColumn id="5" xr3:uid="{154B203D-7494-4ADE-9DC5-1C7081F12750}" uniqueName="5" name="Column1.order_count" queryTableFieldId="5"/>
    <tableColumn id="6" xr3:uid="{4BE59479-CA36-462D-8A82-46FF6D4B48DB}" uniqueName="6" name="Column1.volume" queryTableFieldId="6"/>
    <tableColumn id="2" xr3:uid="{EF417825-56C0-4D9D-8919-A192F8E9B37C}" uniqueName="2" name="Parse" queryTableFieldId="7" dataDxfId="182"/>
    <tableColumn id="3" xr3:uid="{AD2F5CF9-9347-4FA4-89CF-9C3A0217FC2A}" uniqueName="3" name="Column1" queryTableFieldId="8" dataDxfId="181">
      <calculatedColumnFormula>IFERROR(IF((F694-F693)&gt;1,(LARGE(F694:$F694,1)-LARGE(F$694:$F694,2))-1,""),"")</calculatedColumnFormula>
    </tableColumn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F778C573-EF3F-439B-A142-52C2D8B9684E}" name="datasource_tranquility_type_id_2048105106107108457891011121314151617181920212223242526272829303132333435363738394041424344454647" displayName="datasource_tranquility_type_id_2048105106107108457891011121314151617181920212223242526272829303132333435363738394041424344454647" ref="B708:G722" tableType="queryTable" totalsRowShown="0">
  <autoFilter ref="B708:G722" xr:uid="{F778C573-EF3F-439B-A142-52C2D8B9684E}"/>
  <tableColumns count="6">
    <tableColumn id="1" xr3:uid="{FA887E52-3408-423F-953D-C62FB654267A}" uniqueName="1" name="Column1.average" queryTableFieldId="1"/>
    <tableColumn id="4" xr3:uid="{71DF9EEF-83D4-40E7-A579-B5F0D02AE0BF}" uniqueName="4" name="Column1.lowest" queryTableFieldId="4"/>
    <tableColumn id="5" xr3:uid="{81E7DDBE-64E4-412D-AB52-581FFE08EC9C}" uniqueName="5" name="Column1.order_count" queryTableFieldId="5"/>
    <tableColumn id="6" xr3:uid="{2B0CEB06-A560-41F8-B27D-CA8AB0F85981}" uniqueName="6" name="Column1.volume" queryTableFieldId="6"/>
    <tableColumn id="2" xr3:uid="{9EB0CBC8-2F41-432B-8BF3-87DBE925B953}" uniqueName="2" name="Parse" queryTableFieldId="7" dataDxfId="180"/>
    <tableColumn id="3" xr3:uid="{2748CBF1-CC43-4BBE-B2CF-725DDC4F103A}" uniqueName="3" name="Column1" queryTableFieldId="8" dataDxfId="179">
      <calculatedColumnFormula>IFERROR(IF((F709-F708)&gt;1,(LARGE(F709:$F709,1)-LARGE(F$709:$F709,2))-1,""),"")</calculatedColumnFormula>
    </tableColumn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E22FB7C3-FE8D-453D-B9AA-687CB7884BE5}" name="datasource_tranquility_type_id_204810510610710845789101112131415161718192021222324252627282930313233343536373839404142434445464748" displayName="datasource_tranquility_type_id_204810510610710845789101112131415161718192021222324252627282930313233343536373839404142434445464748" ref="B723:G737" tableType="queryTable" totalsRowShown="0">
  <autoFilter ref="B723:G737" xr:uid="{E22FB7C3-FE8D-453D-B9AA-687CB7884BE5}"/>
  <tableColumns count="6">
    <tableColumn id="1" xr3:uid="{46FE8FC7-C5F7-4BBF-9CC9-65377D6E3556}" uniqueName="1" name="Column1.average" queryTableFieldId="1"/>
    <tableColumn id="4" xr3:uid="{EBAEE06D-2AD9-4418-ADA7-07DE36D06C03}" uniqueName="4" name="Column1.lowest" queryTableFieldId="4"/>
    <tableColumn id="5" xr3:uid="{AC233F8E-FEE8-4F45-B528-C13D65842771}" uniqueName="5" name="Column1.order_count" queryTableFieldId="5"/>
    <tableColumn id="6" xr3:uid="{EB6E86B6-8C45-4E7A-91E4-99E5E6D68D32}" uniqueName="6" name="Column1.volume" queryTableFieldId="6"/>
    <tableColumn id="2" xr3:uid="{E78D23C0-A32A-4A2E-8720-05FD19070469}" uniqueName="2" name="Parse" queryTableFieldId="7" dataDxfId="178"/>
    <tableColumn id="3" xr3:uid="{F19BFC2F-0936-4E27-855A-0815BA080BA4}" uniqueName="3" name="Column1" queryTableFieldId="8" dataDxfId="177">
      <calculatedColumnFormula>IFERROR(IF((F724-F723)&gt;1,(LARGE(F724:$F724,1)-LARGE(F$724:$F724,2))-1,""),"")</calculatedColumnFormula>
    </tableColumn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865B8B4C-2CE2-4735-B787-914409BC69F4}" name="datasource_tranquility_type_id_20481051061071084578910111213141516171819202122232425262728293031323334353637383940414243444546474849" displayName="datasource_tranquility_type_id_20481051061071084578910111213141516171819202122232425262728293031323334353637383940414243444546474849" ref="B738:G752" tableType="queryTable" totalsRowShown="0">
  <autoFilter ref="B738:G752" xr:uid="{865B8B4C-2CE2-4735-B787-914409BC69F4}"/>
  <tableColumns count="6">
    <tableColumn id="1" xr3:uid="{8A0B3CA9-4805-4ED9-B749-2C349FE1AAA5}" uniqueName="1" name="Column1.average" queryTableFieldId="1"/>
    <tableColumn id="4" xr3:uid="{3BE2FDD6-B159-49C2-9707-FDD69F988D47}" uniqueName="4" name="Column1.lowest" queryTableFieldId="4"/>
    <tableColumn id="5" xr3:uid="{5F5A7B8D-B59A-44E0-A845-A02DE080AB67}" uniqueName="5" name="Column1.order_count" queryTableFieldId="5"/>
    <tableColumn id="6" xr3:uid="{F0CFE65D-4953-40E9-928B-D876AAF474C1}" uniqueName="6" name="Column1.volume" queryTableFieldId="6"/>
    <tableColumn id="2" xr3:uid="{C743157A-4F56-484D-84FC-388535D792FD}" uniqueName="2" name="Parse" queryTableFieldId="7" dataDxfId="176"/>
    <tableColumn id="3" xr3:uid="{C0CD868C-F1EB-4A8D-81DE-94CDCF09CC3C}" uniqueName="3" name="Column1" queryTableFieldId="8" dataDxfId="175">
      <calculatedColumnFormula>IFERROR(IF((F739-F738)&gt;1,(LARGE(F739:$F739,1)-LARGE(F$739:$F739,2))-1,""),"")</calculatedColumnFormula>
    </tableColumn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6BA9C78-6824-4874-B049-34BD3612F7E3}" name="datasource_tranquility_type_id_2048105106107108457891011121314151617181920212223242526272829303132333435363738394041424344454647484950" displayName="datasource_tranquility_type_id_2048105106107108457891011121314151617181920212223242526272829303132333435363738394041424344454647484950" ref="B753:G767" tableType="queryTable" totalsRowShown="0">
  <autoFilter ref="B753:G767" xr:uid="{46BA9C78-6824-4874-B049-34BD3612F7E3}"/>
  <tableColumns count="6">
    <tableColumn id="1" xr3:uid="{8CD9A4A1-253E-4FAB-9AAC-673777D613DB}" uniqueName="1" name="Column1.average" queryTableFieldId="1"/>
    <tableColumn id="4" xr3:uid="{95284E0F-92D6-48AC-B635-82755EF1894A}" uniqueName="4" name="Column1.lowest" queryTableFieldId="4"/>
    <tableColumn id="5" xr3:uid="{F66CFD61-A2E5-408F-B6E6-159AC878F6B8}" uniqueName="5" name="Column1.order_count" queryTableFieldId="5"/>
    <tableColumn id="6" xr3:uid="{92D316C0-7C7F-40B4-9CF8-AFB31EC82D0E}" uniqueName="6" name="Column1.volume" queryTableFieldId="6"/>
    <tableColumn id="2" xr3:uid="{2CCEA728-BEDF-4FBE-8D79-6670ADA621D3}" uniqueName="2" name="Parse" queryTableFieldId="7" dataDxfId="174"/>
    <tableColumn id="3" xr3:uid="{E17252D8-ED95-4781-8630-9F43EE6C0092}" uniqueName="3" name="Column1" queryTableFieldId="8" dataDxfId="173">
      <calculatedColumnFormula>IFERROR(IF((F754-F753)&gt;1,(LARGE(F754:$F754,1)-LARGE(F$754:$F754,2))-1,""),"")</calculatedColumnFormula>
    </tableColumn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898D9AD-95D2-4BCA-B569-EF47F1A0ECB5}" name="datasource_tranquility_type_id_204810510610710845789101112131415161718192021222324252627282930313233343536373839404142434445464748495051" displayName="datasource_tranquility_type_id_204810510610710845789101112131415161718192021222324252627282930313233343536373839404142434445464748495051" ref="B768:G782" tableType="queryTable" totalsRowShown="0">
  <autoFilter ref="B768:G782" xr:uid="{C898D9AD-95D2-4BCA-B569-EF47F1A0ECB5}"/>
  <tableColumns count="6">
    <tableColumn id="1" xr3:uid="{DC214D61-CA97-409C-BBD5-EC6E27261359}" uniqueName="1" name="Column1.average" queryTableFieldId="1"/>
    <tableColumn id="4" xr3:uid="{E8E241B6-A799-479E-823D-08DEC43039FC}" uniqueName="4" name="Column1.lowest" queryTableFieldId="4"/>
    <tableColumn id="5" xr3:uid="{E62F1FC3-E5B6-4507-8332-E977012CBC92}" uniqueName="5" name="Column1.order_count" queryTableFieldId="5"/>
    <tableColumn id="6" xr3:uid="{0F2B8F8C-331B-4B90-A2D0-FBA12243AA42}" uniqueName="6" name="Column1.volume" queryTableFieldId="6"/>
    <tableColumn id="2" xr3:uid="{00525FEA-5382-4153-A40C-FD659C2A13FB}" uniqueName="2" name="Parse" queryTableFieldId="7" dataDxfId="172"/>
    <tableColumn id="3" xr3:uid="{03BC229A-46F7-4283-872F-96DA1F2CD4D2}" uniqueName="3" name="Column1" queryTableFieldId="8" dataDxfId="171">
      <calculatedColumnFormula>IFERROR(IF((F769-F768)&gt;1,(LARGE(F769:$F769,1)-LARGE(F$769:$F769,2))-1,""),"")</calculatedColumnFormula>
    </tableColumn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905B413-4188-4E6E-BA60-9FCC3A37B410}" name="datasource_tranquility_type_id_20481051061071084578910111213141516171819202122232425262728293031323334353637383940414243444546474849505152" displayName="datasource_tranquility_type_id_20481051061071084578910111213141516171819202122232425262728293031323334353637383940414243444546474849505152" ref="B783:G797" tableType="queryTable" totalsRowShown="0">
  <autoFilter ref="B783:G797" xr:uid="{6905B413-4188-4E6E-BA60-9FCC3A37B410}"/>
  <tableColumns count="6">
    <tableColumn id="1" xr3:uid="{81670F87-1F52-4027-8956-CB9AD2DA863A}" uniqueName="1" name="Column1.average" queryTableFieldId="1"/>
    <tableColumn id="4" xr3:uid="{83E549A6-3F1C-4F3A-8CA0-C60DA98DC45B}" uniqueName="4" name="Column1.lowest" queryTableFieldId="4"/>
    <tableColumn id="5" xr3:uid="{C94D53BD-8D61-4B23-8A87-22596B108A60}" uniqueName="5" name="Column1.order_count" queryTableFieldId="5"/>
    <tableColumn id="6" xr3:uid="{9B0482A4-0B8F-41F9-AF9F-6F33CEBBD557}" uniqueName="6" name="Column1.volume" queryTableFieldId="6"/>
    <tableColumn id="2" xr3:uid="{BECF539F-0B43-4B89-A919-FF19326F8B66}" uniqueName="2" name="Parse" queryTableFieldId="7" dataDxfId="170"/>
    <tableColumn id="3" xr3:uid="{26151955-64CA-49A7-B798-E5DF661E683D}" uniqueName="3" name="Column1" queryTableFieldId="8" dataDxfId="169">
      <calculatedColumnFormula>IFERROR(IF((F784-F783)&gt;1,(LARGE(F784:$F784,1)-LARGE(F$784:$F784,2))-1,""),"")</calculatedColumnFormula>
    </tableColumn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322D2293-ACBC-4D98-B403-46FDE7FECCA9}" name="datasource_tranquility_type_id_2048105106107108457891011121314151617181920212223242526272829303132333435363738394041424344454647484950515253" displayName="datasource_tranquility_type_id_2048105106107108457891011121314151617181920212223242526272829303132333435363738394041424344454647484950515253" ref="B798:G812" tableType="queryTable" totalsRowShown="0">
  <autoFilter ref="B798:G812" xr:uid="{322D2293-ACBC-4D98-B403-46FDE7FECCA9}"/>
  <tableColumns count="6">
    <tableColumn id="1" xr3:uid="{40B60462-632C-492B-9734-00A2C4DF6873}" uniqueName="1" name="Column1.average" queryTableFieldId="1"/>
    <tableColumn id="4" xr3:uid="{4503624B-0435-4A45-9480-9A348DCE1D74}" uniqueName="4" name="Column1.lowest" queryTableFieldId="4"/>
    <tableColumn id="5" xr3:uid="{D1FBE863-B80D-4978-8942-354DCBD9CC60}" uniqueName="5" name="Column1.order_count" queryTableFieldId="5"/>
    <tableColumn id="6" xr3:uid="{128CF95E-6780-4FA4-90AD-371ACBC34AF0}" uniqueName="6" name="Column1.volume" queryTableFieldId="6"/>
    <tableColumn id="2" xr3:uid="{643453D1-714E-49AD-B769-1380877C5D9D}" uniqueName="2" name="Parse" queryTableFieldId="7" dataDxfId="168"/>
    <tableColumn id="3" xr3:uid="{9C415269-AE73-48E3-A3B3-A03AE154B957}" uniqueName="3" name="Column1" queryTableFieldId="8" dataDxfId="167">
      <calculatedColumnFormula>IFERROR(IF((F799-F798)&gt;1,(LARGE(F799:$F799,1)-LARGE(F$799:$F799,2))-1,""),"")</calculatedColumnFormula>
    </tableColumn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56FC6DA-5054-462A-8A6B-4046C64B0CF4}" name="datasource_tranquility_type_id_204810510610710845789101112131415161718192021222324252627282930313233343536373839404142434445464748495051525354" displayName="datasource_tranquility_type_id_204810510610710845789101112131415161718192021222324252627282930313233343536373839404142434445464748495051525354" ref="B813:G827" tableType="queryTable" totalsRowShown="0">
  <autoFilter ref="B813:G827" xr:uid="{356FC6DA-5054-462A-8A6B-4046C64B0CF4}"/>
  <tableColumns count="6">
    <tableColumn id="1" xr3:uid="{7D8B6297-D645-4C3B-A4C5-9D99CB32EB49}" uniqueName="1" name="Column1.average" queryTableFieldId="1"/>
    <tableColumn id="4" xr3:uid="{C229318F-8D05-43E2-8B5E-64E9AC3D2F71}" uniqueName="4" name="Column1.lowest" queryTableFieldId="4"/>
    <tableColumn id="5" xr3:uid="{3EE041F8-99C2-4024-B12D-FAA818BCC465}" uniqueName="5" name="Column1.order_count" queryTableFieldId="5"/>
    <tableColumn id="6" xr3:uid="{E2DEF4DE-2DD5-4F12-A1A8-DB6E2A4BF2C8}" uniqueName="6" name="Column1.volume" queryTableFieldId="6"/>
    <tableColumn id="2" xr3:uid="{C3AF08A8-21E5-4423-845A-8FB1DCDB89DF}" uniqueName="2" name="Parse" queryTableFieldId="7" dataDxfId="166"/>
    <tableColumn id="3" xr3:uid="{4709ABAA-D56C-4BDF-AE77-B9831404042B}" uniqueName="3" name="Column1" queryTableFieldId="8" dataDxfId="165">
      <calculatedColumnFormula>IFERROR(IF((F814-F813)&gt;1,(LARGE(F814:$F814,1)-LARGE(F$814:$F814,2))-1,""),"")</calculatedColumnFormula>
    </tableColumn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9B1BD1EA-F84F-4C8C-9112-AB53D1813735}" name="datasource_tranquility_type_id_20481051061071084578910111213141516171819202122232425262728293031323334353637383940414243444546474849505152535455" displayName="datasource_tranquility_type_id_20481051061071084578910111213141516171819202122232425262728293031323334353637383940414243444546474849505152535455" ref="B828:G842" tableType="queryTable" totalsRowShown="0">
  <autoFilter ref="B828:G842" xr:uid="{9B1BD1EA-F84F-4C8C-9112-AB53D1813735}"/>
  <tableColumns count="6">
    <tableColumn id="1" xr3:uid="{ADEC681F-8061-4326-A47D-09D2F33C6CEC}" uniqueName="1" name="Column1.average" queryTableFieldId="1"/>
    <tableColumn id="4" xr3:uid="{5C64C0CE-2ADF-49CD-9358-C9EB409A42CD}" uniqueName="4" name="Column1.lowest" queryTableFieldId="4"/>
    <tableColumn id="5" xr3:uid="{D6A24103-2751-4143-94DA-33F0B30CACA1}" uniqueName="5" name="Column1.order_count" queryTableFieldId="5"/>
    <tableColumn id="6" xr3:uid="{6D8F5B85-CFC6-487D-B149-E05A77E1A641}" uniqueName="6" name="Column1.volume" queryTableFieldId="6"/>
    <tableColumn id="2" xr3:uid="{EFD1FD5C-2382-4D90-9D97-D8E5DFF89319}" uniqueName="2" name="Parse" queryTableFieldId="7" dataDxfId="164"/>
    <tableColumn id="3" xr3:uid="{5E7DA78E-5FCA-4FCA-9798-B21D531B997E}" uniqueName="3" name="Column1" queryTableFieldId="8" dataDxfId="163">
      <calculatedColumnFormula>IFERROR(IF((F829-F828)&gt;1,(LARGE(F829:$F829,1)-LARGE(F$829:$F829,2))-1,""),"")</calculatedColumnFormula>
    </tableColumn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4162600-93D7-4FA9-B8A4-040C7C33D3FC}" name="datasource_tranquility_type_id_2048105106107108457891011121314151617181920212223242526272829303132333435363738394041424344454647484950515253545556" displayName="datasource_tranquility_type_id_2048105106107108457891011121314151617181920212223242526272829303132333435363738394041424344454647484950515253545556" ref="B843:G857" tableType="queryTable" totalsRowShown="0">
  <autoFilter ref="B843:G857" xr:uid="{74162600-93D7-4FA9-B8A4-040C7C33D3FC}"/>
  <tableColumns count="6">
    <tableColumn id="1" xr3:uid="{0998E81D-5DA6-43D4-995F-084E033CDCBF}" uniqueName="1" name="Column1.average" queryTableFieldId="1"/>
    <tableColumn id="4" xr3:uid="{353E4846-765C-4682-8DF6-5EA614239397}" uniqueName="4" name="Column1.lowest" queryTableFieldId="4"/>
    <tableColumn id="5" xr3:uid="{C87B1308-EE8C-427D-85FF-0EB111B69981}" uniqueName="5" name="Column1.order_count" queryTableFieldId="5"/>
    <tableColumn id="6" xr3:uid="{01E8F24D-FCD1-494E-A6BA-D53F1E261B84}" uniqueName="6" name="Column1.volume" queryTableFieldId="6"/>
    <tableColumn id="2" xr3:uid="{81DB8678-1BC2-4A91-8EE3-F1CAFAEDE3F5}" uniqueName="2" name="Parse" queryTableFieldId="7" dataDxfId="162"/>
    <tableColumn id="3" xr3:uid="{A709D644-4EF7-46B9-83A0-550329E0FA21}" uniqueName="3" name="Column1" queryTableFieldId="8" dataDxfId="161">
      <calculatedColumnFormula>IFERROR(IF((F844-F843)&gt;1,(LARGE(F844:$F844,1)-LARGE(F$844:$F844,2))-1,""),"")</calculatedColumnFormula>
    </tableColumn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A1B5505-F284-4C82-A4CA-4FB76A920628}" name="datasource_tranquility_type_id_204810510610710845789101112131415161718192021222324252627282930313233343536373839404142434445464748495051525354555657" displayName="datasource_tranquility_type_id_204810510610710845789101112131415161718192021222324252627282930313233343536373839404142434445464748495051525354555657" ref="B858:G872" tableType="queryTable" totalsRowShown="0">
  <autoFilter ref="B858:G872" xr:uid="{7A1B5505-F284-4C82-A4CA-4FB76A920628}"/>
  <tableColumns count="6">
    <tableColumn id="1" xr3:uid="{B4BE1974-D1CD-440D-93F4-B846BFF99EC9}" uniqueName="1" name="Column1.average" queryTableFieldId="1"/>
    <tableColumn id="4" xr3:uid="{A8055C9F-1C46-448A-AE92-6DE0BF8CEF10}" uniqueName="4" name="Column1.lowest" queryTableFieldId="4"/>
    <tableColumn id="5" xr3:uid="{3FC6443E-F93C-4F4F-8FEC-95B116F477EC}" uniqueName="5" name="Column1.order_count" queryTableFieldId="5"/>
    <tableColumn id="6" xr3:uid="{FCA2B096-9E0A-4493-99A0-34553E31B5E8}" uniqueName="6" name="Column1.volume" queryTableFieldId="6"/>
    <tableColumn id="2" xr3:uid="{65A8343B-2C81-44BF-BC6B-E4B533109C77}" uniqueName="2" name="Parse" queryTableFieldId="7" dataDxfId="160"/>
    <tableColumn id="3" xr3:uid="{FF59584E-95DB-440C-A26B-559250811AE4}" uniqueName="3" name="Column1" queryTableFieldId="8" dataDxfId="159">
      <calculatedColumnFormula>IFERROR(IF((F859-F858)&gt;1,(LARGE(F859:$F859,1)-LARGE(F$859:$F859,2))-1,""),"")</calculatedColumnFormula>
    </tableColumn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3825E172-8A7E-4D24-85C3-0D3F2F46FB9B}" name="datasource_tranquility_type_id_20481051061071084578910111213141516171819202122232425262728293031323334353637383940414243444546474849505152535455565758" displayName="datasource_tranquility_type_id_20481051061071084578910111213141516171819202122232425262728293031323334353637383940414243444546474849505152535455565758" ref="B873:G887" tableType="queryTable" totalsRowShown="0">
  <autoFilter ref="B873:G887" xr:uid="{3825E172-8A7E-4D24-85C3-0D3F2F46FB9B}"/>
  <tableColumns count="6">
    <tableColumn id="1" xr3:uid="{B64CEDF6-F0A9-4A8F-9B02-62475CCA7D68}" uniqueName="1" name="Column1.average" queryTableFieldId="1"/>
    <tableColumn id="4" xr3:uid="{BE2B17DB-70BF-493A-8833-0E9314382E1C}" uniqueName="4" name="Column1.lowest" queryTableFieldId="4"/>
    <tableColumn id="5" xr3:uid="{1EA9819B-F7AF-4C20-BD7E-FE20D64D9222}" uniqueName="5" name="Column1.order_count" queryTableFieldId="5"/>
    <tableColumn id="6" xr3:uid="{859609DB-C3AD-4AAB-B39F-7B2E3FA24722}" uniqueName="6" name="Column1.volume" queryTableFieldId="6"/>
    <tableColumn id="2" xr3:uid="{E533BFAD-BB4B-41BE-85C2-C0AC1E1CED0A}" uniqueName="2" name="Parse" queryTableFieldId="7" dataDxfId="158"/>
    <tableColumn id="3" xr3:uid="{C74DC916-1307-4B58-9047-4050502D9AC0}" uniqueName="3" name="Column1" queryTableFieldId="8" dataDxfId="157">
      <calculatedColumnFormula>IFERROR(IF((F874-F873)&gt;1,(LARGE(F874:$F874,1)-LARGE(F$874:$F874,2))-1,""),"")</calculatedColumnFormula>
    </tableColumn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3E2B9D80-FC25-4743-9CB7-66EE7D14D8C6}" name="datasource_tranquility_type_id_2048105106107108457891011121314151617181920212223242526272829303132333435363738394041424344454647484950515253545556575859" displayName="datasource_tranquility_type_id_2048105106107108457891011121314151617181920212223242526272829303132333435363738394041424344454647484950515253545556575859" ref="B888:G902" tableType="queryTable" totalsRowShown="0">
  <autoFilter ref="B888:G902" xr:uid="{3E2B9D80-FC25-4743-9CB7-66EE7D14D8C6}"/>
  <tableColumns count="6">
    <tableColumn id="1" xr3:uid="{48C54703-339B-4F54-B515-951324E68E94}" uniqueName="1" name="Column1.average" queryTableFieldId="1"/>
    <tableColumn id="4" xr3:uid="{2A9A2BC9-EFFA-4D23-891A-9DC2FCD0316E}" uniqueName="4" name="Column1.lowest" queryTableFieldId="4"/>
    <tableColumn id="5" xr3:uid="{6DF5DC07-A8EA-4BCF-AE0F-6128051C0EDD}" uniqueName="5" name="Column1.order_count" queryTableFieldId="5"/>
    <tableColumn id="6" xr3:uid="{FE42E5B4-D7FE-49CB-8129-27D12CC9DF42}" uniqueName="6" name="Column1.volume" queryTableFieldId="6"/>
    <tableColumn id="2" xr3:uid="{9C993881-769E-49B3-9AD5-83EA51DCA987}" uniqueName="2" name="Parse" queryTableFieldId="7" dataDxfId="156"/>
    <tableColumn id="3" xr3:uid="{553B7B6C-E48E-4347-9897-B66AC39AF62E}" uniqueName="3" name="Column1" queryTableFieldId="8" dataDxfId="155">
      <calculatedColumnFormula>IFERROR(IF((F889-F888)&gt;1,(LARGE(F889:$F889,1)-LARGE(F$889:$F889,2))-1,""),"")</calculatedColumnFormula>
    </tableColumn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AC11635-52B3-42D1-8C8E-AE4F73101132}" name="datasource_tranquility_type_id_204810510610710845789101112131415161718192021222324252627282930313233343536373839404142434445464748495051525354555657585960" displayName="datasource_tranquility_type_id_204810510610710845789101112131415161718192021222324252627282930313233343536373839404142434445464748495051525354555657585960" ref="B903:G917" tableType="queryTable" totalsRowShown="0">
  <autoFilter ref="B903:G917" xr:uid="{6AC11635-52B3-42D1-8C8E-AE4F73101132}"/>
  <tableColumns count="6">
    <tableColumn id="1" xr3:uid="{358982C7-1CCD-4D5D-B317-80E2563AB69E}" uniqueName="1" name="Column1.average" queryTableFieldId="1"/>
    <tableColumn id="4" xr3:uid="{E6371CAB-9A28-4452-A3E1-EE6C74DF6777}" uniqueName="4" name="Column1.lowest" queryTableFieldId="4"/>
    <tableColumn id="5" xr3:uid="{DA74E38C-B23D-429B-8C93-126DD9715BA0}" uniqueName="5" name="Column1.order_count" queryTableFieldId="5"/>
    <tableColumn id="6" xr3:uid="{DDC0251E-C0C9-47B1-A7A5-9816C76C78E1}" uniqueName="6" name="Column1.volume" queryTableFieldId="6"/>
    <tableColumn id="2" xr3:uid="{C0BD2F94-8B8B-48E3-ADCD-503C98C9EAF3}" uniqueName="2" name="Parse" queryTableFieldId="7" dataDxfId="154"/>
    <tableColumn id="3" xr3:uid="{269DA8D9-677F-4354-AC02-936F999D309C}" uniqueName="3" name="Column1" queryTableFieldId="8" dataDxfId="153">
      <calculatedColumnFormula>IFERROR(IF((F904-F903)&gt;1,(LARGE(F904:$F904,1)-LARGE(F$904:$F904,2))-1,""),"")</calculatedColumnFormula>
    </tableColumn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7127DC0-60E2-4786-B75B-E4A80B85D98E}" name="datasource_tranquility_type_id_20481051061071084578910111213141516171819202122232425262728293031323334353637383940414243444546474849505152535455565758596061" displayName="datasource_tranquility_type_id_20481051061071084578910111213141516171819202122232425262728293031323334353637383940414243444546474849505152535455565758596061" ref="B918:G932" tableType="queryTable" totalsRowShown="0">
  <autoFilter ref="B918:G932" xr:uid="{27127DC0-60E2-4786-B75B-E4A80B85D98E}"/>
  <tableColumns count="6">
    <tableColumn id="1" xr3:uid="{878320A3-4FC9-46CE-BE1D-A0F71B19C8A5}" uniqueName="1" name="Column1.average" queryTableFieldId="1"/>
    <tableColumn id="4" xr3:uid="{18CA7550-40A1-4A47-BA7B-E2EED2D98CBB}" uniqueName="4" name="Column1.lowest" queryTableFieldId="4"/>
    <tableColumn id="5" xr3:uid="{803CFDC6-B06B-4984-B07A-B696CEE678E8}" uniqueName="5" name="Column1.order_count" queryTableFieldId="5"/>
    <tableColumn id="6" xr3:uid="{4394FDD0-0F1F-4BAD-B044-EFD76505C5C3}" uniqueName="6" name="Column1.volume" queryTableFieldId="6"/>
    <tableColumn id="2" xr3:uid="{D830D3C9-2E5C-4B3A-A417-C7CDCAB4B0CF}" uniqueName="2" name="Parse" queryTableFieldId="7" dataDxfId="152"/>
    <tableColumn id="3" xr3:uid="{1DAAEB22-330D-47E1-83A5-16B7FD90EF89}" uniqueName="3" name="Column1" queryTableFieldId="8" dataDxfId="151">
      <calculatedColumnFormula>IFERROR(IF((F919-F918)&gt;1,(LARGE(F919:$F919,1)-LARGE(F$919:$F919,2))-1,""),"")</calculatedColumnFormula>
    </tableColumn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01AB0D5-C9F9-48E3-B9D3-32F74FBF320D}" name="datasource_tranquility_type_id_2048105106107108457891011121314151617181920212223242526272829303132333435363738394041424344454647484950515253545556575859606162" displayName="datasource_tranquility_type_id_2048105106107108457891011121314151617181920212223242526272829303132333435363738394041424344454647484950515253545556575859606162" ref="B933:G947" tableType="queryTable" totalsRowShown="0">
  <autoFilter ref="B933:G947" xr:uid="{601AB0D5-C9F9-48E3-B9D3-32F74FBF320D}"/>
  <tableColumns count="6">
    <tableColumn id="1" xr3:uid="{95827BB7-5FF8-407A-BEF7-23BAA6E8E142}" uniqueName="1" name="Column1.average" queryTableFieldId="1"/>
    <tableColumn id="4" xr3:uid="{892567EF-2705-406A-8338-FCB2563B555B}" uniqueName="4" name="Column1.lowest" queryTableFieldId="4"/>
    <tableColumn id="5" xr3:uid="{58EDDE8A-E30B-4091-862C-04DB8B280239}" uniqueName="5" name="Column1.order_count" queryTableFieldId="5"/>
    <tableColumn id="6" xr3:uid="{1091906D-EEFF-493D-BBAD-74483B55C5CF}" uniqueName="6" name="Column1.volume" queryTableFieldId="6"/>
    <tableColumn id="2" xr3:uid="{47A9DBC3-A154-43E8-AFA4-F1F5A4550524}" uniqueName="2" name="Parse" queryTableFieldId="7" dataDxfId="150"/>
    <tableColumn id="3" xr3:uid="{5C08D980-16A9-446C-B9E4-F4D8F88CE419}" uniqueName="3" name="Column1" queryTableFieldId="8" dataDxfId="149">
      <calculatedColumnFormula>IFERROR(IF((F934-F933)&gt;1,(LARGE(F934:$F934,1)-LARGE(F$934:$F934,2))-1,""),"")</calculatedColumnFormula>
    </tableColumn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4EA79B53-512D-4562-9A41-F544219392A4}" name="datasource_tranquility_type_id_204810510610710845789101112131415161718192021222324252627282930313233343536373839404142434445464748495051525354555657585960616263" displayName="datasource_tranquility_type_id_204810510610710845789101112131415161718192021222324252627282930313233343536373839404142434445464748495051525354555657585960616263" ref="B948:G962" tableType="queryTable" totalsRowShown="0">
  <autoFilter ref="B948:G962" xr:uid="{4EA79B53-512D-4562-9A41-F544219392A4}"/>
  <tableColumns count="6">
    <tableColumn id="1" xr3:uid="{184BB94D-490E-4559-9AA3-9F7BED669445}" uniqueName="1" name="Column1.average" queryTableFieldId="1"/>
    <tableColumn id="4" xr3:uid="{F5A67AB7-1E81-400C-9A07-57AFC7F1F129}" uniqueName="4" name="Column1.lowest" queryTableFieldId="4"/>
    <tableColumn id="5" xr3:uid="{7B6C6E4F-D983-4487-B826-823EF11820A9}" uniqueName="5" name="Column1.order_count" queryTableFieldId="5"/>
    <tableColumn id="6" xr3:uid="{C5F728FF-F5D4-4092-86D6-42BB752B4A0A}" uniqueName="6" name="Column1.volume" queryTableFieldId="6"/>
    <tableColumn id="2" xr3:uid="{D5D1DA50-4091-495F-ACC3-D6B31FFC5102}" uniqueName="2" name="Parse" queryTableFieldId="7" dataDxfId="148"/>
    <tableColumn id="3" xr3:uid="{80DDE7AF-FAEE-4B26-98F4-9143980DF72E}" uniqueName="3" name="Column1" queryTableFieldId="8" dataDxfId="147">
      <calculatedColumnFormula>IFERROR(IF((F949-F948)&gt;1,(LARGE(F949:$F949,1)-LARGE(F$949:$F949,2))-1,""),"")</calculatedColumnFormula>
    </tableColumn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6F504A1B-D385-47A2-9115-933620F33017}" name="datasource_tranquility_type_id_20481051061071084578910111213141516171819202122232425262728293031323334353637383940414243444546474849505152535455565758596061626364" displayName="datasource_tranquility_type_id_20481051061071084578910111213141516171819202122232425262728293031323334353637383940414243444546474849505152535455565758596061626364" ref="B963:G977" tableType="queryTable" totalsRowShown="0">
  <autoFilter ref="B963:G977" xr:uid="{6F504A1B-D385-47A2-9115-933620F33017}"/>
  <tableColumns count="6">
    <tableColumn id="1" xr3:uid="{17328B4D-7533-42EB-90DA-FDE870D26960}" uniqueName="1" name="Column1.average" queryTableFieldId="1"/>
    <tableColumn id="4" xr3:uid="{303AE32D-217F-4D19-B456-93B243B933A3}" uniqueName="4" name="Column1.lowest" queryTableFieldId="4"/>
    <tableColumn id="5" xr3:uid="{86BA412E-6096-4913-9CC6-D0432FA283DC}" uniqueName="5" name="Column1.order_count" queryTableFieldId="5"/>
    <tableColumn id="6" xr3:uid="{9B39140E-1F03-4413-A33C-D24C4C609A44}" uniqueName="6" name="Column1.volume" queryTableFieldId="6"/>
    <tableColumn id="2" xr3:uid="{53D5A150-5972-4117-A3BE-C554356A9D30}" uniqueName="2" name="Parse" queryTableFieldId="7" dataDxfId="146"/>
    <tableColumn id="3" xr3:uid="{BDB20384-59DD-4C67-9477-287F48775E63}" uniqueName="3" name="Column1" queryTableFieldId="8" dataDxfId="145">
      <calculatedColumnFormula>IFERROR(IF((F964-F963)&gt;1,(LARGE(F964:$F964,1)-LARGE(F$964:$F964,2))-1,""),"")</calculatedColumnFormula>
    </tableColumn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9E16431-695F-47EA-B622-AE3F9C7AE35A}" name="datasource_tranquility_type_id_2048105106107108457891011121314151617181920212223242526272829303132333435363738394041424344454647484950515253545556575859606162636465" displayName="datasource_tranquility_type_id_2048105106107108457891011121314151617181920212223242526272829303132333435363738394041424344454647484950515253545556575859606162636465" ref="B978:G992" tableType="queryTable" totalsRowShown="0">
  <autoFilter ref="B978:G992" xr:uid="{29E16431-695F-47EA-B622-AE3F9C7AE35A}"/>
  <tableColumns count="6">
    <tableColumn id="1" xr3:uid="{7400078D-3307-4910-B255-4F2A0919E895}" uniqueName="1" name="Column1.average" queryTableFieldId="1"/>
    <tableColumn id="4" xr3:uid="{2CC9C726-EE93-458E-88C7-1D7860D952EE}" uniqueName="4" name="Column1.lowest" queryTableFieldId="4"/>
    <tableColumn id="5" xr3:uid="{B1C10735-A752-47AC-903D-7A3FC2EB620A}" uniqueName="5" name="Column1.order_count" queryTableFieldId="5"/>
    <tableColumn id="6" xr3:uid="{BF2A43D8-E0DC-4912-8123-7C537725B87A}" uniqueName="6" name="Column1.volume" queryTableFieldId="6"/>
    <tableColumn id="2" xr3:uid="{4A5B41E8-7F7A-49F3-902B-58250D939A71}" uniqueName="2" name="Parse" queryTableFieldId="7" dataDxfId="144"/>
    <tableColumn id="3" xr3:uid="{53BF3D4F-A44E-4E99-AB3B-37EADD0957EF}" uniqueName="3" name="Column1" queryTableFieldId="8" dataDxfId="143">
      <calculatedColumnFormula>IFERROR(IF((F979-F978)&gt;1,(LARGE(F979:$F979,1)-LARGE(F$979:$F979,2))-1,""),"")</calculatedColumnFormula>
    </tableColumn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C55EA1C-7E1C-442D-A83C-18FE96F527DB}" name="datasource_tranquility_type_id_204810510610710845789101112131415161718192021222324252627282930313233343536373839404142434445464748495051525354555657585960616263646566" displayName="datasource_tranquility_type_id_204810510610710845789101112131415161718192021222324252627282930313233343536373839404142434445464748495051525354555657585960616263646566" ref="B993:G1007" tableType="queryTable" totalsRowShown="0">
  <autoFilter ref="B993:G1007" xr:uid="{0C55EA1C-7E1C-442D-A83C-18FE96F527DB}"/>
  <tableColumns count="6">
    <tableColumn id="1" xr3:uid="{DA7757AB-C639-42A8-AA88-96AA2950BAAD}" uniqueName="1" name="Column1.average" queryTableFieldId="1"/>
    <tableColumn id="4" xr3:uid="{F09410F4-80D2-40A8-AF55-03E83F8FD0AB}" uniqueName="4" name="Column1.lowest" queryTableFieldId="4"/>
    <tableColumn id="5" xr3:uid="{4A49F241-6E0D-46A9-A72B-6C0B62BDAF7B}" uniqueName="5" name="Column1.order_count" queryTableFieldId="5"/>
    <tableColumn id="6" xr3:uid="{46858905-539D-45CD-813B-885EF7B157BB}" uniqueName="6" name="Column1.volume" queryTableFieldId="6"/>
    <tableColumn id="2" xr3:uid="{59248B00-29D8-40F6-A2EB-1E6FFA49904B}" uniqueName="2" name="Parse" queryTableFieldId="7" dataDxfId="142"/>
    <tableColumn id="3" xr3:uid="{D22DA249-B057-43B6-A4AB-0D4431703354}" uniqueName="3" name="Column1" queryTableFieldId="8" dataDxfId="141">
      <calculatedColumnFormula>IFERROR(IF((F994-F993)&gt;1,(LARGE(F994:$F994,1)-LARGE(F$994:$F994,2))-1,""),"")</calculatedColumnFormula>
    </tableColumn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7DE856-62BC-4ECD-BE48-47E6DB637BBC}" name="datasource_tranquility_type_id_20481051061071084578910111213141516171819202122232425262728293031323334353637383940414243444546474849505152535455565758596061626364656667" displayName="datasource_tranquility_type_id_20481051061071084578910111213141516171819202122232425262728293031323334353637383940414243444546474849505152535455565758596061626364656667" ref="B1008:G1022" tableType="queryTable" totalsRowShown="0">
  <autoFilter ref="B1008:G1022" xr:uid="{007DE856-62BC-4ECD-BE48-47E6DB637BBC}"/>
  <tableColumns count="6">
    <tableColumn id="1" xr3:uid="{8C315B9E-C3A3-47E9-ACE3-96E5A2BA24C0}" uniqueName="1" name="Column1.average" queryTableFieldId="1"/>
    <tableColumn id="4" xr3:uid="{EEE4AA34-A311-49B3-AB6C-E03B64D65DD2}" uniqueName="4" name="Column1.lowest" queryTableFieldId="4"/>
    <tableColumn id="5" xr3:uid="{447DB0F6-D6AE-4371-A828-5EE894707816}" uniqueName="5" name="Column1.order_count" queryTableFieldId="5"/>
    <tableColumn id="6" xr3:uid="{3953D951-A40D-4604-9A7A-5BE4F30884B2}" uniqueName="6" name="Column1.volume" queryTableFieldId="6"/>
    <tableColumn id="2" xr3:uid="{77DC0912-FCBB-4F65-9ADF-1CC4078315CC}" uniqueName="2" name="Parse" queryTableFieldId="7" dataDxfId="140"/>
    <tableColumn id="3" xr3:uid="{9C3B6D39-F872-4732-9484-8EC98B3193FB}" uniqueName="3" name="Column1" queryTableFieldId="8" dataDxfId="139">
      <calculatedColumnFormula>IFERROR(IF((F1009-F1008)&gt;1,(LARGE(F1009:$F1009,1)-LARGE(F$1009:$F1009,2))-1,""),"")</calculatedColumnFormula>
    </tableColumn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ABD32A7-9C86-44CC-AA8F-5DD44CBF3469}" name="datasource_tranquility_type_id_2048105106107108457891011121314151617181920212223242526272829303132333435363738394041424344454647484950515253545556575859606162636465666768" displayName="datasource_tranquility_type_id_2048105106107108457891011121314151617181920212223242526272829303132333435363738394041424344454647484950515253545556575859606162636465666768" ref="B1023:G1037" tableType="queryTable" totalsRowShown="0">
  <autoFilter ref="B1023:G1037" xr:uid="{1ABD32A7-9C86-44CC-AA8F-5DD44CBF3469}"/>
  <tableColumns count="6">
    <tableColumn id="1" xr3:uid="{C79DD143-8547-484C-9A3C-F0370EDB4180}" uniqueName="1" name="Column1.average" queryTableFieldId="1"/>
    <tableColumn id="4" xr3:uid="{E53248B4-4BB0-4333-93C5-D29213CC6584}" uniqueName="4" name="Column1.lowest" queryTableFieldId="4"/>
    <tableColumn id="5" xr3:uid="{D517081F-3583-4731-9844-5299EAAD60CA}" uniqueName="5" name="Column1.order_count" queryTableFieldId="5"/>
    <tableColumn id="6" xr3:uid="{1E23F2DE-5625-4B4D-9A31-4F9847BC3B58}" uniqueName="6" name="Column1.volume" queryTableFieldId="6"/>
    <tableColumn id="2" xr3:uid="{C5A65D42-9272-433F-BED8-0FAFA1CB7433}" uniqueName="2" name="Parse" queryTableFieldId="7" dataDxfId="138"/>
    <tableColumn id="3" xr3:uid="{882CBA37-AB0A-4DFE-A6BA-4BACFC3FC501}" uniqueName="3" name="Column1" queryTableFieldId="8" dataDxfId="137">
      <calculatedColumnFormula>IFERROR(IF((F1024-F1023)&gt;1,(LARGE(F1024:$F1024,1)-LARGE(F$1024:$F1024,2))-1,""),"")</calculatedColumnFormula>
    </tableColumn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2306FE5-5E0F-4FC4-A5C0-31935885D940}" name="datasource_tranquility_type_id_204810510610710845789101112131415161718192021222324252627282930313233343536373839404142434445464748495051525354555657585960616263646566676869" displayName="datasource_tranquility_type_id_204810510610710845789101112131415161718192021222324252627282930313233343536373839404142434445464748495051525354555657585960616263646566676869" ref="B1038:G1052" tableType="queryTable" totalsRowShown="0">
  <autoFilter ref="B1038:G1052" xr:uid="{82306FE5-5E0F-4FC4-A5C0-31935885D940}"/>
  <tableColumns count="6">
    <tableColumn id="1" xr3:uid="{1ECD69BF-AB30-4EC7-A88F-F4099A62AF66}" uniqueName="1" name="Column1.average" queryTableFieldId="1"/>
    <tableColumn id="4" xr3:uid="{43D787A2-8F30-4199-8483-4599C660B737}" uniqueName="4" name="Column1.lowest" queryTableFieldId="4"/>
    <tableColumn id="5" xr3:uid="{14942EF9-EEF9-4BC0-B583-51314330304B}" uniqueName="5" name="Column1.order_count" queryTableFieldId="5"/>
    <tableColumn id="6" xr3:uid="{1BB6BB7A-DBA9-43D0-9D53-D4F541558871}" uniqueName="6" name="Column1.volume" queryTableFieldId="6"/>
    <tableColumn id="2" xr3:uid="{242534F5-6418-4C54-8245-590F87AC66EA}" uniqueName="2" name="Parse" queryTableFieldId="7" dataDxfId="136"/>
    <tableColumn id="3" xr3:uid="{E13AF9FB-A1CF-463E-A802-FA3F298679E7}" uniqueName="3" name="Column1" queryTableFieldId="8" dataDxfId="135">
      <calculatedColumnFormula>IFERROR(IF((F1039-F1038)&gt;1,(LARGE(F1039:$F1039,1)-LARGE(F$1039:$F1039,2))-1,""),"")</calculatedColumnFormula>
    </tableColumn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6385C73F-4E99-4D6E-ABF2-0C59FFF7B915}" name="datasource_tranquility_type_id_20481051061071084578910111213141516171819202122232425262728293031323334353637383940414243444546474849505152535455565758596061626364656667686970" displayName="datasource_tranquility_type_id_20481051061071084578910111213141516171819202122232425262728293031323334353637383940414243444546474849505152535455565758596061626364656667686970" ref="B1053:G1067" tableType="queryTable" totalsRowShown="0">
  <autoFilter ref="B1053:G1067" xr:uid="{6385C73F-4E99-4D6E-ABF2-0C59FFF7B915}"/>
  <tableColumns count="6">
    <tableColumn id="1" xr3:uid="{D6E60F95-60D7-435D-8A4D-759E214A6F75}" uniqueName="1" name="Column1.average" queryTableFieldId="1"/>
    <tableColumn id="4" xr3:uid="{5C8EDE39-DFE9-4BB9-86F7-FB42D7729333}" uniqueName="4" name="Column1.lowest" queryTableFieldId="4"/>
    <tableColumn id="5" xr3:uid="{E81B83E4-85DE-46A1-93E3-6709D24AA687}" uniqueName="5" name="Column1.order_count" queryTableFieldId="5"/>
    <tableColumn id="6" xr3:uid="{3CD825B9-7061-49EC-A5B5-4F6EA69283A1}" uniqueName="6" name="Column1.volume" queryTableFieldId="6"/>
    <tableColumn id="2" xr3:uid="{20655286-65D3-48A0-A387-8F562FF7C5C0}" uniqueName="2" name="Parse" queryTableFieldId="7" dataDxfId="134"/>
    <tableColumn id="3" xr3:uid="{8C5EBB0D-877D-4FAA-83BA-44B31AC6A49F}" uniqueName="3" name="Column1" queryTableFieldId="8" dataDxfId="133">
      <calculatedColumnFormula>IFERROR(IF((F1054-F1053)&gt;1,(LARGE(F1054:$F1054,1)-LARGE(F$1054:$F1054,2))-1,""),"")</calculatedColumnFormula>
    </tableColumn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4A0EB40-8662-4D54-9B56-A7FFCDC39EFD}" name="datasource_tranquility_type_id_2048105106107108457891011121314151617181920212223242526272829303132333435363738394041424344454647484950515253545556575859606162636465666768697071" displayName="datasource_tranquility_type_id_2048105106107108457891011121314151617181920212223242526272829303132333435363738394041424344454647484950515253545556575859606162636465666768697071" ref="B1068:G1082" tableType="queryTable" totalsRowShown="0">
  <autoFilter ref="B1068:G1082" xr:uid="{C4A0EB40-8662-4D54-9B56-A7FFCDC39EFD}"/>
  <tableColumns count="6">
    <tableColumn id="1" xr3:uid="{0E235AAB-74B0-46CA-B52E-07A83831D733}" uniqueName="1" name="Column1.average" queryTableFieldId="1"/>
    <tableColumn id="4" xr3:uid="{FCDA3FAB-967E-48DE-B0F7-40E456707591}" uniqueName="4" name="Column1.lowest" queryTableFieldId="4"/>
    <tableColumn id="5" xr3:uid="{CF3C6860-AD8D-4929-85E8-EE7D04CFC002}" uniqueName="5" name="Column1.order_count" queryTableFieldId="5"/>
    <tableColumn id="6" xr3:uid="{88F465AE-10EA-4D18-8FA8-3857C8A7F456}" uniqueName="6" name="Column1.volume" queryTableFieldId="6"/>
    <tableColumn id="2" xr3:uid="{3D472482-70E3-45CD-BE93-9CC2441264D6}" uniqueName="2" name="Parse" queryTableFieldId="7" dataDxfId="132"/>
    <tableColumn id="3" xr3:uid="{B754AC26-6111-4F6F-9969-85DAD581D9F4}" uniqueName="3" name="Column1" queryTableFieldId="8" dataDxfId="131">
      <calculatedColumnFormula>IFERROR(IF((F1069-F1068)&gt;1,(LARGE(F1069:$F1069,1)-LARGE(F$1069:$F1069,2))-1,""),"")</calculatedColumnFormula>
    </tableColumn>
  </tableColumns>
  <tableStyleInfo name="TableStyleMedium7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F90D6655-5274-4385-868F-02CB5FD3C2A4}" name="datasource_tranquility_type_id_204810510610710845789101112131415161718192021222324252627282930313233343536373839404142434445464748495051525354555657585960616263646566676869707172" displayName="datasource_tranquility_type_id_204810510610710845789101112131415161718192021222324252627282930313233343536373839404142434445464748495051525354555657585960616263646566676869707172" ref="B1083:G1097" tableType="queryTable" totalsRowShown="0">
  <autoFilter ref="B1083:G1097" xr:uid="{F90D6655-5274-4385-868F-02CB5FD3C2A4}"/>
  <tableColumns count="6">
    <tableColumn id="1" xr3:uid="{51B7C0DA-409C-497B-B738-2B67C5A72BA6}" uniqueName="1" name="Column1.average" queryTableFieldId="1"/>
    <tableColumn id="4" xr3:uid="{F999FEEB-3509-489E-B6E1-8A10BDC8B358}" uniqueName="4" name="Column1.lowest" queryTableFieldId="4"/>
    <tableColumn id="5" xr3:uid="{85BF062B-6631-4016-996E-2B25DAEC0D05}" uniqueName="5" name="Column1.order_count" queryTableFieldId="5"/>
    <tableColumn id="6" xr3:uid="{2F2CDAAA-FCF2-480B-9BF9-45B0B6DF87E4}" uniqueName="6" name="Column1.volume" queryTableFieldId="6"/>
    <tableColumn id="2" xr3:uid="{210A271A-F481-46F7-BE02-63ED07E045DC}" uniqueName="2" name="Parse" queryTableFieldId="7" dataDxfId="130"/>
    <tableColumn id="3" xr3:uid="{47ABC27B-00CD-4445-AF75-E0BE94C43964}" uniqueName="3" name="Column1" queryTableFieldId="8" dataDxfId="129">
      <calculatedColumnFormula>IFERROR(IF((F1084-F1083)&gt;1,(LARGE(F1084:$F1084,1)-LARGE(F$1084:$F1084,2))-1,""),"")</calculatedColumnFormula>
    </tableColumn>
  </tableColumns>
  <tableStyleInfo name="TableStyleMedium7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DD24E32-B6B6-446F-A7E8-D13ECF153A6E}" name="datasource_tranquility_type_id_20481051061071084578910111213141516171819202122232425262728293031323334353637383940414243444546474849505152535455565758596061626364656667686970717273" displayName="datasource_tranquility_type_id_20481051061071084578910111213141516171819202122232425262728293031323334353637383940414243444546474849505152535455565758596061626364656667686970717273" ref="B1098:G1112" tableType="queryTable" totalsRowShown="0">
  <autoFilter ref="B1098:G1112" xr:uid="{7DD24E32-B6B6-446F-A7E8-D13ECF153A6E}"/>
  <tableColumns count="6">
    <tableColumn id="1" xr3:uid="{8E7E009D-1DC9-4EAA-A170-CC172F4D52FA}" uniqueName="1" name="Column1.average" queryTableFieldId="1"/>
    <tableColumn id="4" xr3:uid="{48EFEA5B-74F4-4849-9CCA-09DF144BBE3B}" uniqueName="4" name="Column1.lowest" queryTableFieldId="4"/>
    <tableColumn id="5" xr3:uid="{B7222CCE-C683-4444-BED6-CDD393720164}" uniqueName="5" name="Column1.order_count" queryTableFieldId="5"/>
    <tableColumn id="6" xr3:uid="{F7FFB29D-D57B-4ABC-BB53-532031A25758}" uniqueName="6" name="Column1.volume" queryTableFieldId="6"/>
    <tableColumn id="2" xr3:uid="{698A649D-05DC-409C-A9EA-49120A0CAC28}" uniqueName="2" name="Parse" queryTableFieldId="7" dataDxfId="128"/>
    <tableColumn id="3" xr3:uid="{17A325F4-7443-4FCE-9446-4FF5196184FE}" uniqueName="3" name="Column1" queryTableFieldId="8" dataDxfId="127">
      <calculatedColumnFormula>IFERROR(IF((F1099-F1098)&gt;1,(LARGE(F1099:$F1099,1)-LARGE(F$1099:$F1099,2))-1,""),"")</calculatedColumnFormula>
    </tableColumn>
  </tableColumns>
  <tableStyleInfo name="TableStyleMedium7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A0EB0619-AD81-4D26-BBE6-E070ACBFE1CB}" name="datasource_tranquility_type_id_2048105106107108457891011121314151617181920212223242526272829303132333435363738394041424344454647484950515253545556575859606162636465666768697071727374" displayName="datasource_tranquility_type_id_2048105106107108457891011121314151617181920212223242526272829303132333435363738394041424344454647484950515253545556575859606162636465666768697071727374" ref="B1113:G1127" tableType="queryTable" totalsRowShown="0">
  <autoFilter ref="B1113:G1127" xr:uid="{A0EB0619-AD81-4D26-BBE6-E070ACBFE1CB}"/>
  <tableColumns count="6">
    <tableColumn id="1" xr3:uid="{81C956AC-59D0-44AA-BCC3-29804E39CAD2}" uniqueName="1" name="Column1.average" queryTableFieldId="1"/>
    <tableColumn id="4" xr3:uid="{44AE148B-66E6-4B96-8F33-5CE614B5D568}" uniqueName="4" name="Column1.lowest" queryTableFieldId="4"/>
    <tableColumn id="5" xr3:uid="{A82EAA70-F17C-45CC-A9DB-9F68D02C82AC}" uniqueName="5" name="Column1.order_count" queryTableFieldId="5"/>
    <tableColumn id="6" xr3:uid="{89DF0099-8A82-48DC-B091-8B7151394DB1}" uniqueName="6" name="Column1.volume" queryTableFieldId="6"/>
    <tableColumn id="2" xr3:uid="{786C54F0-A3DE-44EF-A6AB-77D85CB597C5}" uniqueName="2" name="Parse" queryTableFieldId="7" dataDxfId="126"/>
    <tableColumn id="3" xr3:uid="{ABB6ECC1-0488-4066-81F7-76ECB8C6E30C}" uniqueName="3" name="Column1" queryTableFieldId="8" dataDxfId="125">
      <calculatedColumnFormula>IFERROR(IF((F1114-F1113)&gt;1,(LARGE(F1114:$F1114,1)-LARGE(F$1114:$F1114,2))-1,""),"")</calculatedColumnFormula>
    </tableColumn>
  </tableColumns>
  <tableStyleInfo name="TableStyleMedium7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AB9489C-8434-4E64-A77F-D69A68331BB8}" name="datasource_tranquility_type_id_204810510610710845789101112131415161718192021222324252627282930313233343536373839404142434445464748495051525354555657585960616263646566676869707172737475" displayName="datasource_tranquility_type_id_204810510610710845789101112131415161718192021222324252627282930313233343536373839404142434445464748495051525354555657585960616263646566676869707172737475" ref="B1128:G1142" tableType="queryTable" totalsRowShown="0">
  <autoFilter ref="B1128:G1142" xr:uid="{2AB9489C-8434-4E64-A77F-D69A68331BB8}"/>
  <tableColumns count="6">
    <tableColumn id="1" xr3:uid="{89DAE986-AE75-4E30-9B62-7497C682770B}" uniqueName="1" name="Column1.average" queryTableFieldId="1"/>
    <tableColumn id="4" xr3:uid="{7F120743-F1F2-4D77-83CE-AD617DBD2AB9}" uniqueName="4" name="Column1.lowest" queryTableFieldId="4"/>
    <tableColumn id="5" xr3:uid="{866FE393-830B-432C-B909-32F436622DC2}" uniqueName="5" name="Column1.order_count" queryTableFieldId="5"/>
    <tableColumn id="6" xr3:uid="{A1EB024A-7DFC-47F9-B49C-4708BD6B4245}" uniqueName="6" name="Column1.volume" queryTableFieldId="6"/>
    <tableColumn id="2" xr3:uid="{4214E8B8-8831-456D-9847-7EEAC94637F1}" uniqueName="2" name="Parse" queryTableFieldId="7" dataDxfId="124"/>
    <tableColumn id="3" xr3:uid="{FECCAFBE-A759-41F9-A926-091309F9DFA0}" uniqueName="3" name="Column1" queryTableFieldId="8" dataDxfId="123">
      <calculatedColumnFormula>IFERROR(IF((F1129-F1128)&gt;1,(LARGE(F1129:$F1129,1)-LARGE(F$1129:$F1129,2))-1,""),"")</calculatedColumnFormula>
    </tableColumn>
  </tableColumns>
  <tableStyleInfo name="TableStyleMedium7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2DE51D2-B79B-4C06-8EB3-EBBFB27BF2CE}" name="datasource_tranquility_type_id_20481051061071084578910111213141516171819202122232425262728293031323334353637383940414243444546474849505152535455565758596061626364656667686970717273747576" displayName="datasource_tranquility_type_id_20481051061071084578910111213141516171819202122232425262728293031323334353637383940414243444546474849505152535455565758596061626364656667686970717273747576" ref="B1143:G1157" tableType="queryTable" totalsRowShown="0">
  <autoFilter ref="B1143:G1157" xr:uid="{22DE51D2-B79B-4C06-8EB3-EBBFB27BF2CE}"/>
  <tableColumns count="6">
    <tableColumn id="1" xr3:uid="{E84812EC-7118-49D9-9941-303D883A16B8}" uniqueName="1" name="Column1.average" queryTableFieldId="1"/>
    <tableColumn id="4" xr3:uid="{2C0721BB-6694-49C1-B269-2E40D39AB7F1}" uniqueName="4" name="Column1.lowest" queryTableFieldId="4"/>
    <tableColumn id="5" xr3:uid="{FC46A033-E429-4811-A3D5-D4CEA45B33AA}" uniqueName="5" name="Column1.order_count" queryTableFieldId="5"/>
    <tableColumn id="6" xr3:uid="{269AEC6D-7511-47E7-BD5B-A4E3C19E71E4}" uniqueName="6" name="Column1.volume" queryTableFieldId="6"/>
    <tableColumn id="2" xr3:uid="{D6E0B6A6-3935-49D5-8381-7F3C55257C96}" uniqueName="2" name="Parse" queryTableFieldId="7" dataDxfId="122"/>
    <tableColumn id="3" xr3:uid="{4AEB4463-6E79-44C1-8A7C-0659C106F4DB}" uniqueName="3" name="Column1" queryTableFieldId="8" dataDxfId="121">
      <calculatedColumnFormula>IFERROR(IF((F1144-F1143)&gt;1,(LARGE(F1144:$F1144,1)-LARGE(F$1144:$F1144,2))-1,""),"")</calculatedColumnFormula>
    </tableColumn>
  </tableColumns>
  <tableStyleInfo name="TableStyleMedium7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5DF716F-C6C9-453D-AC67-D6705C0F1B31}" name="datasource_tranquility_type_id_2048105106107108457891011121314151617181920212223242526272829303132333435363738394041424344454647484950515253545556575859606162636465666768697071727374757677" displayName="datasource_tranquility_type_id_2048105106107108457891011121314151617181920212223242526272829303132333435363738394041424344454647484950515253545556575859606162636465666768697071727374757677" ref="B1158:G1172" tableType="queryTable" totalsRowShown="0">
  <autoFilter ref="B1158:G1172" xr:uid="{F5DF716F-C6C9-453D-AC67-D6705C0F1B31}"/>
  <tableColumns count="6">
    <tableColumn id="1" xr3:uid="{1B099012-7991-4C04-931C-CC028BF3B007}" uniqueName="1" name="Column1.average" queryTableFieldId="1"/>
    <tableColumn id="4" xr3:uid="{0A342570-084E-4A6B-8424-694CE22C7072}" uniqueName="4" name="Column1.lowest" queryTableFieldId="4"/>
    <tableColumn id="5" xr3:uid="{F1074793-22CC-49BC-83D1-0DD4117230A9}" uniqueName="5" name="Column1.order_count" queryTableFieldId="5"/>
    <tableColumn id="6" xr3:uid="{E2E69C25-BDB1-4603-8979-B7F65C5068D2}" uniqueName="6" name="Column1.volume" queryTableFieldId="6"/>
    <tableColumn id="2" xr3:uid="{7D1F751C-72DC-42CD-9A08-675BB836AB1D}" uniqueName="2" name="Parse" queryTableFieldId="7" dataDxfId="120"/>
    <tableColumn id="3" xr3:uid="{26D6CE30-8075-4176-9355-0F539C729EE3}" uniqueName="3" name="Column1" queryTableFieldId="8" dataDxfId="119">
      <calculatedColumnFormula>IFERROR(IF((F1159-F1158)&gt;1,(LARGE(F1159:$F1159,1)-LARGE(F$1159:$F1159,2))-1,""),"")</calculatedColumnFormula>
    </tableColumn>
  </tableColumns>
  <tableStyleInfo name="TableStyleMedium7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93484261-5E3D-45E1-ABAB-EC6B475E327D}" name="datasource_tranquility_type_id_204810510610710845789101112131415161718192021222324252627282930313233343536373839404142434445464748495051525354555657585960616263646566676869707172737475767778" displayName="datasource_tranquility_type_id_204810510610710845789101112131415161718192021222324252627282930313233343536373839404142434445464748495051525354555657585960616263646566676869707172737475767778" ref="B1173:G1187" tableType="queryTable" totalsRowShown="0">
  <autoFilter ref="B1173:G1187" xr:uid="{93484261-5E3D-45E1-ABAB-EC6B475E327D}"/>
  <tableColumns count="6">
    <tableColumn id="1" xr3:uid="{22EF078D-E9AC-4691-BE09-7A67E3476443}" uniqueName="1" name="Column1.average" queryTableFieldId="1"/>
    <tableColumn id="4" xr3:uid="{C99FFD33-F939-44F8-8A8F-BC75949D5381}" uniqueName="4" name="Column1.lowest" queryTableFieldId="4"/>
    <tableColumn id="5" xr3:uid="{776D2306-1F5B-42BA-9D8F-8B0D4572EF8B}" uniqueName="5" name="Column1.order_count" queryTableFieldId="5"/>
    <tableColumn id="6" xr3:uid="{F27EB8BE-D850-4250-8F22-B2BE540C7051}" uniqueName="6" name="Column1.volume" queryTableFieldId="6"/>
    <tableColumn id="2" xr3:uid="{7C1BEAAF-F797-4EA8-9AD6-25D56750BC55}" uniqueName="2" name="Parse" queryTableFieldId="7" dataDxfId="118"/>
    <tableColumn id="3" xr3:uid="{8EB291F5-D272-4A5D-8ECE-C90E2305D84E}" uniqueName="3" name="Column1" queryTableFieldId="8" dataDxfId="117">
      <calculatedColumnFormula>IFERROR(IF((F1174-F1173)&gt;1,(LARGE(F1174:$F1174,1)-LARGE(F$1174:$F1174,2))-1,""),"")</calculatedColumnFormula>
    </tableColumn>
  </tableColumns>
  <tableStyleInfo name="TableStyleMedium7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8D5AAF8-0C65-4DC9-BCA7-282AF55E0CAA}" name="datasource_tranquility_type_id_20481051061071084578910111213141516171819202122232425262728293031323334353637383940414243444546474849505152535455565758596061626364656667686970717273747576777879" displayName="datasource_tranquility_type_id_20481051061071084578910111213141516171819202122232425262728293031323334353637383940414243444546474849505152535455565758596061626364656667686970717273747576777879" ref="B1188:G1202" tableType="queryTable" totalsRowShown="0">
  <autoFilter ref="B1188:G1202" xr:uid="{58D5AAF8-0C65-4DC9-BCA7-282AF55E0CAA}"/>
  <tableColumns count="6">
    <tableColumn id="1" xr3:uid="{F2CFB561-547B-4F7E-AF53-6F5E013E8726}" uniqueName="1" name="Column1.average" queryTableFieldId="1"/>
    <tableColumn id="4" xr3:uid="{490A508E-CD5F-4E25-A82E-8DAE9D5AB21F}" uniqueName="4" name="Column1.lowest" queryTableFieldId="4"/>
    <tableColumn id="5" xr3:uid="{6BFDCC14-4876-4E8E-B9BC-BDCC68FBAE5D}" uniqueName="5" name="Column1.order_count" queryTableFieldId="5"/>
    <tableColumn id="6" xr3:uid="{18245F4F-E1C1-43D0-B001-F84C120E6E4C}" uniqueName="6" name="Column1.volume" queryTableFieldId="6"/>
    <tableColumn id="2" xr3:uid="{1ED70E5A-26F3-4362-AAB3-BC0052135C79}" uniqueName="2" name="Parse" queryTableFieldId="7" dataDxfId="116"/>
    <tableColumn id="3" xr3:uid="{78CB0E54-6A69-4AB8-8C03-6F07A93C4AD4}" uniqueName="3" name="Column1" queryTableFieldId="8" dataDxfId="115">
      <calculatedColumnFormula>IFERROR(IF((F1189-F1188)&gt;1,(LARGE(F1189:$F1189,1)-LARGE(F$1189:$F1189,2))-1,""),"")</calculatedColumnFormula>
    </tableColumn>
  </tableColumns>
  <tableStyleInfo name="TableStyleMedium7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D46BE65E-D08D-41C6-90EF-F827ACB675DB}" name="datasource_tranquility_type_id_2048105106107108457891011121314151617181920212223242526272829303132333435363738394041424344454647484950515253545556575859606162636465666768697071727374757677787980" displayName="datasource_tranquility_type_id_2048105106107108457891011121314151617181920212223242526272829303132333435363738394041424344454647484950515253545556575859606162636465666768697071727374757677787980" ref="B1203:G1217" tableType="queryTable" totalsRowShown="0">
  <autoFilter ref="B1203:G1217" xr:uid="{D46BE65E-D08D-41C6-90EF-F827ACB675DB}"/>
  <tableColumns count="6">
    <tableColumn id="1" xr3:uid="{3622BBAC-F4DF-4435-9DBF-2A9E9E167ECB}" uniqueName="1" name="Column1.average" queryTableFieldId="1"/>
    <tableColumn id="4" xr3:uid="{979279A0-B9A6-4061-A53D-380522DA0D3B}" uniqueName="4" name="Column1.lowest" queryTableFieldId="4"/>
    <tableColumn id="5" xr3:uid="{DC3163BE-EE74-4F9C-A03E-CDDD614B8D5B}" uniqueName="5" name="Column1.order_count" queryTableFieldId="5"/>
    <tableColumn id="6" xr3:uid="{0769AFDD-2476-46B1-BB41-4104A792BC33}" uniqueName="6" name="Column1.volume" queryTableFieldId="6"/>
    <tableColumn id="2" xr3:uid="{7F4D6649-1FFC-4ED9-96EE-D806F698C750}" uniqueName="2" name="Parse" queryTableFieldId="7" dataDxfId="114"/>
    <tableColumn id="3" xr3:uid="{0E9A220E-2C7D-4CAB-8AC7-7364691304F6}" uniqueName="3" name="Column1" queryTableFieldId="8" dataDxfId="113">
      <calculatedColumnFormula>IFERROR(IF((F1204-F1203)&gt;1,(LARGE(F1204:$F1204,1)-LARGE(F$1204:$F1204,2))-1,""),"")</calculatedColumnFormula>
    </tableColumn>
  </tableColumns>
  <tableStyleInfo name="TableStyleMedium7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053A6A-FD8B-4956-BE7C-989977F38C5F}" name="datasource_tranquility_type_id_204810510610710845789101112131415161718192021222324252627282930313233343536373839404142434445464748495051525354555657585960616263646566676869707172737475767778798081" displayName="datasource_tranquility_type_id_204810510610710845789101112131415161718192021222324252627282930313233343536373839404142434445464748495051525354555657585960616263646566676869707172737475767778798081" ref="B1218:G1232" tableType="queryTable" totalsRowShown="0">
  <autoFilter ref="B1218:G1232" xr:uid="{71053A6A-FD8B-4956-BE7C-989977F38C5F}"/>
  <tableColumns count="6">
    <tableColumn id="1" xr3:uid="{D238D76E-1E7A-49C3-BB5B-CD95066E87E5}" uniqueName="1" name="Column1.average" queryTableFieldId="1"/>
    <tableColumn id="4" xr3:uid="{639EEC5B-B57B-4CA7-B5A7-EAB6B1732E22}" uniqueName="4" name="Column1.lowest" queryTableFieldId="4"/>
    <tableColumn id="5" xr3:uid="{AD579B03-F10C-455F-8D25-D3D83BB03698}" uniqueName="5" name="Column1.order_count" queryTableFieldId="5"/>
    <tableColumn id="6" xr3:uid="{44F02BD6-73A0-4AB4-9622-B01555DBA437}" uniqueName="6" name="Column1.volume" queryTableFieldId="6"/>
    <tableColumn id="2" xr3:uid="{B137473D-FD5F-4318-8E3B-6AF0851B7AC7}" uniqueName="2" name="Parse" queryTableFieldId="7" dataDxfId="112"/>
    <tableColumn id="3" xr3:uid="{30A195A9-B252-4244-A61D-1DC142C04CA3}" uniqueName="3" name="Column1" queryTableFieldId="8" dataDxfId="111">
      <calculatedColumnFormula>IFERROR(IF((F1219-F1218)&gt;1,(LARGE(F1219:$F1219,1)-LARGE(F$1219:$F1219,2))-1,""),"")</calculatedColumnFormula>
    </tableColumn>
  </tableColumns>
  <tableStyleInfo name="TableStyleMedium7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C258DD6B-E548-429C-B1FE-AF302035F30C}" name="datasource_tranquility_type_id_20481051061071084578910111213141516171819202122232425262728293031323334353637383940414243444546474849505152535455565758596061626364656667686970717273747576777879808182" displayName="datasource_tranquility_type_id_20481051061071084578910111213141516171819202122232425262728293031323334353637383940414243444546474849505152535455565758596061626364656667686970717273747576777879808182" ref="B1233:G1247" tableType="queryTable" totalsRowShown="0">
  <autoFilter ref="B1233:G1247" xr:uid="{C258DD6B-E548-429C-B1FE-AF302035F30C}"/>
  <tableColumns count="6">
    <tableColumn id="1" xr3:uid="{8C43A266-4E12-4525-944C-66990C56038D}" uniqueName="1" name="Column1.average" queryTableFieldId="1"/>
    <tableColumn id="4" xr3:uid="{3C43AAB8-5AB4-46C3-AC0A-E8AB8CF204B6}" uniqueName="4" name="Column1.lowest" queryTableFieldId="4"/>
    <tableColumn id="5" xr3:uid="{63A4B228-BCB4-4BAB-89B0-09BEAD600EDE}" uniqueName="5" name="Column1.order_count" queryTableFieldId="5"/>
    <tableColumn id="6" xr3:uid="{94032AFF-6CD6-48CB-A235-1770EBA080CA}" uniqueName="6" name="Column1.volume" queryTableFieldId="6"/>
    <tableColumn id="2" xr3:uid="{78A123E5-08AA-48AD-AA98-8DE617A1BBA6}" uniqueName="2" name="Parse" queryTableFieldId="7" dataDxfId="110"/>
    <tableColumn id="3" xr3:uid="{22CACEEF-CC72-4CE6-A3FD-2855603BBB6F}" uniqueName="3" name="Column1" queryTableFieldId="8" dataDxfId="109">
      <calculatedColumnFormula>IFERROR(IF((F1234-F1233)&gt;1,(LARGE(F1234:$F1234,1)-LARGE(F$1234:$F1234,2))-1,""),"")</calculatedColumnFormula>
    </tableColumn>
  </tableColumns>
  <tableStyleInfo name="TableStyleMedium7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F5393DA3-7129-4073-9055-C3B422B47776}" name="datasource_tranquility_type_id_2048105106107108457891011121314151617181920212223242526272829303132333435363738394041424344454647484950515253545556575859606162636465666768697071727374757677787980818283" displayName="datasource_tranquility_type_id_2048105106107108457891011121314151617181920212223242526272829303132333435363738394041424344454647484950515253545556575859606162636465666768697071727374757677787980818283" ref="B1248:G1262" tableType="queryTable" totalsRowShown="0">
  <autoFilter ref="B1248:G1262" xr:uid="{F5393DA3-7129-4073-9055-C3B422B47776}"/>
  <tableColumns count="6">
    <tableColumn id="1" xr3:uid="{EA29EFEA-2A6D-4D47-BE91-3498FEA57ABD}" uniqueName="1" name="Column1.average" queryTableFieldId="1"/>
    <tableColumn id="4" xr3:uid="{F31B3F2B-AD41-4ECF-8458-472B5CDFED24}" uniqueName="4" name="Column1.lowest" queryTableFieldId="4"/>
    <tableColumn id="5" xr3:uid="{8907362C-3F7B-46D9-AEDA-708EB32E8CC4}" uniqueName="5" name="Column1.order_count" queryTableFieldId="5"/>
    <tableColumn id="6" xr3:uid="{9551966F-9B30-4BE1-9C71-F835479F713F}" uniqueName="6" name="Column1.volume" queryTableFieldId="6"/>
    <tableColumn id="2" xr3:uid="{1CE3AD4C-15F0-4E15-9171-B7BF23123B2C}" uniqueName="2" name="Parse" queryTableFieldId="7" dataDxfId="108"/>
    <tableColumn id="3" xr3:uid="{1732F667-C5B4-4203-A0B4-98BDD08E3733}" uniqueName="3" name="Column1" queryTableFieldId="8" dataDxfId="107">
      <calculatedColumnFormula>IFERROR(IF((F1249-F1248)&gt;1,(LARGE(F1249:$F1249,1)-LARGE(F$1249:$F1249,2))-1,""),"")</calculatedColumnFormula>
    </tableColumn>
  </tableColumns>
  <tableStyleInfo name="TableStyleMedium7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B1EEDF2E-44BE-4D30-9717-B03A452E47BF}" name="datasource_tranquility_type_id_204810510610710845789101112131415161718192021222324252627282930313233343536373839404142434445464748495051525354555657585960616263646566676869707172737475767778798081828384" displayName="datasource_tranquility_type_id_204810510610710845789101112131415161718192021222324252627282930313233343536373839404142434445464748495051525354555657585960616263646566676869707172737475767778798081828384" ref="B1263:G1277" tableType="queryTable" totalsRowShown="0">
  <autoFilter ref="B1263:G1277" xr:uid="{B1EEDF2E-44BE-4D30-9717-B03A452E47BF}"/>
  <tableColumns count="6">
    <tableColumn id="1" xr3:uid="{BC7D4005-14F1-4B80-BBF2-F5407AEFD5F8}" uniqueName="1" name="Column1.average" queryTableFieldId="1"/>
    <tableColumn id="4" xr3:uid="{F9C1D153-A01A-40B1-BB01-EC9589C7CF8E}" uniqueName="4" name="Column1.lowest" queryTableFieldId="4"/>
    <tableColumn id="5" xr3:uid="{4511E802-29D3-4ECD-81AC-51DD1497A101}" uniqueName="5" name="Column1.order_count" queryTableFieldId="5"/>
    <tableColumn id="6" xr3:uid="{7A2A2A5C-2D3B-44CB-A78A-49AB30E017AF}" uniqueName="6" name="Column1.volume" queryTableFieldId="6"/>
    <tableColumn id="2" xr3:uid="{EA23297B-1647-43CD-8F32-08C3CF825160}" uniqueName="2" name="Parse" queryTableFieldId="7" dataDxfId="106"/>
    <tableColumn id="3" xr3:uid="{9ACE119B-7149-43D3-BE05-2C7CF2870BA0}" uniqueName="3" name="Column1" queryTableFieldId="8" dataDxfId="105">
      <calculatedColumnFormula>IFERROR(IF((F1264-F1263)&gt;1,(LARGE(F1264:$F1264,1)-LARGE(F$1264:$F1264,2))-1,""),"")</calculatedColumnFormula>
    </tableColumn>
  </tableColumns>
  <tableStyleInfo name="TableStyleMedium7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910569F3-A34F-49D0-A294-D869AE618F01}" name="datasource_tranquility_type_id_20481051061071084578910111213141516171819202122232425262728293031323334353637383940414243444546474849505152535455565758596061626364656667686970717273747576777879808182838485" displayName="datasource_tranquility_type_id_20481051061071084578910111213141516171819202122232425262728293031323334353637383940414243444546474849505152535455565758596061626364656667686970717273747576777879808182838485" ref="B1278:G1292" tableType="queryTable" totalsRowShown="0">
  <autoFilter ref="B1278:G1292" xr:uid="{910569F3-A34F-49D0-A294-D869AE618F01}"/>
  <tableColumns count="6">
    <tableColumn id="1" xr3:uid="{883B6C2E-ACEE-4D71-AF88-47064D697948}" uniqueName="1" name="Column1.average" queryTableFieldId="1"/>
    <tableColumn id="4" xr3:uid="{3280F4C7-F17C-4BED-A7B6-E181B262B682}" uniqueName="4" name="Column1.lowest" queryTableFieldId="4"/>
    <tableColumn id="5" xr3:uid="{C1161E73-1C7F-487E-9295-C5C785E0A68B}" uniqueName="5" name="Column1.order_count" queryTableFieldId="5"/>
    <tableColumn id="6" xr3:uid="{1A2F96BA-C731-4463-AE70-B7D7E24F313A}" uniqueName="6" name="Column1.volume" queryTableFieldId="6"/>
    <tableColumn id="2" xr3:uid="{AB44D359-FC6F-44A3-88A6-CC6732829009}" uniqueName="2" name="Parse" queryTableFieldId="7" dataDxfId="104"/>
    <tableColumn id="3" xr3:uid="{BF1F21C6-B70E-408B-9A97-44E4CA8C0381}" uniqueName="3" name="Column1" queryTableFieldId="8" dataDxfId="103">
      <calculatedColumnFormula>IFERROR(IF((F1279-F1278)&gt;1,(LARGE(F1279:$F1279,1)-LARGE(F$1279:$F1279,2))-1,""),"")</calculatedColumnFormula>
    </tableColumn>
  </tableColumns>
  <tableStyleInfo name="TableStyleMedium7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6085D3D-900B-46EF-8DF4-A003E7F70CBF}" name="datasource_tranquility_type_id_2048105106107108457891011121314151617181920212223242526272829303132333435363738394041424344454647484950515253545556575859606162636465666768697071727374757677787980818283848586" displayName="datasource_tranquility_type_id_2048105106107108457891011121314151617181920212223242526272829303132333435363738394041424344454647484950515253545556575859606162636465666768697071727374757677787980818283848586" ref="B1293:G1307" tableType="queryTable" totalsRowShown="0">
  <autoFilter ref="B1293:G1307" xr:uid="{06085D3D-900B-46EF-8DF4-A003E7F70CBF}"/>
  <tableColumns count="6">
    <tableColumn id="1" xr3:uid="{78259CCA-61A4-406E-B47C-D0AF41E687CB}" uniqueName="1" name="Column1.average" queryTableFieldId="1"/>
    <tableColumn id="4" xr3:uid="{0D94FB43-74D7-4CB3-802C-F36E56AE57A1}" uniqueName="4" name="Column1.lowest" queryTableFieldId="4"/>
    <tableColumn id="5" xr3:uid="{0C680A02-1511-466B-BFC4-283713575234}" uniqueName="5" name="Column1.order_count" queryTableFieldId="5"/>
    <tableColumn id="6" xr3:uid="{31E925E0-52BB-4D43-A368-D1952D09CBED}" uniqueName="6" name="Column1.volume" queryTableFieldId="6"/>
    <tableColumn id="2" xr3:uid="{9A5E34C6-7E7E-44C2-98E3-04A32E202566}" uniqueName="2" name="Parse" queryTableFieldId="7" dataDxfId="102"/>
    <tableColumn id="3" xr3:uid="{3D2A8303-9DFE-4E0F-A684-4B2656BC6081}" uniqueName="3" name="Column1" queryTableFieldId="8" dataDxfId="101">
      <calculatedColumnFormula>IFERROR(IF((F1294-F1293)&gt;1,(LARGE(F1294:$F1294,1)-LARGE(F$1294:$F1294,2))-1,""),"")</calculatedColumnFormula>
    </tableColumn>
  </tableColumns>
  <tableStyleInfo name="TableStyleMedium7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BF7DF21E-DE00-4EEB-AADE-FDF03EF4545D}" name="datasource_tranquility_type_id_204810510610710845789101112131415161718192021222324252627282930313233343536373839404142434445464748495051525354555657585960616263646566676869707172737475767778798081828384858687" displayName="datasource_tranquility_type_id_204810510610710845789101112131415161718192021222324252627282930313233343536373839404142434445464748495051525354555657585960616263646566676869707172737475767778798081828384858687" ref="B1308:G1322" tableType="queryTable" totalsRowShown="0">
  <autoFilter ref="B1308:G1322" xr:uid="{BF7DF21E-DE00-4EEB-AADE-FDF03EF4545D}"/>
  <tableColumns count="6">
    <tableColumn id="1" xr3:uid="{04CC9B35-62AB-4355-A3F0-DBBD3F1B8893}" uniqueName="1" name="Column1.average" queryTableFieldId="1"/>
    <tableColumn id="4" xr3:uid="{7B23D4E5-6BA8-4909-BA62-2174CA99F633}" uniqueName="4" name="Column1.lowest" queryTableFieldId="4"/>
    <tableColumn id="5" xr3:uid="{126ED5FB-9508-41B9-9DD2-CF97296C84B8}" uniqueName="5" name="Column1.order_count" queryTableFieldId="5"/>
    <tableColumn id="6" xr3:uid="{40CCC8FD-D5F0-4744-A6AE-40CF9E5B6F73}" uniqueName="6" name="Column1.volume" queryTableFieldId="6"/>
    <tableColumn id="2" xr3:uid="{CB40E0B9-96C5-423F-A2C9-478D2E43EA3D}" uniqueName="2" name="Parse" queryTableFieldId="7" dataDxfId="100"/>
    <tableColumn id="3" xr3:uid="{9FD53835-17A3-4571-BFA1-A674C2629CDA}" uniqueName="3" name="Column1" queryTableFieldId="8" dataDxfId="99">
      <calculatedColumnFormula>IFERROR(IF((F1309-F1308)&gt;1,(LARGE(F1309:$F1309,1)-LARGE(F$1309:$F1309,2))-1,""),"")</calculatedColumnFormula>
    </tableColumn>
  </tableColumns>
  <tableStyleInfo name="TableStyleMedium7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6EBB2B49-E17B-4E82-957E-3EF5E76B8844}" name="datasource_tranquility_type_id_20481051061071084578910111213141516171819202122232425262728293031323334353637383940414243444546474849505152535455565758596061626364656667686970717273747576777879808182838485868788" displayName="datasource_tranquility_type_id_20481051061071084578910111213141516171819202122232425262728293031323334353637383940414243444546474849505152535455565758596061626364656667686970717273747576777879808182838485868788" ref="B1323:G1337" tableType="queryTable" totalsRowShown="0">
  <autoFilter ref="B1323:G1337" xr:uid="{6EBB2B49-E17B-4E82-957E-3EF5E76B8844}"/>
  <tableColumns count="6">
    <tableColumn id="1" xr3:uid="{8B1B01EE-C421-4A95-8EDA-DC6B8AB9F5C4}" uniqueName="1" name="Column1.average" queryTableFieldId="1"/>
    <tableColumn id="4" xr3:uid="{C931E5CC-4E4C-490A-A380-60D1286EC488}" uniqueName="4" name="Column1.lowest" queryTableFieldId="4"/>
    <tableColumn id="5" xr3:uid="{2F8B5D27-0938-4E96-8F06-57D5328E2F54}" uniqueName="5" name="Column1.order_count" queryTableFieldId="5"/>
    <tableColumn id="6" xr3:uid="{6933303B-D4CA-451D-833F-21CD0454D25D}" uniqueName="6" name="Column1.volume" queryTableFieldId="6"/>
    <tableColumn id="2" xr3:uid="{95FA20F0-1DF4-4E83-8D0D-84B22DE188FB}" uniqueName="2" name="Parse" queryTableFieldId="7" dataDxfId="98"/>
    <tableColumn id="3" xr3:uid="{64047188-C0BE-4031-879C-92488174A3C7}" uniqueName="3" name="Column1" queryTableFieldId="8" dataDxfId="97">
      <calculatedColumnFormula>IFERROR(IF((F1324-F1323)&gt;1,(LARGE(F1324:$F1324,1)-LARGE(F$1324:$F1324,2))-1,""),"")</calculatedColumnFormula>
    </tableColumn>
  </tableColumns>
  <tableStyleInfo name="TableStyleMedium7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36B5F539-352A-4CD4-A5AA-14BB04B5391C}" name="datasource_tranquility_type_id_2048105106107108457891011121314151617181920212223242526272829303132333435363738394041424344454647484950515253545556575859606162636465666768697071727374757677787980818283848586878889" displayName="datasource_tranquility_type_id_2048105106107108457891011121314151617181920212223242526272829303132333435363738394041424344454647484950515253545556575859606162636465666768697071727374757677787980818283848586878889" ref="B1338:G1352" tableType="queryTable" totalsRowShown="0">
  <autoFilter ref="B1338:G1352" xr:uid="{36B5F539-352A-4CD4-A5AA-14BB04B5391C}"/>
  <tableColumns count="6">
    <tableColumn id="1" xr3:uid="{38A4880F-DE9E-4948-9A3F-DAE5365B00EF}" uniqueName="1" name="Column1.average" queryTableFieldId="1"/>
    <tableColumn id="4" xr3:uid="{E4CFC0A5-CD4D-434F-9128-A2F3803E6CEB}" uniqueName="4" name="Column1.lowest" queryTableFieldId="4"/>
    <tableColumn id="5" xr3:uid="{B3A18CE9-89E8-4455-A7F5-DDFE61FEE58B}" uniqueName="5" name="Column1.order_count" queryTableFieldId="5"/>
    <tableColumn id="6" xr3:uid="{476EAA4E-84F0-413D-8057-F5EE99C45ABE}" uniqueName="6" name="Column1.volume" queryTableFieldId="6"/>
    <tableColumn id="2" xr3:uid="{A7538312-210F-4181-AFE2-5E2180F6A265}" uniqueName="2" name="Parse" queryTableFieldId="7" dataDxfId="96"/>
    <tableColumn id="3" xr3:uid="{A182E373-2A7D-4D76-B53F-E6D7625A4767}" uniqueName="3" name="Column1" queryTableFieldId="8" dataDxfId="95">
      <calculatedColumnFormula>IFERROR(IF((F1339-F1338)&gt;1,(LARGE(F1339:$F1339,1)-LARGE(F$1339:$F1339,2))-1,""),"")</calculatedColumnFormula>
    </tableColumn>
  </tableColumns>
  <tableStyleInfo name="TableStyleMedium7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BCC210A-E4DA-4CA2-965E-C7B1DF314DC7}" name="datasource_tranquility_type_id_204810510610710845789101112131415161718192021222324252627282930313233343536373839404142434445464748495051525354555657585960616263646566676869707172737475767778798081828384858687888990" displayName="datasource_tranquility_type_id_204810510610710845789101112131415161718192021222324252627282930313233343536373839404142434445464748495051525354555657585960616263646566676869707172737475767778798081828384858687888990" ref="B1353:G1367" tableType="queryTable" totalsRowShown="0">
  <autoFilter ref="B1353:G1367" xr:uid="{3BCC210A-E4DA-4CA2-965E-C7B1DF314DC7}"/>
  <tableColumns count="6">
    <tableColumn id="1" xr3:uid="{D21875E5-2EB3-47F0-8F31-FDFE4C802012}" uniqueName="1" name="Column1.average" queryTableFieldId="1"/>
    <tableColumn id="4" xr3:uid="{A0BFCF7A-8D3D-4A4E-B697-ED085D27FC58}" uniqueName="4" name="Column1.lowest" queryTableFieldId="4"/>
    <tableColumn id="5" xr3:uid="{70F72BCA-EE7D-44F2-99D1-5ADCBB64B902}" uniqueName="5" name="Column1.order_count" queryTableFieldId="5"/>
    <tableColumn id="6" xr3:uid="{11352221-4875-475E-9285-8A96B64CBECE}" uniqueName="6" name="Column1.volume" queryTableFieldId="6"/>
    <tableColumn id="2" xr3:uid="{FE6ECC0C-555B-4E46-8DCA-B3CD117ADCFD}" uniqueName="2" name="Parse" queryTableFieldId="7" dataDxfId="94"/>
    <tableColumn id="3" xr3:uid="{D5057FA7-5398-4E42-A73D-E6A7DCEEFFF4}" uniqueName="3" name="Column1" queryTableFieldId="8" dataDxfId="93">
      <calculatedColumnFormula>IFERROR(IF((F1354-F1353)&gt;1,(LARGE(F1354:$F1354,1)-LARGE(F$1354:$F1354,2))-1,""),"")</calculatedColumnFormula>
    </tableColumn>
  </tableColumns>
  <tableStyleInfo name="TableStyleMedium7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8D83363F-E010-4D10-85BA-872C7F616679}" name="datasource_tranquility_type_id_20481051061071084578910111213141516171819202122232425262728293031323334353637383940414243444546474849505152535455565758596061626364656667686970717273747576777879808182838485868788899091" displayName="datasource_tranquility_type_id_20481051061071084578910111213141516171819202122232425262728293031323334353637383940414243444546474849505152535455565758596061626364656667686970717273747576777879808182838485868788899091" ref="B1368:G1382" tableType="queryTable" totalsRowShown="0">
  <autoFilter ref="B1368:G1382" xr:uid="{8D83363F-E010-4D10-85BA-872C7F616679}"/>
  <tableColumns count="6">
    <tableColumn id="1" xr3:uid="{921F6746-764E-48C6-A3CD-42C6CA6A19D9}" uniqueName="1" name="Column1.average" queryTableFieldId="1"/>
    <tableColumn id="4" xr3:uid="{135ACB96-EC32-4278-A2C6-8A12E500FA0D}" uniqueName="4" name="Column1.lowest" queryTableFieldId="4"/>
    <tableColumn id="5" xr3:uid="{807E3485-B6CA-4FDA-A914-7A529F037252}" uniqueName="5" name="Column1.order_count" queryTableFieldId="5"/>
    <tableColumn id="6" xr3:uid="{7CAAC515-C46B-4BDB-BB7B-13329E812E47}" uniqueName="6" name="Column1.volume" queryTableFieldId="6"/>
    <tableColumn id="2" xr3:uid="{998DCAC4-EAD3-4D5E-9A0B-FB6C2302A5CF}" uniqueName="2" name="Parse" queryTableFieldId="7" dataDxfId="92"/>
    <tableColumn id="3" xr3:uid="{17AD1D77-010E-40C2-B63E-09C197097A13}" uniqueName="3" name="Column1" queryTableFieldId="8" dataDxfId="91">
      <calculatedColumnFormula>IFERROR(IF((F1369-F1368)&gt;1,(LARGE(F1369:$F1369,1)-LARGE(F$1369:$F1369,2))-1,""),"")</calculatedColumnFormula>
    </tableColumn>
  </tableColumns>
  <tableStyleInfo name="TableStyleMedium7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7E9B57C2-1174-4C6F-963F-25E1E9366176}" name="datasource_tranquility_type_id_2048105106107108457891011121314151617181920212223242526272829303132333435363738394041424344454647484950515253545556575859606162636465666768697071727374757677787980818283848586878889909192" displayName="datasource_tranquility_type_id_2048105106107108457891011121314151617181920212223242526272829303132333435363738394041424344454647484950515253545556575859606162636465666768697071727374757677787980818283848586878889909192" ref="B1383:G1397" tableType="queryTable" totalsRowShown="0">
  <autoFilter ref="B1383:G1397" xr:uid="{7E9B57C2-1174-4C6F-963F-25E1E9366176}"/>
  <tableColumns count="6">
    <tableColumn id="1" xr3:uid="{225E45E3-4926-4C08-B347-3070ECE88965}" uniqueName="1" name="Column1.average" queryTableFieldId="1"/>
    <tableColumn id="4" xr3:uid="{F8CC5037-FF65-4B41-9DDF-B7D83D1AE93D}" uniqueName="4" name="Column1.lowest" queryTableFieldId="4"/>
    <tableColumn id="5" xr3:uid="{437BEC02-D5C2-4EFC-A002-AC4FD870F12A}" uniqueName="5" name="Column1.order_count" queryTableFieldId="5"/>
    <tableColumn id="6" xr3:uid="{F4E38FDF-CE27-4D68-8D10-9883CD5A61B7}" uniqueName="6" name="Column1.volume" queryTableFieldId="6"/>
    <tableColumn id="2" xr3:uid="{7130B4AF-FCC3-4C3B-AF1E-84A5CFF0977C}" uniqueName="2" name="Parse" queryTableFieldId="7" dataDxfId="90"/>
    <tableColumn id="3" xr3:uid="{0B356A05-A3DD-479E-B5BF-2E5ED0D3525C}" uniqueName="3" name="Column1" queryTableFieldId="8" dataDxfId="89">
      <calculatedColumnFormula>IFERROR(IF((F1384-F1383)&gt;1,(LARGE(F1384:$F1384,1)-LARGE(F$1384:$F1384,2))-1,""),"")</calculatedColumnFormula>
    </tableColumn>
  </tableColumns>
  <tableStyleInfo name="TableStyleMedium7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C9463248-F3D0-4609-AE21-09CA3C92FB46}" name="datasource_tranquility_type_id_204810510610710845789101112131415161718192021222324252627282930313233343536373839404142434445464748495051525354555657585960616263646566676869707172737475767778798081828384858687888990919293" displayName="datasource_tranquility_type_id_204810510610710845789101112131415161718192021222324252627282930313233343536373839404142434445464748495051525354555657585960616263646566676869707172737475767778798081828384858687888990919293" ref="B1398:G1412" tableType="queryTable" totalsRowShown="0">
  <autoFilter ref="B1398:G1412" xr:uid="{C9463248-F3D0-4609-AE21-09CA3C92FB46}"/>
  <tableColumns count="6">
    <tableColumn id="1" xr3:uid="{92EC03C9-A267-42CC-A1D9-F04034D873CF}" uniqueName="1" name="Column1.average" queryTableFieldId="1"/>
    <tableColumn id="4" xr3:uid="{38E08F51-8C86-4EA3-BF50-B07D2238664E}" uniqueName="4" name="Column1.lowest" queryTableFieldId="4"/>
    <tableColumn id="5" xr3:uid="{415D6102-79D8-4A6E-8D19-D5C4EE31EE54}" uniqueName="5" name="Column1.order_count" queryTableFieldId="5"/>
    <tableColumn id="6" xr3:uid="{2802C21E-97D0-4E04-83E6-4FAFD453A416}" uniqueName="6" name="Column1.volume" queryTableFieldId="6"/>
    <tableColumn id="2" xr3:uid="{3D5FAAA2-E304-4CA6-B608-8D20DA5ED7BE}" uniqueName="2" name="Parse" queryTableFieldId="7" dataDxfId="88"/>
    <tableColumn id="3" xr3:uid="{62D1749E-7BAA-4864-AF6B-670A94CEAC82}" uniqueName="3" name="Column1" queryTableFieldId="8" dataDxfId="87">
      <calculatedColumnFormula>IFERROR(IF((F1399-F1398)&gt;1,(LARGE(F1399:$F1399,1)-LARGE(F$1399:$F1399,2))-1,""),"")</calculatedColumnFormula>
    </tableColumn>
  </tableColumns>
  <tableStyleInfo name="TableStyleMedium7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49FB2F7F-2289-4697-A98D-CD352EC63ADF}" name="datasource_tranquility_type_id_20481051061071084578910111213141516171819202122232425262728293031323334353637383940414243444546474849505152535455565758596061626364656667686970717273747576777879808182838485868788899091929394" displayName="datasource_tranquility_type_id_20481051061071084578910111213141516171819202122232425262728293031323334353637383940414243444546474849505152535455565758596061626364656667686970717273747576777879808182838485868788899091929394" ref="B1413:G1427" tableType="queryTable" totalsRowShown="0">
  <autoFilter ref="B1413:G1427" xr:uid="{49FB2F7F-2289-4697-A98D-CD352EC63ADF}"/>
  <tableColumns count="6">
    <tableColumn id="1" xr3:uid="{475DB244-076B-422F-A6BA-93C8E128ABBD}" uniqueName="1" name="Column1.average" queryTableFieldId="1"/>
    <tableColumn id="4" xr3:uid="{56AFAD0C-5EA8-4886-9C9E-0918F4CA74F9}" uniqueName="4" name="Column1.lowest" queryTableFieldId="4"/>
    <tableColumn id="5" xr3:uid="{2D112409-21AA-4345-8244-5715E425C308}" uniqueName="5" name="Column1.order_count" queryTableFieldId="5"/>
    <tableColumn id="6" xr3:uid="{F620012A-69A7-46EE-9C1A-ED7082C1FD3B}" uniqueName="6" name="Column1.volume" queryTableFieldId="6"/>
    <tableColumn id="2" xr3:uid="{B7412753-B7B8-4ED0-A9F7-BBC9999273B5}" uniqueName="2" name="Parse" queryTableFieldId="7" dataDxfId="86"/>
    <tableColumn id="3" xr3:uid="{68D7319A-8CD6-4C61-82F9-29AC232BC651}" uniqueName="3" name="Column1" queryTableFieldId="8" dataDxfId="85">
      <calculatedColumnFormula>IFERROR(IF((F1414-F1413)&gt;1,(LARGE(F1414:$F1414,1)-LARGE(F$1414:$F1414,2))-1,""),"")</calculatedColumnFormula>
    </tableColumn>
  </tableColumns>
  <tableStyleInfo name="TableStyleMedium7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C1605CC-C02B-410C-AF94-D10256ABDC60}" name="datasource_tranquility_type_id_2048105106107108457891011121314151617181920212223242526272829303132333435363738394041424344454647484950515253545556575859606162636465666768697071727374757677787980818283848586878889909192939495" displayName="datasource_tranquility_type_id_2048105106107108457891011121314151617181920212223242526272829303132333435363738394041424344454647484950515253545556575859606162636465666768697071727374757677787980818283848586878889909192939495" ref="B1428:G1442" tableType="queryTable" totalsRowShown="0">
  <autoFilter ref="B1428:G1442" xr:uid="{0C1605CC-C02B-410C-AF94-D10256ABDC60}"/>
  <tableColumns count="6">
    <tableColumn id="1" xr3:uid="{CE906B60-20A1-4954-996A-6BC2093F532D}" uniqueName="1" name="Column1.average" queryTableFieldId="1"/>
    <tableColumn id="4" xr3:uid="{5DA680B9-9E6F-47C6-A493-E6FF25F18F0F}" uniqueName="4" name="Column1.lowest" queryTableFieldId="4"/>
    <tableColumn id="5" xr3:uid="{AFF2F9BD-6008-4810-894A-BB2385D2112E}" uniqueName="5" name="Column1.order_count" queryTableFieldId="5"/>
    <tableColumn id="6" xr3:uid="{B18C1A5A-4172-4A04-97DC-6EC071BD8B8F}" uniqueName="6" name="Column1.volume" queryTableFieldId="6"/>
    <tableColumn id="2" xr3:uid="{0D381D3B-9C50-43CA-9169-93A9ECF177B5}" uniqueName="2" name="Parse" queryTableFieldId="7" dataDxfId="84"/>
    <tableColumn id="3" xr3:uid="{6B654E78-3653-4FFD-BE9C-8569D69E9C3D}" uniqueName="3" name="Column1" queryTableFieldId="8" dataDxfId="83">
      <calculatedColumnFormula>IFERROR(IF((F1429-F1428)&gt;1,(LARGE(F1429:$F1429,1)-LARGE(F$1429:$F1429,2))-1,""),"")</calculatedColumnFormula>
    </tableColumn>
  </tableColumns>
  <tableStyleInfo name="TableStyleMedium7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92F40E38-D0E2-44CF-AFE4-0287184DE51F}" name="datasource_tranquility_type_id_204810510610710845789101112131415161718192021222324252627282930313233343536373839404142434445464748495051525354555657585960616263646566676869707172737475767778798081828384858687888990919293949596" displayName="datasource_tranquility_type_id_204810510610710845789101112131415161718192021222324252627282930313233343536373839404142434445464748495051525354555657585960616263646566676869707172737475767778798081828384858687888990919293949596" ref="B1443:G1457" tableType="queryTable" totalsRowShown="0">
  <autoFilter ref="B1443:G1457" xr:uid="{92F40E38-D0E2-44CF-AFE4-0287184DE51F}"/>
  <tableColumns count="6">
    <tableColumn id="1" xr3:uid="{490A90B4-9AD8-4898-8561-7B31DA445F9E}" uniqueName="1" name="Column1.average" queryTableFieldId="1"/>
    <tableColumn id="4" xr3:uid="{70F22C86-67EE-4E2D-94B1-A220A19CAF19}" uniqueName="4" name="Column1.lowest" queryTableFieldId="4"/>
    <tableColumn id="5" xr3:uid="{05A928F3-FBBF-4E1B-BC3C-3D80901FEF20}" uniqueName="5" name="Column1.order_count" queryTableFieldId="5"/>
    <tableColumn id="6" xr3:uid="{E45C32E9-CA03-40CC-B070-5F417D6C3DFA}" uniqueName="6" name="Column1.volume" queryTableFieldId="6"/>
    <tableColumn id="2" xr3:uid="{2D72076B-B85C-4BAB-AADC-1CCF38B9AACB}" uniqueName="2" name="Parse" queryTableFieldId="7" dataDxfId="82"/>
    <tableColumn id="3" xr3:uid="{6F134328-4321-466B-8B4B-F6239A0F1B74}" uniqueName="3" name="Column1" queryTableFieldId="8" dataDxfId="81">
      <calculatedColumnFormula>IFERROR(IF((F1444-F1443)&gt;1,(LARGE(F1444:$F1444,1)-LARGE(F$1444:$F1444,2))-1,""),"")</calculatedColumnFormula>
    </tableColumn>
  </tableColumns>
  <tableStyleInfo name="TableStyleMedium7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2153192D-FD16-496D-90AA-E55329A0A262}" name="datasource_tranquility_type_id_20481051061071084578910111213141516171819202122232425262728293031323334353637383940414243444546474849505152535455565758596061626364656667686970717273747576777879808182838485868788899091929394959697" displayName="datasource_tranquility_type_id_20481051061071084578910111213141516171819202122232425262728293031323334353637383940414243444546474849505152535455565758596061626364656667686970717273747576777879808182838485868788899091929394959697" ref="B1458:G1472" tableType="queryTable" totalsRowShown="0">
  <autoFilter ref="B1458:G1472" xr:uid="{2153192D-FD16-496D-90AA-E55329A0A262}"/>
  <tableColumns count="6">
    <tableColumn id="1" xr3:uid="{B17BFA6D-67DA-46EE-B27F-D51EFE3C634C}" uniqueName="1" name="Column1.average" queryTableFieldId="1"/>
    <tableColumn id="4" xr3:uid="{9E687630-4986-42AF-9E08-35D37B4EF717}" uniqueName="4" name="Column1.lowest" queryTableFieldId="4"/>
    <tableColumn id="5" xr3:uid="{97AF710C-FD55-4370-A4B9-A2688F4DB44F}" uniqueName="5" name="Column1.order_count" queryTableFieldId="5"/>
    <tableColumn id="6" xr3:uid="{49F58CFB-1B74-4AD7-B521-F66EE078DC33}" uniqueName="6" name="Column1.volume" queryTableFieldId="6"/>
    <tableColumn id="2" xr3:uid="{3AD21C9A-DC72-4266-A7DE-C643CA7D525C}" uniqueName="2" name="Parse" queryTableFieldId="7" dataDxfId="80"/>
    <tableColumn id="3" xr3:uid="{FD261901-930A-4C33-80C7-37472068AC82}" uniqueName="3" name="Column1" queryTableFieldId="8" dataDxfId="79">
      <calculatedColumnFormula>IFERROR(IF((F1459-F1458)&gt;1,(LARGE(F1459:$F1459,1)-LARGE(F$1459:$F1459,2))-1,""),"")</calculatedColumnFormula>
    </tableColumn>
  </tableColumns>
  <tableStyleInfo name="TableStyleMedium7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CFE3F58-1DFA-4F3B-8D24-6DAA8FAD0E04}" name="datasource_tranquility_type_id_2048105106107108457891011121314151617181920212223242526272829303132333435363738394041424344454647484950515253545556575859606162636465666768697071727374757677787980818283848586878889909192939495969798" displayName="datasource_tranquility_type_id_2048105106107108457891011121314151617181920212223242526272829303132333435363738394041424344454647484950515253545556575859606162636465666768697071727374757677787980818283848586878889909192939495969798" ref="B1473:G1487" tableType="queryTable" totalsRowShown="0">
  <autoFilter ref="B1473:G1487" xr:uid="{0CFE3F58-1DFA-4F3B-8D24-6DAA8FAD0E04}"/>
  <tableColumns count="6">
    <tableColumn id="1" xr3:uid="{1930000D-13E4-48D8-BBD2-83BBD03A26BE}" uniqueName="1" name="Column1.average" queryTableFieldId="1"/>
    <tableColumn id="4" xr3:uid="{EFF21654-0C08-41F1-90A9-1E7EDB445A25}" uniqueName="4" name="Column1.lowest" queryTableFieldId="4"/>
    <tableColumn id="5" xr3:uid="{ABE4569C-2CAA-4E7F-8970-69F9CC26CA9F}" uniqueName="5" name="Column1.order_count" queryTableFieldId="5"/>
    <tableColumn id="6" xr3:uid="{C81073CF-1FF1-4FFF-9440-4E2D41F2CF45}" uniqueName="6" name="Column1.volume" queryTableFieldId="6"/>
    <tableColumn id="2" xr3:uid="{E0FA7501-E32E-47ED-9997-04E1277BA15F}" uniqueName="2" name="Parse" queryTableFieldId="7" dataDxfId="78"/>
    <tableColumn id="3" xr3:uid="{359E2449-4306-432D-8835-8A83700F05E4}" uniqueName="3" name="Column1" queryTableFieldId="8" dataDxfId="77">
      <calculatedColumnFormula>IFERROR(IF((F1474-F1473)&gt;1,(LARGE(F1474:$F1474,1)-LARGE(F$1474:$F1474,2))-1,""),"")</calculatedColumnFormula>
    </tableColumn>
  </tableColumns>
  <tableStyleInfo name="TableStyleMedium7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5BCA15E2-24F3-478F-B6A1-AE21D6D044EA}" name="datasource_tranquility_type_id_204810510610710845789101112131415161718192021222324252627282930313233343536373839404142434445464748495051525354555657585960616263646566676869707172737475767778798081828384858687888990919293949596979899" displayName="datasource_tranquility_type_id_204810510610710845789101112131415161718192021222324252627282930313233343536373839404142434445464748495051525354555657585960616263646566676869707172737475767778798081828384858687888990919293949596979899" ref="B1488:G1502" tableType="queryTable" totalsRowShown="0">
  <autoFilter ref="B1488:G1502" xr:uid="{5BCA15E2-24F3-478F-B6A1-AE21D6D044EA}"/>
  <tableColumns count="6">
    <tableColumn id="1" xr3:uid="{9676F324-5E0D-4649-9626-3A260750CED7}" uniqueName="1" name="Column1.average" queryTableFieldId="1"/>
    <tableColumn id="4" xr3:uid="{89DD6D40-1781-480A-A651-837725A32CC0}" uniqueName="4" name="Column1.lowest" queryTableFieldId="4"/>
    <tableColumn id="5" xr3:uid="{2FA6CD06-E416-4E2A-AE80-190CB69C7370}" uniqueName="5" name="Column1.order_count" queryTableFieldId="5"/>
    <tableColumn id="6" xr3:uid="{194BBB93-4C02-4659-AFFC-07A4317FF2F4}" uniqueName="6" name="Column1.volume" queryTableFieldId="6"/>
    <tableColumn id="2" xr3:uid="{916CC4D2-EB10-4A6D-B7AB-21881333DF50}" uniqueName="2" name="Parse" queryTableFieldId="7" dataDxfId="76"/>
    <tableColumn id="3" xr3:uid="{4AC7FAF7-0344-4E63-8EF6-7A12DC0A748A}" uniqueName="3" name="Column1" queryTableFieldId="8" dataDxfId="75">
      <calculatedColumnFormula>IFERROR(IF((F1489-F1488)&gt;1,(LARGE(F1489:$F1489,1)-LARGE(F$1489:$F1489,2))-1,""),"")</calculatedColumnFormula>
    </tableColumn>
  </tableColumns>
  <tableStyleInfo name="TableStyleMedium7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2E8DA56B-2207-4491-9CC5-2CBBCEF6FCA7}" name="datasource_tranquility_type_id_204810510610710845789101112131415161718192021222324252627282930313233343536373839404142434445464748495051525354555657585960616263646566676869707172737475767778798081828384858687888990919293949596979899100" displayName="datasource_tranquility_type_id_204810510610710845789101112131415161718192021222324252627282930313233343536373839404142434445464748495051525354555657585960616263646566676869707172737475767778798081828384858687888990919293949596979899100" ref="B1503:G1517" tableType="queryTable" totalsRowShown="0">
  <autoFilter ref="B1503:G1517" xr:uid="{2E8DA56B-2207-4491-9CC5-2CBBCEF6FCA7}"/>
  <tableColumns count="6">
    <tableColumn id="1" xr3:uid="{E7A7C927-7229-4353-80FD-3776C1C5B230}" uniqueName="1" name="Column1.average" queryTableFieldId="1"/>
    <tableColumn id="4" xr3:uid="{239F7314-8DBB-4B22-820C-BD3004D95336}" uniqueName="4" name="Column1.lowest" queryTableFieldId="4"/>
    <tableColumn id="5" xr3:uid="{4C49A207-B210-478A-BF17-831980116166}" uniqueName="5" name="Column1.order_count" queryTableFieldId="5"/>
    <tableColumn id="6" xr3:uid="{E9971B2E-26F1-4025-A970-C95A8C394F11}" uniqueName="6" name="Column1.volume" queryTableFieldId="6"/>
    <tableColumn id="2" xr3:uid="{6B64319B-DC5C-44F5-98A9-FB01CC754CE1}" uniqueName="2" name="Parse" queryTableFieldId="7" dataDxfId="74"/>
    <tableColumn id="3" xr3:uid="{A8D0E020-3DA4-4D2D-8C2B-7E0D92713947}" uniqueName="3" name="Column1" queryTableFieldId="8" dataDxfId="73">
      <calculatedColumnFormula>IFERROR(IF((F1504-F1503)&gt;1,(LARGE(F1504:$F1504,1)-LARGE(F$1504:$F1504,2))-1,""),"")</calculatedColumnFormula>
    </tableColumn>
  </tableColumns>
  <tableStyleInfo name="TableStyleMedium7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63CE0BC9-07CE-435B-8402-DECFA5857CBE}" name="datasource_tranquility_type_id_204810510610710845789101112131415161718192021222324252627282930313233343536373839404142434445464748495051525354555657585960616263646566676869707172737475767778798081828384858687888990919293949596979899100101" displayName="datasource_tranquility_type_id_204810510610710845789101112131415161718192021222324252627282930313233343536373839404142434445464748495051525354555657585960616263646566676869707172737475767778798081828384858687888990919293949596979899100101" ref="B1518:G1532" tableType="queryTable" totalsRowShown="0">
  <autoFilter ref="B1518:G1532" xr:uid="{63CE0BC9-07CE-435B-8402-DECFA5857CBE}"/>
  <tableColumns count="6">
    <tableColumn id="1" xr3:uid="{142CEF79-38AF-45C8-BC50-1473F3DC890B}" uniqueName="1" name="Column1.average" queryTableFieldId="1"/>
    <tableColumn id="4" xr3:uid="{00D6BDAB-F580-4ED7-AD61-98A0D05A50DC}" uniqueName="4" name="Column1.lowest" queryTableFieldId="4"/>
    <tableColumn id="5" xr3:uid="{268C4C87-142B-43A8-A547-DD8F94E1937A}" uniqueName="5" name="Column1.order_count" queryTableFieldId="5"/>
    <tableColumn id="6" xr3:uid="{87EF8A8C-F1EB-4791-93F8-12FDCCBE0098}" uniqueName="6" name="Column1.volume" queryTableFieldId="6"/>
    <tableColumn id="2" xr3:uid="{E1962B3F-BBEC-449F-8CAE-6C47DC989F67}" uniqueName="2" name="Parse" queryTableFieldId="7" dataDxfId="72"/>
    <tableColumn id="3" xr3:uid="{420710C1-B6CF-4115-8EB0-E005DD4DC085}" uniqueName="3" name="Column1" queryTableFieldId="8" dataDxfId="71">
      <calculatedColumnFormula>IFERROR(IF((F1519-F1518)&gt;1,(LARGE(F1519:$F1519,1)-LARGE(F$1519:$F1519,2))-1,""),"")</calculatedColumnFormula>
    </tableColumn>
  </tableColumns>
  <tableStyleInfo name="TableStyleMedium7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D5D82BDA-BF32-4589-A1BC-287C01CAD91B}" name="datasource_tranquility_type_id_204810510610710845789101112131415161718192021222324252627282930313233343536373839404142434445464748495051525354555657585960616263646566676869707172737475767778798081828384858687888990919293949596979899100101102" displayName="datasource_tranquility_type_id_204810510610710845789101112131415161718192021222324252627282930313233343536373839404142434445464748495051525354555657585960616263646566676869707172737475767778798081828384858687888990919293949596979899100101102" ref="B1533:G1547" tableType="queryTable" totalsRowShown="0">
  <autoFilter ref="B1533:G1547" xr:uid="{D5D82BDA-BF32-4589-A1BC-287C01CAD91B}"/>
  <tableColumns count="6">
    <tableColumn id="1" xr3:uid="{0FC1FB61-6D96-4034-91EE-50B89E7976E2}" uniqueName="1" name="Column1.average" queryTableFieldId="1"/>
    <tableColumn id="4" xr3:uid="{EB31C131-564B-4AAC-84F3-FC0861C3E6A7}" uniqueName="4" name="Column1.lowest" queryTableFieldId="4"/>
    <tableColumn id="5" xr3:uid="{D67414FD-F3AB-455B-9F54-1686DBA3FF00}" uniqueName="5" name="Column1.order_count" queryTableFieldId="5"/>
    <tableColumn id="6" xr3:uid="{7972C7D0-14CA-4EF0-8D61-15D6231972C8}" uniqueName="6" name="Column1.volume" queryTableFieldId="6"/>
    <tableColumn id="2" xr3:uid="{2432F882-3851-4BD3-8E14-6543066BC7FC}" uniqueName="2" name="Parse" queryTableFieldId="7" dataDxfId="70"/>
    <tableColumn id="3" xr3:uid="{52665709-D215-4642-965F-8F003EB09590}" uniqueName="3" name="Column1" queryTableFieldId="8" dataDxfId="69">
      <calculatedColumnFormula>IFERROR(IF((F1534-F1533)&gt;1,(LARGE(F1534:$F1534,1)-LARGE(F$1534:$F1534,2))-1,""),"")</calculatedColumnFormula>
    </tableColumn>
  </tableColumns>
  <tableStyleInfo name="TableStyleMedium7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71F88C66-254F-4108-95C6-E3331274A466}" name="datasource_tranquility_type_id_204810510610710845789101112131415161718192021222324252627282930313233343536373839404142434445464748495051525354555657585960616263646566676869707172737475767778798081828384858687888990919293949596979899100101102103" displayName="datasource_tranquility_type_id_204810510610710845789101112131415161718192021222324252627282930313233343536373839404142434445464748495051525354555657585960616263646566676869707172737475767778798081828384858687888990919293949596979899100101102103" ref="B1548:G1562" tableType="queryTable" totalsRowShown="0">
  <autoFilter ref="B1548:G1562" xr:uid="{71F88C66-254F-4108-95C6-E3331274A466}"/>
  <tableColumns count="6">
    <tableColumn id="1" xr3:uid="{973BEA53-C4CC-4E89-87A1-B85259180E28}" uniqueName="1" name="Column1.average" queryTableFieldId="1"/>
    <tableColumn id="4" xr3:uid="{DA19C08D-838E-43F7-B2A9-174D5DEEA8AC}" uniqueName="4" name="Column1.lowest" queryTableFieldId="4"/>
    <tableColumn id="5" xr3:uid="{09AB2901-3799-4E2E-84F9-EF3E54C34376}" uniqueName="5" name="Column1.order_count" queryTableFieldId="5"/>
    <tableColumn id="6" xr3:uid="{6CAB79FB-E0EC-46FC-BE21-5A6CE51ADC2A}" uniqueName="6" name="Column1.volume" queryTableFieldId="6"/>
    <tableColumn id="2" xr3:uid="{8AA63CBB-983D-4A31-9676-FDA0258D7936}" uniqueName="2" name="Parse" queryTableFieldId="7" dataDxfId="68"/>
    <tableColumn id="3" xr3:uid="{A3D02171-98C9-43B0-948A-A006DAC56BCD}" uniqueName="3" name="Column1" queryTableFieldId="8" dataDxfId="67">
      <calculatedColumnFormula>IFERROR(IF((F1549-F1548)&gt;1,(LARGE(F1549:$F1549,1)-LARGE(F$1549:$F1549,2))-1,""),"")</calculatedColumnFormula>
    </tableColumn>
  </tableColumns>
  <tableStyleInfo name="TableStyleMedium7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613E8F3B-493B-4D25-BAB8-44D6E293CC7D}" name="datasource_tranquility_type_id_204810510610710845789101112131415161718192021222324252627282930313233343536373839404142434445464748495051525354555657585960616263646566676869707172737475767778798081828384858687888990919293949596979899100101102103104" displayName="datasource_tranquility_type_id_204810510610710845789101112131415161718192021222324252627282930313233343536373839404142434445464748495051525354555657585960616263646566676869707172737475767778798081828384858687888990919293949596979899100101102103104" ref="B1563:G1577" tableType="queryTable" totalsRowShown="0">
  <autoFilter ref="B1563:G1577" xr:uid="{613E8F3B-493B-4D25-BAB8-44D6E293CC7D}"/>
  <tableColumns count="6">
    <tableColumn id="1" xr3:uid="{C5AF1539-C5CA-473F-9E4A-98BA9CADCF03}" uniqueName="1" name="Column1.average" queryTableFieldId="1"/>
    <tableColumn id="4" xr3:uid="{B43D54BE-49CE-4344-AA59-92D98BEB708F}" uniqueName="4" name="Column1.lowest" queryTableFieldId="4"/>
    <tableColumn id="5" xr3:uid="{417965AB-EA9E-48D9-8CC6-927B74A7CED3}" uniqueName="5" name="Column1.order_count" queryTableFieldId="5"/>
    <tableColumn id="6" xr3:uid="{514D45EF-F007-4F4C-9B93-1FC89F1167E0}" uniqueName="6" name="Column1.volume" queryTableFieldId="6"/>
    <tableColumn id="2" xr3:uid="{C5BD92C8-7404-48FF-BF5F-361334C9E25B}" uniqueName="2" name="Parse" queryTableFieldId="7" dataDxfId="66"/>
    <tableColumn id="3" xr3:uid="{A175527B-4937-46E5-A5A3-D9EF04B5C252}" uniqueName="3" name="Column1" queryTableFieldId="8" dataDxfId="65">
      <calculatedColumnFormula>IFERROR(IF((F1564-F1563)&gt;1,(LARGE(F1564:$F1564,1)-LARGE(F$1564:$F1564,2))-1,""),"")</calculatedColumnFormula>
    </tableColumn>
  </tableColumns>
  <tableStyleInfo name="TableStyleMedium7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83A53A6-F668-4D9F-BBBA-C544CD8B70B7}" name="datasource_tranquility_type_id_204810510610710845789101112131415161718192021222324252627282930313233343536373839404142434445464748495051525354555657585960616263646566676869707172737475767778798081828384858687888990919293949596979899100101102103104109" displayName="datasource_tranquility_type_id_204810510610710845789101112131415161718192021222324252627282930313233343536373839404142434445464748495051525354555657585960616263646566676869707172737475767778798081828384858687888990919293949596979899100101102103104109" ref="B1578:G1592" tableType="queryTable" totalsRowShown="0">
  <autoFilter ref="B1578:G1592" xr:uid="{083A53A6-F668-4D9F-BBBA-C544CD8B70B7}"/>
  <tableColumns count="6">
    <tableColumn id="1" xr3:uid="{B7D01654-0940-4862-A8B5-451AEDBCD0AE}" uniqueName="1" name="Column1.average" queryTableFieldId="1"/>
    <tableColumn id="4" xr3:uid="{93B569C9-781B-40CA-A6BA-CADC7FD90DE1}" uniqueName="4" name="Column1.lowest" queryTableFieldId="4"/>
    <tableColumn id="5" xr3:uid="{35707C90-9A75-4169-B451-240B775F8C94}" uniqueName="5" name="Column1.order_count" queryTableFieldId="5"/>
    <tableColumn id="6" xr3:uid="{B2D2B3AB-D33E-456D-AE1B-D355BB215081}" uniqueName="6" name="Column1.volume" queryTableFieldId="6"/>
    <tableColumn id="2" xr3:uid="{B313653F-1CBB-4051-B0AD-37AD7F8A96B5}" uniqueName="2" name="Parse" queryTableFieldId="7" dataDxfId="64"/>
    <tableColumn id="3" xr3:uid="{C5685746-A63C-4CAC-ADBD-71483AF93A9E}" uniqueName="3" name="Column1" queryTableFieldId="8" dataDxfId="63">
      <calculatedColumnFormula>IFERROR(IF((F1579-F1578)&gt;1,(LARGE(F1579:$F1579,1)-LARGE(F$1579:$F1579,2))-1,""),"")</calculatedColumnFormula>
    </tableColumn>
  </tableColumns>
  <tableStyleInfo name="TableStyleMedium7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995258B4-E4DC-4F8D-9548-3F29697A69D2}" name="datasource_tranquility_type_id_204810510610710845789101112131415161718192021222324252627282930313233343536373839404142434445464748495051525354555657585960616263646566676869707172737475767778798081828384858687888990919293949596979899100101102103104109110" displayName="datasource_tranquility_type_id_204810510610710845789101112131415161718192021222324252627282930313233343536373839404142434445464748495051525354555657585960616263646566676869707172737475767778798081828384858687888990919293949596979899100101102103104109110" ref="B1593:G1607" tableType="queryTable" totalsRowShown="0">
  <autoFilter ref="B1593:G1607" xr:uid="{995258B4-E4DC-4F8D-9548-3F29697A69D2}"/>
  <tableColumns count="6">
    <tableColumn id="1" xr3:uid="{64764623-EA46-4B29-98DB-4F00D63CCE8B}" uniqueName="1" name="Column1.average" queryTableFieldId="1"/>
    <tableColumn id="4" xr3:uid="{34ECE8F4-36F0-4B26-A70A-9DB8352BB670}" uniqueName="4" name="Column1.lowest" queryTableFieldId="4"/>
    <tableColumn id="5" xr3:uid="{9FC14B4E-A2F2-4764-A06C-90689422810E}" uniqueName="5" name="Column1.order_count" queryTableFieldId="5"/>
    <tableColumn id="6" xr3:uid="{FD7B5305-B62B-459D-B523-1BD26B983C73}" uniqueName="6" name="Column1.volume" queryTableFieldId="6"/>
    <tableColumn id="2" xr3:uid="{AE3F802C-8AB6-4CDD-960E-B651D6BFDC9E}" uniqueName="2" name="Parse" queryTableFieldId="7" dataDxfId="62"/>
    <tableColumn id="3" xr3:uid="{9A67D531-BD0E-4F79-9164-26FAC9F2C7B0}" uniqueName="3" name="Column1" queryTableFieldId="8" dataDxfId="61">
      <calculatedColumnFormula>IFERROR(IF((F1594-F1593)&gt;1,(LARGE(F1594:$F1594,1)-LARGE(F$1594:$F1594,2))-1,""),"")</calculatedColumnFormula>
    </tableColumn>
  </tableColumns>
  <tableStyleInfo name="TableStyleMedium7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FE5FF6E2-B552-499F-BC01-CD1C4AED81C2}" name="datasource_tranquility_type_id_2048105106107108457891011121314151617181920212223242526272829303132333435363738394041424344454647484950515253545556575859606162636465666768697071727374757677787980818283848586878889909192939495969798991001011021031041091111" displayName="datasource_tranquility_type_id_2048105106107108457891011121314151617181920212223242526272829303132333435363738394041424344454647484950515253545556575859606162636465666768697071727374757677787980818283848586878889909192939495969798991001011021031041091111" ref="B1608:G1622" tableType="queryTable" totalsRowShown="0">
  <autoFilter ref="B1608:G1622" xr:uid="{FE5FF6E2-B552-499F-BC01-CD1C4AED81C2}"/>
  <tableColumns count="6">
    <tableColumn id="1" xr3:uid="{14EC8A76-B461-4557-8B68-AEC59FA6718D}" uniqueName="1" name="Column1.average" queryTableFieldId="1"/>
    <tableColumn id="4" xr3:uid="{74A2033B-C1C4-4D3D-863D-BFD9548D33B6}" uniqueName="4" name="Column1.lowest" queryTableFieldId="4"/>
    <tableColumn id="5" xr3:uid="{79D35847-10D5-488A-AD01-1E0B615C9720}" uniqueName="5" name="Column1.order_count" queryTableFieldId="5"/>
    <tableColumn id="6" xr3:uid="{2CF06E3F-25F0-4D02-9AB0-672C2CFFD3D3}" uniqueName="6" name="Column1.volume" queryTableFieldId="6"/>
    <tableColumn id="2" xr3:uid="{40E3F009-B4FA-431E-99E3-5921660A9E37}" uniqueName="2" name="Parse" queryTableFieldId="7" dataDxfId="60"/>
    <tableColumn id="3" xr3:uid="{C6734E3B-0318-483F-8728-E10D4818D45D}" uniqueName="3" name="Column1" queryTableFieldId="8" dataDxfId="59">
      <calculatedColumnFormula>IFERROR(IF((F1609-F1608)&gt;1,(LARGE(F1609:$F1609,1)-LARGE(F$1609:$F1609,2))-1,""),"")</calculatedColumnFormula>
    </tableColumn>
  </tableColumns>
  <tableStyleInfo name="TableStyleMedium7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FE4CFB4-364D-4CD7-8E80-FE558DD06180}" name="datasource_tranquility_type_id_2048105106107108457891011121314151617181920212223242526272829303132333435363738394041424344454647484950515253545556575859606162636465666768697071727374757677787980818283848586878889909192939495969798991001011021031041091112" displayName="datasource_tranquility_type_id_2048105106107108457891011121314151617181920212223242526272829303132333435363738394041424344454647484950515253545556575859606162636465666768697071727374757677787980818283848586878889909192939495969798991001011021031041091112" ref="B1623:G1637" tableType="queryTable" totalsRowShown="0">
  <autoFilter ref="B1623:G1637" xr:uid="{EFE4CFB4-364D-4CD7-8E80-FE558DD06180}"/>
  <tableColumns count="6">
    <tableColumn id="1" xr3:uid="{6F085F04-2283-4961-BFBF-56249AA4B224}" uniqueName="1" name="Column1.average" queryTableFieldId="1"/>
    <tableColumn id="4" xr3:uid="{C5F6E42D-0BE6-44BB-985D-69C98F345887}" uniqueName="4" name="Column1.lowest" queryTableFieldId="4"/>
    <tableColumn id="5" xr3:uid="{3464F817-04E5-468C-BCC3-5E0A415723E3}" uniqueName="5" name="Column1.order_count" queryTableFieldId="5"/>
    <tableColumn id="6" xr3:uid="{176C7904-2608-4DC1-9EB1-21D79B84106F}" uniqueName="6" name="Column1.volume" queryTableFieldId="6"/>
    <tableColumn id="2" xr3:uid="{11D6AB7D-07A8-403B-9744-C04600B89D6A}" uniqueName="2" name="Parse" queryTableFieldId="7" dataDxfId="58"/>
    <tableColumn id="3" xr3:uid="{F9675895-ACAA-4FFD-ABCD-78398CF60DAB}" uniqueName="3" name="Column1" queryTableFieldId="8" dataDxfId="57">
      <calculatedColumnFormula>IFERROR(IF((F1624-F1623)&gt;1,(LARGE(F1624:$F1624,1)-LARGE(F$1624:$F1624,2))-1,""),"")</calculatedColumnFormula>
    </tableColumn>
  </tableColumns>
  <tableStyleInfo name="TableStyleMedium7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E9DB5982-AE95-4A66-A2C9-D5C3D1778794}" name="datasource_tranquility_type_id_2048105106107108457891011121314151617181920212223242526272829303132333435363738394041424344454647484950515253545556575859606162636465666768697071727374757677787980818283848586878889909192939495969798991001011021031041091113" displayName="datasource_tranquility_type_id_2048105106107108457891011121314151617181920212223242526272829303132333435363738394041424344454647484950515253545556575859606162636465666768697071727374757677787980818283848586878889909192939495969798991001011021031041091113" ref="B1638:G1652" tableType="queryTable" totalsRowShown="0">
  <autoFilter ref="B1638:G1652" xr:uid="{E9DB5982-AE95-4A66-A2C9-D5C3D1778794}"/>
  <tableColumns count="6">
    <tableColumn id="1" xr3:uid="{275DB152-3397-42CD-A115-42A8967BDFB8}" uniqueName="1" name="Column1.average" queryTableFieldId="1"/>
    <tableColumn id="4" xr3:uid="{1616C2FB-3550-4ABF-B3DB-80A178744556}" uniqueName="4" name="Column1.lowest" queryTableFieldId="4"/>
    <tableColumn id="5" xr3:uid="{45454F53-8FD6-4FD8-83E2-9D8F59327AA0}" uniqueName="5" name="Column1.order_count" queryTableFieldId="5"/>
    <tableColumn id="6" xr3:uid="{3B89B186-C5E4-4503-A630-B6E312478A58}" uniqueName="6" name="Column1.volume" queryTableFieldId="6"/>
    <tableColumn id="2" xr3:uid="{DBEB1DA9-4467-41A1-9D55-96AE3C11096D}" uniqueName="2" name="Parse" queryTableFieldId="7" dataDxfId="56"/>
    <tableColumn id="3" xr3:uid="{05DDEFF0-94E0-4EA4-92EC-6B8EB4E7E021}" uniqueName="3" name="Column1" queryTableFieldId="8" dataDxfId="55">
      <calculatedColumnFormula>IFERROR(IF((F1639-F1638)&gt;1,(LARGE(F1639:$F1639,1)-LARGE(F$1639:$F1639,2))-1,""),"")</calculatedColumnFormula>
    </tableColumn>
  </tableColumns>
  <tableStyleInfo name="TableStyleMedium7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257948A-48F0-409D-933F-F41F602C1413}" name="datasource_tranquility_type_id_2048105106107108457891011121314151617181920212223242526272829303132333435363738394041424344454647484950515253545556575859606162636465666768697071727374757677787980818283848586878889909192939495969798991001011021031041091114" displayName="datasource_tranquility_type_id_2048105106107108457891011121314151617181920212223242526272829303132333435363738394041424344454647484950515253545556575859606162636465666768697071727374757677787980818283848586878889909192939495969798991001011021031041091114" ref="B1653:G1667" tableType="queryTable" totalsRowShown="0">
  <autoFilter ref="B1653:G1667" xr:uid="{C257948A-48F0-409D-933F-F41F602C1413}"/>
  <tableColumns count="6">
    <tableColumn id="1" xr3:uid="{48A476AF-0A68-49CC-B497-923CB4E9A3D0}" uniqueName="1" name="Column1.average" queryTableFieldId="1"/>
    <tableColumn id="4" xr3:uid="{9D70CB2C-FA70-4063-B824-55A3FECBDAFD}" uniqueName="4" name="Column1.lowest" queryTableFieldId="4"/>
    <tableColumn id="5" xr3:uid="{43651BA8-A233-415D-86EC-CDFC36529FE0}" uniqueName="5" name="Column1.order_count" queryTableFieldId="5"/>
    <tableColumn id="6" xr3:uid="{182DCD53-2B09-4E87-B269-7415E591ECF9}" uniqueName="6" name="Column1.volume" queryTableFieldId="6"/>
    <tableColumn id="2" xr3:uid="{7677C32C-ADD2-4844-8BDF-178A2469AFD5}" uniqueName="2" name="Parse" queryTableFieldId="7" dataDxfId="54"/>
    <tableColumn id="3" xr3:uid="{6C2F77D5-6410-471E-9463-2B58AF59E451}" uniqueName="3" name="Column1" queryTableFieldId="8" dataDxfId="53">
      <calculatedColumnFormula>IFERROR(IF((F1654-F1653)&gt;1,(LARGE(F1654:$F1654,1)-LARGE(F$1654:$F1654,2))-1,""),"")</calculatedColumnFormula>
    </tableColumn>
  </tableColumns>
  <tableStyleInfo name="TableStyleMedium7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7830DBA-500C-4221-8E6E-5D4F56547D08}" name="datasource_tranquility_type_id_2048105106107108457891011121314151617181920212223242526272829303132333435363738394041424344454647484950515253545556575859606162636465666768697071727374757677787980818283848586878889909192939495969798991001011021031041091115" displayName="datasource_tranquility_type_id_2048105106107108457891011121314151617181920212223242526272829303132333435363738394041424344454647484950515253545556575859606162636465666768697071727374757677787980818283848586878889909192939495969798991001011021031041091115" ref="B1668:G1682" tableType="queryTable" totalsRowShown="0">
  <autoFilter ref="B1668:G1682" xr:uid="{A7830DBA-500C-4221-8E6E-5D4F56547D08}"/>
  <tableColumns count="6">
    <tableColumn id="1" xr3:uid="{03B0E50E-2C06-470F-B1CF-A024E0F35B17}" uniqueName="1" name="Column1.average" queryTableFieldId="1"/>
    <tableColumn id="4" xr3:uid="{3E39E1D5-77E0-4876-B459-B887D92379B1}" uniqueName="4" name="Column1.lowest" queryTableFieldId="4"/>
    <tableColumn id="5" xr3:uid="{763123C4-D7C8-4490-A3AB-D6A52EDA90D4}" uniqueName="5" name="Column1.order_count" queryTableFieldId="5"/>
    <tableColumn id="6" xr3:uid="{A11EDE01-4CC5-48D4-9053-44F47D1A165D}" uniqueName="6" name="Column1.volume" queryTableFieldId="6"/>
    <tableColumn id="2" xr3:uid="{2CCF3086-C3F7-4EC3-9F8A-14192B7D1E5A}" uniqueName="2" name="Parse" queryTableFieldId="7" dataDxfId="52"/>
    <tableColumn id="3" xr3:uid="{4A7FE985-2FBA-4C4E-AF2D-3B8A29B60231}" uniqueName="3" name="Column1" queryTableFieldId="8" dataDxfId="51">
      <calculatedColumnFormula>IFERROR(IF((F1669-F1668)&gt;1,(LARGE(F1669:$F1669,1)-LARGE(F$1669:$F1669,2))-1,""),"")</calculatedColumnFormula>
    </tableColumn>
  </tableColumns>
  <tableStyleInfo name="TableStyleMedium7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DDA2442-2D49-4E9B-BA3D-2808E55D643D}" name="datasource_tranquility_type_id_2048105106107108457891011121314151617181920212223242526272829303132333435363738394041424344454647484950515253545556575859606162636465666768697071727374757677787980818283848586878889909192939495969798991001011021031041091116" displayName="datasource_tranquility_type_id_2048105106107108457891011121314151617181920212223242526272829303132333435363738394041424344454647484950515253545556575859606162636465666768697071727374757677787980818283848586878889909192939495969798991001011021031041091116" ref="B1683:G1697" tableType="queryTable" totalsRowShown="0">
  <autoFilter ref="B1683:G1697" xr:uid="{9DDA2442-2D49-4E9B-BA3D-2808E55D643D}"/>
  <tableColumns count="6">
    <tableColumn id="1" xr3:uid="{057E89CF-64EC-48C0-9F85-12EDA0C84E32}" uniqueName="1" name="Column1.average" queryTableFieldId="1"/>
    <tableColumn id="4" xr3:uid="{6F4A64B9-646C-4BF0-A3B2-1956DC508244}" uniqueName="4" name="Column1.lowest" queryTableFieldId="4"/>
    <tableColumn id="5" xr3:uid="{951F5D0D-AFE8-4B59-B04E-7A3216D5F396}" uniqueName="5" name="Column1.order_count" queryTableFieldId="5"/>
    <tableColumn id="6" xr3:uid="{0DDFB230-B7D3-4656-8449-E37A0F14EBE2}" uniqueName="6" name="Column1.volume" queryTableFieldId="6"/>
    <tableColumn id="2" xr3:uid="{AB9E4D32-DF3B-433F-B603-5EF4486112CF}" uniqueName="2" name="Parse" queryTableFieldId="7" dataDxfId="50"/>
    <tableColumn id="3" xr3:uid="{FD5C5E25-3B4C-4C21-AED7-4D69B34A2403}" uniqueName="3" name="Column1" queryTableFieldId="8" dataDxfId="49">
      <calculatedColumnFormula>IFERROR(IF((F1684-F1683)&gt;1,(LARGE(F1684:$F1684,1)-LARGE(F$1684:$F1684,2))-1,""),"")</calculatedColumnFormula>
    </tableColumn>
  </tableColumns>
  <tableStyleInfo name="TableStyleMedium7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30C7674-AD4B-4B9D-9161-DEDE4A961C27}" name="datasource_tranquility_type_id_2048105106107108457891011121314151617181920212223242526272829303132333435363738394041424344454647484950515253545556575859606162636465666768697071727374757677787980818283848586878889909192939495969798991001011021031041091118" displayName="datasource_tranquility_type_id_2048105106107108457891011121314151617181920212223242526272829303132333435363738394041424344454647484950515253545556575859606162636465666768697071727374757677787980818283848586878889909192939495969798991001011021031041091118" ref="B1698:G1712" tableType="queryTable" totalsRowShown="0">
  <autoFilter ref="B1698:G1712" xr:uid="{230C7674-AD4B-4B9D-9161-DEDE4A961C27}"/>
  <tableColumns count="6">
    <tableColumn id="1" xr3:uid="{5AC7F842-A548-4848-9ABA-F5C5ABC63A4D}" uniqueName="1" name="Column1.average" queryTableFieldId="1"/>
    <tableColumn id="4" xr3:uid="{81014FB2-A326-4E02-9912-624BC99EFF8E}" uniqueName="4" name="Column1.lowest" queryTableFieldId="4"/>
    <tableColumn id="5" xr3:uid="{A6286342-EE3A-419A-AF97-5EFDD731EE1D}" uniqueName="5" name="Column1.order_count" queryTableFieldId="5"/>
    <tableColumn id="6" xr3:uid="{020254D5-0C31-4F78-A737-6AC0627E1FF8}" uniqueName="6" name="Column1.volume" queryTableFieldId="6"/>
    <tableColumn id="2" xr3:uid="{A9C26D46-18A9-40F4-A7A9-A7D5B113B0E8}" uniqueName="2" name="Parse" queryTableFieldId="7" dataDxfId="48"/>
    <tableColumn id="3" xr3:uid="{2FA26D64-559D-49FB-B4A0-4322658B810F}" uniqueName="3" name="Column1" queryTableFieldId="8" dataDxfId="47">
      <calculatedColumnFormula>IFERROR(IF((F1699-F1698)&gt;1,(LARGE(F1699:$F1699,1)-LARGE(F$1699:$F1699,2))-1,""),"")</calculatedColumnFormula>
    </tableColumn>
  </tableColumns>
  <tableStyleInfo name="TableStyleMedium7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DD2BB4D3-1DE7-4B23-ACA2-814AADE377C9}" name="datasource_tranquility_type_id_2048105106107108457891011121314151617181920212223242526272829303132333435363738394041424344454647484950515253545556575859606162636465666768697071727374757677787980818283848586878889909192939495969798991001011021031041091119" displayName="datasource_tranquility_type_id_2048105106107108457891011121314151617181920212223242526272829303132333435363738394041424344454647484950515253545556575859606162636465666768697071727374757677787980818283848586878889909192939495969798991001011021031041091119" ref="B1713:G1727" tableType="queryTable" totalsRowShown="0">
  <autoFilter ref="B1713:G1727" xr:uid="{DD2BB4D3-1DE7-4B23-ACA2-814AADE377C9}"/>
  <tableColumns count="6">
    <tableColumn id="1" xr3:uid="{EAE1CF10-BE14-4C49-A7E7-ACA87C682EE9}" uniqueName="1" name="Column1.average" queryTableFieldId="1"/>
    <tableColumn id="4" xr3:uid="{BC8303AF-1C38-40F1-9C95-94D73117C748}" uniqueName="4" name="Column1.lowest" queryTableFieldId="4"/>
    <tableColumn id="5" xr3:uid="{B960D122-B9F7-495B-9FAA-9BCF4196BAB7}" uniqueName="5" name="Column1.order_count" queryTableFieldId="5"/>
    <tableColumn id="6" xr3:uid="{DE5F2825-6D6F-42B6-9CA5-D73B7CD4E0DA}" uniqueName="6" name="Column1.volume" queryTableFieldId="6"/>
    <tableColumn id="2" xr3:uid="{24D3C7BB-3204-4371-A2DD-EB369AB1AEFC}" uniqueName="2" name="Parse" queryTableFieldId="7" dataDxfId="46"/>
    <tableColumn id="3" xr3:uid="{5F0687B1-EE7C-4311-9A0A-57811C12762F}" uniqueName="3" name="Column1" queryTableFieldId="8" dataDxfId="45">
      <calculatedColumnFormula>IFERROR(IF((F1714-F1713)&gt;1,(LARGE(F1714:$F1714,1)-LARGE(F$1714:$F1714,2))-1,""),"")</calculatedColumnFormula>
    </tableColumn>
  </tableColumns>
  <tableStyleInfo name="TableStyleMedium7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0D3FD10-FFFD-4608-AD2D-2898FE0FA198}" name="datasource_tranquility_type_id_2048105106107108457891011121314151617181920212223242526272829303132333435363738394041424344454647484950515253545556575859606162636465666768697071727374757677787980818283848586878889909192939495969798991001011021031041091120" displayName="datasource_tranquility_type_id_2048105106107108457891011121314151617181920212223242526272829303132333435363738394041424344454647484950515253545556575859606162636465666768697071727374757677787980818283848586878889909192939495969798991001011021031041091120" ref="B1728:G1742" tableType="queryTable" totalsRowShown="0">
  <autoFilter ref="B1728:G1742" xr:uid="{D0D3FD10-FFFD-4608-AD2D-2898FE0FA198}"/>
  <tableColumns count="6">
    <tableColumn id="1" xr3:uid="{DA1C587B-1E35-4419-923A-7134392ADF04}" uniqueName="1" name="Column1.average" queryTableFieldId="1"/>
    <tableColumn id="4" xr3:uid="{1FD3D126-595C-496C-9F53-16380C2B5BFE}" uniqueName="4" name="Column1.lowest" queryTableFieldId="4"/>
    <tableColumn id="5" xr3:uid="{46EF3A1D-83AD-4269-96EF-AF7DFCD40AA2}" uniqueName="5" name="Column1.order_count" queryTableFieldId="5"/>
    <tableColumn id="6" xr3:uid="{4B4DF8EB-CD02-4CCA-B7AD-2A3070D58050}" uniqueName="6" name="Column1.volume" queryTableFieldId="6"/>
    <tableColumn id="2" xr3:uid="{1470AF8C-AF2A-4BF3-A5B5-09DA476E580A}" uniqueName="2" name="Parse" queryTableFieldId="7" dataDxfId="44"/>
    <tableColumn id="3" xr3:uid="{D3E08493-17B9-468B-BB6C-41751D97552C}" uniqueName="3" name="Column1" queryTableFieldId="8" dataDxfId="43">
      <calculatedColumnFormula>IFERROR(IF((F1729-F1728)&gt;1,(LARGE(F1729:$F1729,1)-LARGE(F$1729:$F1729,2))-1,""),"")</calculatedColumnFormula>
    </tableColumn>
  </tableColumns>
  <tableStyleInfo name="TableStyleMedium7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1C40CC40-FE08-453B-8F3A-F1D8AAD316CA}" name="datasource_tranquility_type_id_2048105106107108457891011121314151617181920212223242526272829303132333435363738394041424344454647484950515253545556575859606162636465666768697071727374757677787980818283848586878889909192939495969798991001011021031041091121" displayName="datasource_tranquility_type_id_2048105106107108457891011121314151617181920212223242526272829303132333435363738394041424344454647484950515253545556575859606162636465666768697071727374757677787980818283848586878889909192939495969798991001011021031041091121" ref="B1743:G1757" tableType="queryTable" totalsRowShown="0">
  <autoFilter ref="B1743:G1757" xr:uid="{1C40CC40-FE08-453B-8F3A-F1D8AAD316CA}"/>
  <tableColumns count="6">
    <tableColumn id="1" xr3:uid="{2248E56E-E6C2-47C2-AA42-7AAC40354012}" uniqueName="1" name="Column1.average" queryTableFieldId="1"/>
    <tableColumn id="4" xr3:uid="{9F7876D9-8527-4438-9A49-B81C51424E5D}" uniqueName="4" name="Column1.lowest" queryTableFieldId="4"/>
    <tableColumn id="5" xr3:uid="{D6873450-B99B-4AA3-9389-727C48FDAA17}" uniqueName="5" name="Column1.order_count" queryTableFieldId="5"/>
    <tableColumn id="6" xr3:uid="{A1FDFD88-774B-44C3-9ED7-6A0AA9D30D12}" uniqueName="6" name="Column1.volume" queryTableFieldId="6"/>
    <tableColumn id="2" xr3:uid="{D6A23D60-B080-4356-B224-3A1501A7E5A9}" uniqueName="2" name="Parse" queryTableFieldId="7" dataDxfId="42"/>
    <tableColumn id="3" xr3:uid="{A984A4CB-AEAF-4FB0-8DA1-188C4C76F3C4}" uniqueName="3" name="Column1" queryTableFieldId="8" dataDxfId="41">
      <calculatedColumnFormula>IFERROR(IF((F1744-F1743)&gt;1,(LARGE(F1744:$F1744,1)-LARGE(F$1744:$F1744,2))-1,""),"")</calculatedColumnFormula>
    </tableColumn>
  </tableColumns>
  <tableStyleInfo name="TableStyleMedium7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C06480D0-DF97-4469-9231-FC8A6D5A306F}" name="datasource_tranquility_type_id_2048105106107108457891011121314151617181920212223242526272829303132333435363738394041424344454647484950515253545556575859606162636465666768697071727374757677787980818283848586878889909192939495969798991001011021031041091122" displayName="datasource_tranquility_type_id_2048105106107108457891011121314151617181920212223242526272829303132333435363738394041424344454647484950515253545556575859606162636465666768697071727374757677787980818283848586878889909192939495969798991001011021031041091122" ref="B1758:G1772" tableType="queryTable" totalsRowShown="0">
  <autoFilter ref="B1758:G1772" xr:uid="{C06480D0-DF97-4469-9231-FC8A6D5A306F}"/>
  <tableColumns count="6">
    <tableColumn id="1" xr3:uid="{ED6DFA8A-3953-4552-B25D-EBCEE7DE7052}" uniqueName="1" name="Column1.average" queryTableFieldId="1"/>
    <tableColumn id="4" xr3:uid="{B947D401-7691-47D2-B501-8B99031B5FDE}" uniqueName="4" name="Column1.lowest" queryTableFieldId="4"/>
    <tableColumn id="5" xr3:uid="{53223E5C-E8AD-47E6-AA2F-F005EB12234A}" uniqueName="5" name="Column1.order_count" queryTableFieldId="5"/>
    <tableColumn id="6" xr3:uid="{BD743330-752F-472E-96CA-EAF47EF12B68}" uniqueName="6" name="Column1.volume" queryTableFieldId="6"/>
    <tableColumn id="2" xr3:uid="{1BE124B4-7C6B-4B63-924D-10369A1E5B4E}" uniqueName="2" name="Parse" queryTableFieldId="7" dataDxfId="40"/>
    <tableColumn id="3" xr3:uid="{7489C341-CF2E-4D27-BC1E-632152804541}" uniqueName="3" name="Column1" queryTableFieldId="8" dataDxfId="39">
      <calculatedColumnFormula>IFERROR(IF((F1759-F1758)&gt;1,(LARGE(F1759:$F1759,1)-LARGE(F$1759:$F1759,2))-1,""),"")</calculatedColumnFormula>
    </tableColumn>
  </tableColumns>
  <tableStyleInfo name="TableStyleMedium7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D40742DA-3881-4DDD-9E1C-757032B9BFE2}" name="datasource_tranquility_type_id_2048105106107108457891011121314151617181920212223242526272829303132333435363738394041424344454647484950515253545556575859606162636465666768697071727374757677787980818283848586878889909192939495969798991001011021031041091123" displayName="datasource_tranquility_type_id_2048105106107108457891011121314151617181920212223242526272829303132333435363738394041424344454647484950515253545556575859606162636465666768697071727374757677787980818283848586878889909192939495969798991001011021031041091123" ref="B1773:G1787" tableType="queryTable" totalsRowShown="0">
  <autoFilter ref="B1773:G1787" xr:uid="{D40742DA-3881-4DDD-9E1C-757032B9BFE2}"/>
  <tableColumns count="6">
    <tableColumn id="1" xr3:uid="{25401EF9-75A5-43B1-8886-3A5D5F48412B}" uniqueName="1" name="Column1.average" queryTableFieldId="1"/>
    <tableColumn id="4" xr3:uid="{B6A2C995-C8F7-4A97-8625-475F882EF808}" uniqueName="4" name="Column1.lowest" queryTableFieldId="4"/>
    <tableColumn id="5" xr3:uid="{58DFABAD-F2C9-412F-82C8-7E0AAFFD68D3}" uniqueName="5" name="Column1.order_count" queryTableFieldId="5"/>
    <tableColumn id="6" xr3:uid="{8F3E2B08-D6A0-42D0-8FE5-7ECDB61D72CD}" uniqueName="6" name="Column1.volume" queryTableFieldId="6"/>
    <tableColumn id="2" xr3:uid="{64E2FD7B-83DC-4CCA-A773-CE7EDDCB8495}" uniqueName="2" name="Parse" queryTableFieldId="7" dataDxfId="38"/>
    <tableColumn id="3" xr3:uid="{C5D4F9BC-3379-4AB8-8C92-C645AD21FBBC}" uniqueName="3" name="Column1" queryTableFieldId="8" dataDxfId="37">
      <calculatedColumnFormula>IFERROR(IF((F1774-F1773)&gt;1,(LARGE(F1774:$F1774,1)-LARGE(F$1774:$F1774,2))-1,""),"")</calculatedColumnFormula>
    </tableColumn>
  </tableColumns>
  <tableStyleInfo name="TableStyleMedium7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5B40BF89-D303-43C4-AAC9-A7BDF7BEE1E3}" name="datasource_tranquility_type_id_2048105106107108457891011121314151617181920212223242526272829303132333435363738394041424344454647484950515253545556575859606162636465666768697071727374757677787980818283848586878889909192939495969798991001011021031041091124" displayName="datasource_tranquility_type_id_2048105106107108457891011121314151617181920212223242526272829303132333435363738394041424344454647484950515253545556575859606162636465666768697071727374757677787980818283848586878889909192939495969798991001011021031041091124" ref="B1788:G1802" tableType="queryTable" totalsRowShown="0">
  <autoFilter ref="B1788:G1802" xr:uid="{5B40BF89-D303-43C4-AAC9-A7BDF7BEE1E3}"/>
  <tableColumns count="6">
    <tableColumn id="1" xr3:uid="{ACEFE1FB-9737-48EC-870D-855F9320DAB2}" uniqueName="1" name="Column1.average" queryTableFieldId="1"/>
    <tableColumn id="4" xr3:uid="{647904A3-6586-4D69-AB19-71D1F0FCA568}" uniqueName="4" name="Column1.lowest" queryTableFieldId="4"/>
    <tableColumn id="5" xr3:uid="{581E245E-D690-464A-9B5E-7FE008E2E4A2}" uniqueName="5" name="Column1.order_count" queryTableFieldId="5"/>
    <tableColumn id="6" xr3:uid="{D24651AC-12BB-4463-94BF-DD9CD2DF7F8C}" uniqueName="6" name="Column1.volume" queryTableFieldId="6"/>
    <tableColumn id="2" xr3:uid="{03812F06-74CB-4E72-9B3D-F3BD3298C8A4}" uniqueName="2" name="Parse" queryTableFieldId="7" dataDxfId="36"/>
    <tableColumn id="3" xr3:uid="{DDA82930-1425-4EE0-9DCF-447BAEEB8146}" uniqueName="3" name="Column1" queryTableFieldId="8" dataDxfId="35">
      <calculatedColumnFormula>IFERROR(IF((F1789-F1788)&gt;1,(LARGE(F1789:$F1789,1)-LARGE(F$1789:$F1789,2))-1,""),"")</calculatedColumnFormula>
    </tableColumn>
  </tableColumns>
  <tableStyleInfo name="TableStyleMedium7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A4254A20-DCD2-4016-8D81-AD985897F737}" name="datasource_tranquility_type_id_2048105106107108457891011121314151617181920212223242526272829303132333435363738394041424344454647484950515253545556575859606162636465666768697071727374757677787980818283848586878889909192939495969798991001011021031041091125" displayName="datasource_tranquility_type_id_2048105106107108457891011121314151617181920212223242526272829303132333435363738394041424344454647484950515253545556575859606162636465666768697071727374757677787980818283848586878889909192939495969798991001011021031041091125" ref="B1803:G1817" tableType="queryTable" totalsRowShown="0">
  <autoFilter ref="B1803:G1817" xr:uid="{A4254A20-DCD2-4016-8D81-AD985897F737}"/>
  <tableColumns count="6">
    <tableColumn id="1" xr3:uid="{B0E6856A-671E-47F9-A194-A81B976F4042}" uniqueName="1" name="Column1.average" queryTableFieldId="1"/>
    <tableColumn id="4" xr3:uid="{97C69278-F62A-4928-8CA1-D8A118384B53}" uniqueName="4" name="Column1.lowest" queryTableFieldId="4"/>
    <tableColumn id="5" xr3:uid="{2004AD98-6309-44D3-8F77-1F727BA32042}" uniqueName="5" name="Column1.order_count" queryTableFieldId="5"/>
    <tableColumn id="6" xr3:uid="{092EA3EB-23E3-40DF-ACD2-110E71246BF7}" uniqueName="6" name="Column1.volume" queryTableFieldId="6"/>
    <tableColumn id="2" xr3:uid="{C399DC09-EF86-4578-AC22-5468DDE070D5}" uniqueName="2" name="Parse" queryTableFieldId="7" dataDxfId="34"/>
    <tableColumn id="3" xr3:uid="{78828D97-2309-44C0-ABE9-4FDB57C60235}" uniqueName="3" name="Column1" queryTableFieldId="8" dataDxfId="33">
      <calculatedColumnFormula>IFERROR(IF((F1804-F1803)&gt;1,(LARGE(F1804:$F1804,1)-LARGE(F$1804:$F1804,2))-1,""),"")</calculatedColumnFormula>
    </tableColumn>
  </tableColumns>
  <tableStyleInfo name="TableStyleMedium7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ACA83AA2-1B1F-407B-A633-0C6A071464BE}" name="datasource_tranquility_type_id_2048105106107108457891011121314151617181920212223242526272829303132333435363738394041424344454647484950515253545556575859606162636465666768697071727374757677787980818283848586878889909192939495969798991001011021031041091126" displayName="datasource_tranquility_type_id_2048105106107108457891011121314151617181920212223242526272829303132333435363738394041424344454647484950515253545556575859606162636465666768697071727374757677787980818283848586878889909192939495969798991001011021031041091126" ref="B1818:G1832" tableType="queryTable" totalsRowShown="0">
  <autoFilter ref="B1818:G1832" xr:uid="{ACA83AA2-1B1F-407B-A633-0C6A071464BE}"/>
  <tableColumns count="6">
    <tableColumn id="1" xr3:uid="{34AED4E0-4CB7-4E29-B2AA-71CC71FB39FA}" uniqueName="1" name="Column1.average" queryTableFieldId="1"/>
    <tableColumn id="4" xr3:uid="{842C205A-C26B-4B06-AA6E-90C5352B1931}" uniqueName="4" name="Column1.lowest" queryTableFieldId="4"/>
    <tableColumn id="5" xr3:uid="{C44BD321-02C0-4D51-9807-DC37B0A1FC36}" uniqueName="5" name="Column1.order_count" queryTableFieldId="5"/>
    <tableColumn id="6" xr3:uid="{48CE9F55-8C11-40D8-A525-757DD435C9B6}" uniqueName="6" name="Column1.volume" queryTableFieldId="6"/>
    <tableColumn id="2" xr3:uid="{FCB5DBA3-79B3-43D2-B9FA-22A11FC8B285}" uniqueName="2" name="Parse" queryTableFieldId="7" dataDxfId="32"/>
    <tableColumn id="3" xr3:uid="{8F02D4B0-9CFD-4C3E-B14D-EE863107DD94}" uniqueName="3" name="Column1" queryTableFieldId="8" dataDxfId="31">
      <calculatedColumnFormula>IFERROR(IF((F1819-F1818)&gt;1,(LARGE(F1819:$F1819,1)-LARGE(F$1819:$F1819,2))-1,""),"")</calculatedColumnFormula>
    </tableColumn>
  </tableColumns>
  <tableStyleInfo name="TableStyleMedium7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1626D374-6A14-460D-9CB2-B17239B9DBBB}" name="datasource_tranquility_type_id_2048105106107108457891011121314151617181920212223242526272829303132333435363738394041424344454647484950515253545556575859606162636465666768697071727374757677787980818283848586878889909192939495969798991001011021031041091127" displayName="datasource_tranquility_type_id_2048105106107108457891011121314151617181920212223242526272829303132333435363738394041424344454647484950515253545556575859606162636465666768697071727374757677787980818283848586878889909192939495969798991001011021031041091127" ref="B1833:G1847" tableType="queryTable" totalsRowShown="0">
  <autoFilter ref="B1833:G1847" xr:uid="{1626D374-6A14-460D-9CB2-B17239B9DBBB}"/>
  <tableColumns count="6">
    <tableColumn id="1" xr3:uid="{D3D39E90-6A33-4298-A2C4-C8A0B03612B6}" uniqueName="1" name="Column1.average" queryTableFieldId="1"/>
    <tableColumn id="4" xr3:uid="{D5B0444F-F681-4880-BD0E-7BF34544D5C4}" uniqueName="4" name="Column1.lowest" queryTableFieldId="4"/>
    <tableColumn id="5" xr3:uid="{942B9781-49DA-48F3-8941-8E1D77ADAF69}" uniqueName="5" name="Column1.order_count" queryTableFieldId="5"/>
    <tableColumn id="6" xr3:uid="{C8EC03A6-D5D1-4D1A-B228-828890F7D00A}" uniqueName="6" name="Column1.volume" queryTableFieldId="6"/>
    <tableColumn id="2" xr3:uid="{8BDF68B6-D4C8-4166-B41B-0A08A4D577D0}" uniqueName="2" name="Parse" queryTableFieldId="7" dataDxfId="30"/>
    <tableColumn id="3" xr3:uid="{9EF0DDC3-C895-476B-AA99-72AC356159C2}" uniqueName="3" name="Column1" queryTableFieldId="8" dataDxfId="29">
      <calculatedColumnFormula>IFERROR(IF((F1834-F1833)&gt;1,(LARGE(F1834:$F1834,1)-LARGE(F$1834:$F1834,2))-1,""),"")</calculatedColumnFormula>
    </tableColumn>
  </tableColumns>
  <tableStyleInfo name="TableStyleMedium7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D26A07C-CF1C-45F3-8A4A-8FE202F6C53C}" name="datasource_tranquility_type_id_2048105106107108457891011121314151617181920212223242526272829303132333435363738394041424344454647484950515253545556575859606162636465666768697071727374757677787980818283848586878889909192939495969798991001011021031041091128" displayName="datasource_tranquility_type_id_2048105106107108457891011121314151617181920212223242526272829303132333435363738394041424344454647484950515253545556575859606162636465666768697071727374757677787980818283848586878889909192939495969798991001011021031041091128" ref="B1848:G1862" tableType="queryTable" totalsRowShown="0">
  <autoFilter ref="B1848:G1862" xr:uid="{BD26A07C-CF1C-45F3-8A4A-8FE202F6C53C}"/>
  <tableColumns count="6">
    <tableColumn id="1" xr3:uid="{03089195-6915-4C81-9563-BE5D33A1C16F}" uniqueName="1" name="Column1.average" queryTableFieldId="1"/>
    <tableColumn id="4" xr3:uid="{7AB64F02-4D3D-4884-98A9-B17937814869}" uniqueName="4" name="Column1.lowest" queryTableFieldId="4"/>
    <tableColumn id="5" xr3:uid="{7A072C2E-D25A-49D3-8C7F-CBF29576520D}" uniqueName="5" name="Column1.order_count" queryTableFieldId="5"/>
    <tableColumn id="6" xr3:uid="{076F3D8C-78E9-4543-BD36-942EF5A476EF}" uniqueName="6" name="Column1.volume" queryTableFieldId="6"/>
    <tableColumn id="2" xr3:uid="{DD3501FD-BCB7-4208-829C-3B93AD118C8B}" uniqueName="2" name="Parse" queryTableFieldId="7" dataDxfId="28"/>
    <tableColumn id="3" xr3:uid="{428E6551-359D-4F0E-B9BB-A06093AFEF43}" uniqueName="3" name="Column1" queryTableFieldId="8" dataDxfId="27">
      <calculatedColumnFormula>IFERROR(IF((F1849-F1848)&gt;1,(LARGE(F1849:$F1849,1)-LARGE(F$1849:$F1849,2))-1,""),"")</calculatedColumnFormula>
    </tableColumn>
  </tableColumns>
  <tableStyleInfo name="TableStyleMedium7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274AFF42-8A98-466C-936B-0B8C79B40D29}" name="datasource_tranquility_type_id_2048105106107108457891011121314151617181920212223242526272829303132333435363738394041424344454647484950515253545556575859606162636465666768697071727374757677787980818283848586878889909192939495969798991001011021031041091129" displayName="datasource_tranquility_type_id_2048105106107108457891011121314151617181920212223242526272829303132333435363738394041424344454647484950515253545556575859606162636465666768697071727374757677787980818283848586878889909192939495969798991001011021031041091129" ref="B1863:G1877" tableType="queryTable" totalsRowShown="0">
  <autoFilter ref="B1863:G1877" xr:uid="{274AFF42-8A98-466C-936B-0B8C79B40D29}"/>
  <tableColumns count="6">
    <tableColumn id="1" xr3:uid="{73183D9C-2B1C-4FAA-8346-BCEB98458D69}" uniqueName="1" name="Column1.average" queryTableFieldId="1"/>
    <tableColumn id="4" xr3:uid="{70E1627A-B183-4DC6-BC8E-3E38F3AA5627}" uniqueName="4" name="Column1.lowest" queryTableFieldId="4"/>
    <tableColumn id="5" xr3:uid="{64828BCA-B80D-4F73-9875-97F6611BD916}" uniqueName="5" name="Column1.order_count" queryTableFieldId="5"/>
    <tableColumn id="6" xr3:uid="{BB458AD0-67A7-4072-B585-1137C7DD50B3}" uniqueName="6" name="Column1.volume" queryTableFieldId="6"/>
    <tableColumn id="2" xr3:uid="{D9D699A3-5764-4139-B8F3-5CC541DE5FDB}" uniqueName="2" name="Parse" queryTableFieldId="7" dataDxfId="26"/>
    <tableColumn id="3" xr3:uid="{908A1310-0F7F-40C4-B168-4647B30DF438}" uniqueName="3" name="Column1" queryTableFieldId="8" dataDxfId="25">
      <calculatedColumnFormula>IFERROR(IF((F1864-F1863)&gt;1,(LARGE(F1864:$F1864,1)-LARGE(F$1864:$F1864,2))-1,""),"")</calculatedColumnFormula>
    </tableColumn>
  </tableColumns>
  <tableStyleInfo name="TableStyleMedium7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43DB952A-CF05-4434-A9E5-96277522E481}" name="datasource_tranquility_type_id_2048105106107108457891011121314151617181920212223242526272829303132333435363738394041424344454647484950515253545556575859606162636465666768697071727374757677787980818283848586878889909192939495969798991001011021031041091117" displayName="datasource_tranquility_type_id_2048105106107108457891011121314151617181920212223242526272829303132333435363738394041424344454647484950515253545556575859606162636465666768697071727374757677787980818283848586878889909192939495969798991001011021031041091117" ref="B1878:G1892" tableType="queryTable" totalsRowShown="0">
  <autoFilter ref="B1878:G1892" xr:uid="{43DB952A-CF05-4434-A9E5-96277522E481}"/>
  <tableColumns count="6">
    <tableColumn id="1" xr3:uid="{8F5AD5F3-E12B-4EB1-80A8-FD765FAF6696}" uniqueName="1" name="Column1.average" queryTableFieldId="1"/>
    <tableColumn id="4" xr3:uid="{F65C424C-905A-4B78-83B6-0471A2F5187A}" uniqueName="4" name="Column1.lowest" queryTableFieldId="4"/>
    <tableColumn id="5" xr3:uid="{59C53B0E-9189-424F-B754-B2C108464825}" uniqueName="5" name="Column1.order_count" queryTableFieldId="5"/>
    <tableColumn id="6" xr3:uid="{065B13BF-88E9-4B04-8661-F290719C901E}" uniqueName="6" name="Column1.volume" queryTableFieldId="6"/>
    <tableColumn id="2" xr3:uid="{F9E1CA71-E351-4C8B-B2AB-4298DBD30535}" uniqueName="2" name="Parse" queryTableFieldId="7" dataDxfId="24"/>
    <tableColumn id="3" xr3:uid="{BBF985DB-E345-4BB1-A72D-BDDDE7EB278B}" uniqueName="3" name="Column1" queryTableFieldId="8" dataDxfId="23">
      <calculatedColumnFormula>IFERROR(IF((F1879-F1878)&gt;1,(LARGE(F1879:$F1879,1)-LARGE(F$1879:$F1879,2))-1,""),"")</calculatedColumnFormula>
    </tableColumn>
  </tableColumns>
  <tableStyleInfo name="TableStyleMedium7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677B5157-39CB-4466-A7B2-C192C5ACF66F}" name="datasource_tranquility_type_id_2048105106107108457891011121314151617181920212223242526272829303132333435363738394041424344454647484950515253545556575859606162636465666768697071727374757677787980818283848586878889909192939495969798991001011021031041091130" displayName="datasource_tranquility_type_id_2048105106107108457891011121314151617181920212223242526272829303132333435363738394041424344454647484950515253545556575859606162636465666768697071727374757677787980818283848586878889909192939495969798991001011021031041091130" ref="B1893:G1907" tableType="queryTable" totalsRowShown="0">
  <autoFilter ref="B1893:G1907" xr:uid="{677B5157-39CB-4466-A7B2-C192C5ACF66F}"/>
  <tableColumns count="6">
    <tableColumn id="1" xr3:uid="{0AF4D3F0-227F-4D7A-9407-206FA9DE0499}" uniqueName="1" name="Column1.average" queryTableFieldId="1"/>
    <tableColumn id="4" xr3:uid="{00F0C0B7-D266-44C6-AE8B-AC62C5BE24F0}" uniqueName="4" name="Column1.lowest" queryTableFieldId="4"/>
    <tableColumn id="5" xr3:uid="{7DB2C2A0-E76A-4067-A74F-312CAAF1F6E1}" uniqueName="5" name="Column1.order_count" queryTableFieldId="5"/>
    <tableColumn id="6" xr3:uid="{7A8A7CFF-BA1F-48FE-AA20-77E41DED7507}" uniqueName="6" name="Column1.volume" queryTableFieldId="6"/>
    <tableColumn id="2" xr3:uid="{7AF02C08-C9E4-426C-9F20-2A88C846C9E2}" uniqueName="2" name="Parse" queryTableFieldId="7" dataDxfId="22"/>
    <tableColumn id="3" xr3:uid="{0D2B14B6-A687-44E5-B6D9-5F589BBD6D16}" uniqueName="3" name="Column1" queryTableFieldId="8" dataDxfId="21">
      <calculatedColumnFormula>IFERROR(IF((F1894-F1893)&gt;1,(LARGE(F1894:$F1894,1)-LARGE(F$1894:$F1894,2))-1,""),"")</calculatedColumnFormula>
    </tableColumn>
  </tableColumns>
  <tableStyleInfo name="TableStyleMedium7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294F379B-B75C-4D74-978F-2C2166F0289A}" name="datasource_tranquility_type_id_2048105106107108457891011121314151617181920212223242526272829303132333435363738394041424344454647484950515253545556575859606162636465666768697071727374757677787980818283848586878889909192939495969798991001011021031041091131" displayName="datasource_tranquility_type_id_2048105106107108457891011121314151617181920212223242526272829303132333435363738394041424344454647484950515253545556575859606162636465666768697071727374757677787980818283848586878889909192939495969798991001011021031041091131" ref="B1908:G1922" tableType="queryTable" totalsRowShown="0">
  <autoFilter ref="B1908:G1922" xr:uid="{294F379B-B75C-4D74-978F-2C2166F0289A}"/>
  <tableColumns count="6">
    <tableColumn id="1" xr3:uid="{8E4A4C08-D091-4939-9BCA-9CB674328D63}" uniqueName="1" name="Column1.average" queryTableFieldId="1"/>
    <tableColumn id="4" xr3:uid="{576AFCB0-453D-4A70-955B-B10502A92D5C}" uniqueName="4" name="Column1.lowest" queryTableFieldId="4"/>
    <tableColumn id="5" xr3:uid="{51C9E7D9-4CBB-4633-AE44-951B6604A14C}" uniqueName="5" name="Column1.order_count" queryTableFieldId="5"/>
    <tableColumn id="6" xr3:uid="{B25384C9-2361-4649-883B-5282511F8601}" uniqueName="6" name="Column1.volume" queryTableFieldId="6"/>
    <tableColumn id="2" xr3:uid="{F59BC108-4E7D-465D-B019-D4FCAF2C48AC}" uniqueName="2" name="Parse" queryTableFieldId="7" dataDxfId="20"/>
    <tableColumn id="3" xr3:uid="{5D5FDF3A-4F62-4619-957E-AC4722D31DFE}" uniqueName="3" name="Column1" queryTableFieldId="8" dataDxfId="19">
      <calculatedColumnFormula>IFERROR(IF((F1909-F1908)&gt;1,(LARGE(F1909:$F1909,1)-LARGE(F$1909:$F1909,2))-1,""),"")</calculatedColumnFormula>
    </tableColumn>
  </tableColumns>
  <tableStyleInfo name="TableStyleMedium7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B4B63BA3-7EEA-4B24-84E9-4BEC3FE6493C}" name="datasource_tranquility_type_id_2048105106107108457891011121314151617181920212223242526272829303132333435363738394041424344454647484950515253545556575859606162636465666768697071727374757677787980818283848586878889909192939495969798991001011021031041091132" displayName="datasource_tranquility_type_id_2048105106107108457891011121314151617181920212223242526272829303132333435363738394041424344454647484950515253545556575859606162636465666768697071727374757677787980818283848586878889909192939495969798991001011021031041091132" ref="B1923:G1937" tableType="queryTable" totalsRowShown="0">
  <autoFilter ref="B1923:G1937" xr:uid="{B4B63BA3-7EEA-4B24-84E9-4BEC3FE6493C}"/>
  <tableColumns count="6">
    <tableColumn id="1" xr3:uid="{BF02BD84-7CFF-4917-B44E-EAC9E415C69E}" uniqueName="1" name="Column1.average" queryTableFieldId="1"/>
    <tableColumn id="4" xr3:uid="{2BE791B8-48A5-4114-B4B2-161CBB017EDE}" uniqueName="4" name="Column1.lowest" queryTableFieldId="4"/>
    <tableColumn id="5" xr3:uid="{94B7E030-656A-4B95-889D-174CD69130E5}" uniqueName="5" name="Column1.order_count" queryTableFieldId="5"/>
    <tableColumn id="6" xr3:uid="{D75F7E95-F810-44E6-82FB-ACD2CA05868B}" uniqueName="6" name="Column1.volume" queryTableFieldId="6"/>
    <tableColumn id="2" xr3:uid="{C9C8E209-C7AE-485C-91CC-1EDC8E46218E}" uniqueName="2" name="Parse" queryTableFieldId="7" dataDxfId="18"/>
    <tableColumn id="3" xr3:uid="{1A36BC8B-F219-44E6-B914-F7DF2E3278B3}" uniqueName="3" name="Column1" queryTableFieldId="8" dataDxfId="17">
      <calculatedColumnFormula>IFERROR(IF((F1924-F1923)&gt;1,(LARGE(F1924:$F1924,1)-LARGE(F$1924:$F1924,2))-1,""),"")</calculatedColumnFormula>
    </tableColumn>
  </tableColumns>
  <tableStyleInfo name="TableStyleMedium7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53D24CB1-7780-40ED-A31C-BF165500EAEF}" name="datasource_tranquility_type_id_2048105106107108457891011121314151617181920212223242526272829303132333435363738394041424344454647484950515253545556575859606162636465666768697071727374757677787980818283848586878889909192939495969798991001011021031041091133" displayName="datasource_tranquility_type_id_2048105106107108457891011121314151617181920212223242526272829303132333435363738394041424344454647484950515253545556575859606162636465666768697071727374757677787980818283848586878889909192939495969798991001011021031041091133" ref="B1938:G1952" tableType="queryTable" totalsRowShown="0">
  <autoFilter ref="B1938:G1952" xr:uid="{53D24CB1-7780-40ED-A31C-BF165500EAEF}"/>
  <tableColumns count="6">
    <tableColumn id="1" xr3:uid="{8CF0EA66-1D9E-4653-968C-AE0276C73DE2}" uniqueName="1" name="Column1.average" queryTableFieldId="1"/>
    <tableColumn id="4" xr3:uid="{87915089-28E0-4B32-88EB-D8D1771F1835}" uniqueName="4" name="Column1.lowest" queryTableFieldId="4"/>
    <tableColumn id="5" xr3:uid="{32845FF5-AADD-4A9D-A74E-D35D417B08D3}" uniqueName="5" name="Column1.order_count" queryTableFieldId="5"/>
    <tableColumn id="6" xr3:uid="{0E5C5D9F-2A08-4D41-B269-C5F5C40DBFCB}" uniqueName="6" name="Column1.volume" queryTableFieldId="6"/>
    <tableColumn id="2" xr3:uid="{D970659E-8DD4-45D8-99B7-E743FF9D1FFC}" uniqueName="2" name="Parse" queryTableFieldId="7" dataDxfId="16"/>
    <tableColumn id="3" xr3:uid="{5438EEE5-94FD-4D41-A096-2CED244647C6}" uniqueName="3" name="Column1" queryTableFieldId="8" dataDxfId="15">
      <calculatedColumnFormula>IFERROR(IF((F1939-F1938)&gt;1,(LARGE(F1939:$F1939,1)-LARGE(F$1939:$F1939,2))-1,""),"")</calculatedColumnFormula>
    </tableColumn>
  </tableColumns>
  <tableStyleInfo name="TableStyleMedium7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6D9367C-86F3-4FC0-97C3-D396AC2E68AB}" name="datasource_tranquility_type_id_2048105106107108457891011121314151617181920212223242526272829303132333435363738394041424344454647484950515253545556575859606162636465666768697071727374757677787980818283848586878889909192939495969798991001011021031041091134" displayName="datasource_tranquility_type_id_2048105106107108457891011121314151617181920212223242526272829303132333435363738394041424344454647484950515253545556575859606162636465666768697071727374757677787980818283848586878889909192939495969798991001011021031041091134" ref="B1953:G1967" tableType="queryTable" totalsRowShown="0">
  <autoFilter ref="B1953:G1967" xr:uid="{76D9367C-86F3-4FC0-97C3-D396AC2E68AB}"/>
  <tableColumns count="6">
    <tableColumn id="1" xr3:uid="{44992797-502A-4F4E-B326-1DDC74B9F9D7}" uniqueName="1" name="Column1.average" queryTableFieldId="1"/>
    <tableColumn id="4" xr3:uid="{44A1985D-5B12-44AB-9195-791DBC965E79}" uniqueName="4" name="Column1.lowest" queryTableFieldId="4"/>
    <tableColumn id="5" xr3:uid="{8AE77FE4-407D-4D03-9541-BBCD7FB376CF}" uniqueName="5" name="Column1.order_count" queryTableFieldId="5"/>
    <tableColumn id="6" xr3:uid="{8FFB3FBD-303D-4476-8362-69C253059E5E}" uniqueName="6" name="Column1.volume" queryTableFieldId="6"/>
    <tableColumn id="2" xr3:uid="{5ADF5DE5-8419-4903-9449-CDEEB60D5433}" uniqueName="2" name="Parse" queryTableFieldId="7" dataDxfId="14"/>
    <tableColumn id="3" xr3:uid="{A472797B-80D7-46C7-A49B-FE5B4F4FE619}" uniqueName="3" name="Column1" queryTableFieldId="8" dataDxfId="13">
      <calculatedColumnFormula>IFERROR(IF((F1954-F1953)&gt;1,(LARGE(F1954:$F1954,1)-LARGE(F$1954:$F1954,2))-1,""),"")</calculatedColumnFormula>
    </tableColumn>
  </tableColumns>
  <tableStyleInfo name="TableStyleMedium7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A5BC1F9C-6C63-4857-B176-D32334531363}" name="datasource_tranquility_type_id_2048105106107108457891011121314151617181920212223242526272829303132333435363738394041424344454647484950515253545556575859606162636465666768697071727374757677787980818283848586878889909192939495969798991001011021031041091135" displayName="datasource_tranquility_type_id_2048105106107108457891011121314151617181920212223242526272829303132333435363738394041424344454647484950515253545556575859606162636465666768697071727374757677787980818283848586878889909192939495969798991001011021031041091135" ref="B1968:G1982" tableType="queryTable" totalsRowShown="0">
  <autoFilter ref="B1968:G1982" xr:uid="{A5BC1F9C-6C63-4857-B176-D32334531363}"/>
  <tableColumns count="6">
    <tableColumn id="1" xr3:uid="{9BFA773F-277D-465C-BE46-D6BECC4FB5CD}" uniqueName="1" name="Column1.average" queryTableFieldId="1"/>
    <tableColumn id="4" xr3:uid="{25A771F8-7811-49FD-934E-30E8A80D8FBA}" uniqueName="4" name="Column1.lowest" queryTableFieldId="4"/>
    <tableColumn id="5" xr3:uid="{03362001-0671-4D54-AA75-C737A3546263}" uniqueName="5" name="Column1.order_count" queryTableFieldId="5"/>
    <tableColumn id="6" xr3:uid="{641471B5-BDB5-465A-AEFC-97C95F07D936}" uniqueName="6" name="Column1.volume" queryTableFieldId="6"/>
    <tableColumn id="2" xr3:uid="{7D50F3E0-9AB8-48E2-95C0-3DCB08157DB3}" uniqueName="2" name="Parse" queryTableFieldId="7" dataDxfId="12"/>
    <tableColumn id="3" xr3:uid="{60DA9BE5-E4E3-4924-9253-3F55DB0C501B}" uniqueName="3" name="Column1" queryTableFieldId="8" dataDxfId="11">
      <calculatedColumnFormula>IFERROR(IF((F1969-F1968)&gt;1,(LARGE(F1969:$F1969,1)-LARGE(F$1969:$F1969,2))-1,""),"")</calculatedColumnFormula>
    </tableColumn>
  </tableColumns>
  <tableStyleInfo name="TableStyleMedium7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7EFEE2C3-DCDB-48C1-A67E-64BA5FEAC446}" name="datasource_tranquility_type_id_2048105106107108457891011121314151617181920212223242526272829303132333435363738394041424344454647484950515253545556575859606162636465666768697071727374757677787980818283848586878889909192939495969798991001011021031041091136" displayName="datasource_tranquility_type_id_2048105106107108457891011121314151617181920212223242526272829303132333435363738394041424344454647484950515253545556575859606162636465666768697071727374757677787980818283848586878889909192939495969798991001011021031041091136" ref="B1983:G1997" tableType="queryTable" totalsRowShown="0">
  <autoFilter ref="B1983:G1997" xr:uid="{7EFEE2C3-DCDB-48C1-A67E-64BA5FEAC446}"/>
  <tableColumns count="6">
    <tableColumn id="1" xr3:uid="{236B5F71-4DFC-45A2-A37D-A0E5EA201AD5}" uniqueName="1" name="Column1.average" queryTableFieldId="1"/>
    <tableColumn id="4" xr3:uid="{42F065F0-392D-4D2E-B5E0-3C373E51558C}" uniqueName="4" name="Column1.lowest" queryTableFieldId="4"/>
    <tableColumn id="5" xr3:uid="{1DD4C58C-FA3C-4855-9F26-F5570942FB62}" uniqueName="5" name="Column1.order_count" queryTableFieldId="5"/>
    <tableColumn id="6" xr3:uid="{830A51DB-00AD-4BEE-8063-4DA771FAA23C}" uniqueName="6" name="Column1.volume" queryTableFieldId="6"/>
    <tableColumn id="2" xr3:uid="{460CC3BC-3C52-47A7-9EB0-B0FC9568360C}" uniqueName="2" name="Parse" queryTableFieldId="7" dataDxfId="10"/>
    <tableColumn id="3" xr3:uid="{A6EC1DBA-BC30-4CDF-BC96-7A79F1173EF4}" uniqueName="3" name="Column1" queryTableFieldId="8" dataDxfId="9">
      <calculatedColumnFormula>IFERROR(IF((F1984-F1983)&gt;1,(LARGE(F1984:$F1984,1)-LARGE(F$1984:$F1984,2))-1,""),"")</calculatedColumnFormula>
    </tableColumn>
  </tableColumns>
  <tableStyleInfo name="TableStyleMedium7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778C3215-7489-48F4-8EE9-160770DADC8E}" name="datasource_tranquility_type_id_2048105106107108457891011121314151617181920212223242526272829303132333435363738394041424344454647484950515253545556575859606162636465666768697071727374757677787980818283848586878889909192939495969798991001011021031041091137" displayName="datasource_tranquility_type_id_2048105106107108457891011121314151617181920212223242526272829303132333435363738394041424344454647484950515253545556575859606162636465666768697071727374757677787980818283848586878889909192939495969798991001011021031041091137" ref="B1998:G2012" tableType="queryTable" totalsRowShown="0">
  <autoFilter ref="B1998:G2012" xr:uid="{778C3215-7489-48F4-8EE9-160770DADC8E}"/>
  <tableColumns count="6">
    <tableColumn id="1" xr3:uid="{A906FC66-3F32-47B9-89A1-B46336C28DC0}" uniqueName="1" name="Column1.average" queryTableFieldId="1"/>
    <tableColumn id="4" xr3:uid="{EB8DF6DE-C966-4D52-9E09-E874DBD60795}" uniqueName="4" name="Column1.lowest" queryTableFieldId="4"/>
    <tableColumn id="5" xr3:uid="{B7196BF0-FC0C-463F-98EF-78DCB7209F76}" uniqueName="5" name="Column1.order_count" queryTableFieldId="5"/>
    <tableColumn id="6" xr3:uid="{8842F9DD-89F0-40B0-8A58-889CF367C27A}" uniqueName="6" name="Column1.volume" queryTableFieldId="6"/>
    <tableColumn id="2" xr3:uid="{38D6F110-2ADA-4E0B-9E22-9370DDE91C56}" uniqueName="2" name="Parse" queryTableFieldId="7" dataDxfId="8"/>
    <tableColumn id="3" xr3:uid="{EEB1B716-FF1F-4300-B132-81D8D7371058}" uniqueName="3" name="Column1" queryTableFieldId="8" dataDxfId="7">
      <calculatedColumnFormula>IFERROR(IF((F1999-F1998)&gt;1,(LARGE(F1999:$F1999,1)-LARGE(F$1999:$F1999,2))-1,""),"")</calculatedColumnFormula>
    </tableColumn>
  </tableColumns>
  <tableStyleInfo name="TableStyleMedium7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4F9E9FBB-E964-42CA-AEEA-12CB406367B0}" name="datasource_tranquility_type_id_2048105106107108457891011121314151617181920212223242526272829303132333435363738394041424344454647484950515253545556575859606162636465666768697071727374757677787980818283848586878889909192939495969798991001011021031041091138" displayName="datasource_tranquility_type_id_2048105106107108457891011121314151617181920212223242526272829303132333435363738394041424344454647484950515253545556575859606162636465666768697071727374757677787980818283848586878889909192939495969798991001011021031041091138" ref="B2013:G2027" tableType="queryTable" totalsRowShown="0">
  <autoFilter ref="B2013:G2027" xr:uid="{4F9E9FBB-E964-42CA-AEEA-12CB406367B0}"/>
  <tableColumns count="6">
    <tableColumn id="1" xr3:uid="{4DD68825-C59F-4218-9C72-638CF03AC8C6}" uniqueName="1" name="Column1.average" queryTableFieldId="1"/>
    <tableColumn id="4" xr3:uid="{19FB44B2-F373-44C8-AE10-E88187419B83}" uniqueName="4" name="Column1.lowest" queryTableFieldId="4"/>
    <tableColumn id="5" xr3:uid="{995FA1F5-5754-43F0-A90B-43DD21649F2B}" uniqueName="5" name="Column1.order_count" queryTableFieldId="5"/>
    <tableColumn id="6" xr3:uid="{B37894E9-251E-46A0-94B4-77C9645099C9}" uniqueName="6" name="Column1.volume" queryTableFieldId="6"/>
    <tableColumn id="2" xr3:uid="{1AD7C091-551D-4B35-942C-536865AA6755}" uniqueName="2" name="Parse" queryTableFieldId="7" dataDxfId="6"/>
    <tableColumn id="3" xr3:uid="{E10B437B-83F1-4FE6-B127-4CE673DDAFCB}" uniqueName="3" name="Column1" queryTableFieldId="8" dataDxfId="5">
      <calculatedColumnFormula>IFERROR(IF((F2014-F2013)&gt;1,(LARGE(F2014:$F2014,1)-LARGE(F$2014:$F2014,2))-1,""),"")</calculatedColumnFormula>
    </tableColumn>
  </tableColumns>
  <tableStyleInfo name="TableStyleMedium7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8062F72B-2C6D-4D1D-BC6B-564EC38D5A3A}" name="datasource_tranquility_type_id_2048105106107108457891011121314151617181920212223242526272829303132333435363738394041424344454647484950515253545556575859606162636465666768697071727374757677787980818283848586878889909192939495969798991001011021031041091139" displayName="datasource_tranquility_type_id_2048105106107108457891011121314151617181920212223242526272829303132333435363738394041424344454647484950515253545556575859606162636465666768697071727374757677787980818283848586878889909192939495969798991001011021031041091139" ref="B2028:G2042" tableType="queryTable" totalsRowShown="0">
  <autoFilter ref="B2028:G2042" xr:uid="{8062F72B-2C6D-4D1D-BC6B-564EC38D5A3A}"/>
  <tableColumns count="6">
    <tableColumn id="1" xr3:uid="{62E8D764-D203-43C5-B164-CC0E03CB0527}" uniqueName="1" name="Column1.average" queryTableFieldId="1"/>
    <tableColumn id="4" xr3:uid="{9772AA43-DDD3-4B53-A425-85C2E0F3FE9C}" uniqueName="4" name="Column1.lowest" queryTableFieldId="4"/>
    <tableColumn id="5" xr3:uid="{3FE47C2D-B0C4-4020-819F-46063A487425}" uniqueName="5" name="Column1.order_count" queryTableFieldId="5"/>
    <tableColumn id="6" xr3:uid="{9712E26A-AE09-4CFE-9339-6B352CCD69F4}" uniqueName="6" name="Column1.volume" queryTableFieldId="6"/>
    <tableColumn id="2" xr3:uid="{803B07EC-73EA-4FD7-8E13-4BD36BCE6454}" uniqueName="2" name="Parse" queryTableFieldId="7" dataDxfId="4"/>
    <tableColumn id="3" xr3:uid="{5154032A-2AC5-42C1-A34F-D4EED7DA426B}" uniqueName="3" name="Column1" queryTableFieldId="8" dataDxfId="3">
      <calculatedColumnFormula>IFERROR(IF((F2029-F2028)&gt;1,(LARGE(F2029:$F2029,1)-LARGE(F$2029:$F2029,2))-1,""),"")</calculatedColumnFormula>
    </tableColumn>
  </tableColumns>
  <tableStyleInfo name="TableStyleMedium7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EC0DDFCB-082A-4457-A7DC-03F5BC0FF628}" name="datasource_tranquility_type_id_2048105106107108457891011121314151617181920212223242526272829303132333435363738394041424344454647484950515253545556575859606162636465666768697071727374757677787980818283848586878889909192939495969798991001011021031041091140" displayName="datasource_tranquility_type_id_2048105106107108457891011121314151617181920212223242526272829303132333435363738394041424344454647484950515253545556575859606162636465666768697071727374757677787980818283848586878889909192939495969798991001011021031041091140" ref="B2043:G2057" tableType="queryTable" totalsRowShown="0">
  <autoFilter ref="B2043:G2057" xr:uid="{EC0DDFCB-082A-4457-A7DC-03F5BC0FF628}"/>
  <tableColumns count="6">
    <tableColumn id="1" xr3:uid="{12D1E8F0-73A8-4CD5-90FB-257466AA3102}" uniqueName="1" name="Column1.average" queryTableFieldId="1"/>
    <tableColumn id="4" xr3:uid="{42B2C37D-3DAC-46D4-B66A-B28DD17B513B}" uniqueName="4" name="Column1.lowest" queryTableFieldId="4"/>
    <tableColumn id="5" xr3:uid="{7933FCF9-67E1-45FA-9AE2-6DCB4B270A74}" uniqueName="5" name="Column1.order_count" queryTableFieldId="5"/>
    <tableColumn id="6" xr3:uid="{526F02EC-429B-4B50-A3A8-AF65380D9BE2}" uniqueName="6" name="Column1.volume" queryTableFieldId="6"/>
    <tableColumn id="2" xr3:uid="{FD8E27D5-A86D-435C-B66E-B0AB65735B09}" uniqueName="2" name="Parse" queryTableFieldId="7" dataDxfId="2"/>
    <tableColumn id="3" xr3:uid="{732B701B-1E26-472A-A9DF-785A21EBF335}" uniqueName="3" name="Column1" queryTableFieldId="8" dataDxfId="1">
      <calculatedColumnFormula>IFERROR(IF((F2044-F2043)&gt;1,(LARGE(F2044:$F2044,1)-LARGE(F$2044:$F2044,2))-1,""),"")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9.xml"/><Relationship Id="rId21" Type="http://schemas.openxmlformats.org/officeDocument/2006/relationships/table" Target="../tables/table23.xml"/><Relationship Id="rId42" Type="http://schemas.openxmlformats.org/officeDocument/2006/relationships/table" Target="../tables/table44.xml"/><Relationship Id="rId63" Type="http://schemas.openxmlformats.org/officeDocument/2006/relationships/table" Target="../tables/table65.xml"/><Relationship Id="rId84" Type="http://schemas.openxmlformats.org/officeDocument/2006/relationships/table" Target="../tables/table86.xml"/><Relationship Id="rId138" Type="http://schemas.openxmlformats.org/officeDocument/2006/relationships/table" Target="../tables/table140.xml"/><Relationship Id="rId16" Type="http://schemas.openxmlformats.org/officeDocument/2006/relationships/table" Target="../tables/table18.xml"/><Relationship Id="rId107" Type="http://schemas.openxmlformats.org/officeDocument/2006/relationships/table" Target="../tables/table109.xml"/><Relationship Id="rId11" Type="http://schemas.openxmlformats.org/officeDocument/2006/relationships/table" Target="../tables/table13.xml"/><Relationship Id="rId32" Type="http://schemas.openxmlformats.org/officeDocument/2006/relationships/table" Target="../tables/table34.xml"/><Relationship Id="rId37" Type="http://schemas.openxmlformats.org/officeDocument/2006/relationships/table" Target="../tables/table39.xml"/><Relationship Id="rId53" Type="http://schemas.openxmlformats.org/officeDocument/2006/relationships/table" Target="../tables/table55.xml"/><Relationship Id="rId58" Type="http://schemas.openxmlformats.org/officeDocument/2006/relationships/table" Target="../tables/table60.xml"/><Relationship Id="rId74" Type="http://schemas.openxmlformats.org/officeDocument/2006/relationships/table" Target="../tables/table76.xml"/><Relationship Id="rId79" Type="http://schemas.openxmlformats.org/officeDocument/2006/relationships/table" Target="../tables/table81.xml"/><Relationship Id="rId102" Type="http://schemas.openxmlformats.org/officeDocument/2006/relationships/table" Target="../tables/table104.xml"/><Relationship Id="rId123" Type="http://schemas.openxmlformats.org/officeDocument/2006/relationships/table" Target="../tables/table125.xml"/><Relationship Id="rId128" Type="http://schemas.openxmlformats.org/officeDocument/2006/relationships/table" Target="../tables/table130.xml"/><Relationship Id="rId5" Type="http://schemas.openxmlformats.org/officeDocument/2006/relationships/table" Target="../tables/table7.xml"/><Relationship Id="rId90" Type="http://schemas.openxmlformats.org/officeDocument/2006/relationships/table" Target="../tables/table92.xml"/><Relationship Id="rId95" Type="http://schemas.openxmlformats.org/officeDocument/2006/relationships/table" Target="../tables/table97.xml"/><Relationship Id="rId22" Type="http://schemas.openxmlformats.org/officeDocument/2006/relationships/table" Target="../tables/table24.xml"/><Relationship Id="rId27" Type="http://schemas.openxmlformats.org/officeDocument/2006/relationships/table" Target="../tables/table29.xml"/><Relationship Id="rId43" Type="http://schemas.openxmlformats.org/officeDocument/2006/relationships/table" Target="../tables/table45.xml"/><Relationship Id="rId48" Type="http://schemas.openxmlformats.org/officeDocument/2006/relationships/table" Target="../tables/table50.xml"/><Relationship Id="rId64" Type="http://schemas.openxmlformats.org/officeDocument/2006/relationships/table" Target="../tables/table66.xml"/><Relationship Id="rId69" Type="http://schemas.openxmlformats.org/officeDocument/2006/relationships/table" Target="../tables/table71.xml"/><Relationship Id="rId113" Type="http://schemas.openxmlformats.org/officeDocument/2006/relationships/table" Target="../tables/table115.xml"/><Relationship Id="rId118" Type="http://schemas.openxmlformats.org/officeDocument/2006/relationships/table" Target="../tables/table120.xml"/><Relationship Id="rId134" Type="http://schemas.openxmlformats.org/officeDocument/2006/relationships/table" Target="../tables/table136.xml"/><Relationship Id="rId80" Type="http://schemas.openxmlformats.org/officeDocument/2006/relationships/table" Target="../tables/table82.xml"/><Relationship Id="rId85" Type="http://schemas.openxmlformats.org/officeDocument/2006/relationships/table" Target="../tables/table87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33" Type="http://schemas.openxmlformats.org/officeDocument/2006/relationships/table" Target="../tables/table35.xml"/><Relationship Id="rId38" Type="http://schemas.openxmlformats.org/officeDocument/2006/relationships/table" Target="../tables/table40.xml"/><Relationship Id="rId59" Type="http://schemas.openxmlformats.org/officeDocument/2006/relationships/table" Target="../tables/table61.xml"/><Relationship Id="rId103" Type="http://schemas.openxmlformats.org/officeDocument/2006/relationships/table" Target="../tables/table105.xml"/><Relationship Id="rId108" Type="http://schemas.openxmlformats.org/officeDocument/2006/relationships/table" Target="../tables/table110.xml"/><Relationship Id="rId124" Type="http://schemas.openxmlformats.org/officeDocument/2006/relationships/table" Target="../tables/table126.xml"/><Relationship Id="rId129" Type="http://schemas.openxmlformats.org/officeDocument/2006/relationships/table" Target="../tables/table131.xml"/><Relationship Id="rId54" Type="http://schemas.openxmlformats.org/officeDocument/2006/relationships/table" Target="../tables/table56.xml"/><Relationship Id="rId70" Type="http://schemas.openxmlformats.org/officeDocument/2006/relationships/table" Target="../tables/table72.xml"/><Relationship Id="rId75" Type="http://schemas.openxmlformats.org/officeDocument/2006/relationships/table" Target="../tables/table77.xml"/><Relationship Id="rId91" Type="http://schemas.openxmlformats.org/officeDocument/2006/relationships/table" Target="../tables/table93.xml"/><Relationship Id="rId96" Type="http://schemas.openxmlformats.org/officeDocument/2006/relationships/table" Target="../tables/table9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23" Type="http://schemas.openxmlformats.org/officeDocument/2006/relationships/table" Target="../tables/table25.xml"/><Relationship Id="rId28" Type="http://schemas.openxmlformats.org/officeDocument/2006/relationships/table" Target="../tables/table30.xml"/><Relationship Id="rId49" Type="http://schemas.openxmlformats.org/officeDocument/2006/relationships/table" Target="../tables/table51.xml"/><Relationship Id="rId114" Type="http://schemas.openxmlformats.org/officeDocument/2006/relationships/table" Target="../tables/table116.xml"/><Relationship Id="rId119" Type="http://schemas.openxmlformats.org/officeDocument/2006/relationships/table" Target="../tables/table121.xml"/><Relationship Id="rId44" Type="http://schemas.openxmlformats.org/officeDocument/2006/relationships/table" Target="../tables/table46.xml"/><Relationship Id="rId60" Type="http://schemas.openxmlformats.org/officeDocument/2006/relationships/table" Target="../tables/table62.xml"/><Relationship Id="rId65" Type="http://schemas.openxmlformats.org/officeDocument/2006/relationships/table" Target="../tables/table67.xml"/><Relationship Id="rId81" Type="http://schemas.openxmlformats.org/officeDocument/2006/relationships/table" Target="../tables/table83.xml"/><Relationship Id="rId86" Type="http://schemas.openxmlformats.org/officeDocument/2006/relationships/table" Target="../tables/table88.xml"/><Relationship Id="rId130" Type="http://schemas.openxmlformats.org/officeDocument/2006/relationships/table" Target="../tables/table132.xml"/><Relationship Id="rId135" Type="http://schemas.openxmlformats.org/officeDocument/2006/relationships/table" Target="../tables/table137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9" Type="http://schemas.openxmlformats.org/officeDocument/2006/relationships/table" Target="../tables/table41.xml"/><Relationship Id="rId109" Type="http://schemas.openxmlformats.org/officeDocument/2006/relationships/table" Target="../tables/table111.xml"/><Relationship Id="rId34" Type="http://schemas.openxmlformats.org/officeDocument/2006/relationships/table" Target="../tables/table36.xml"/><Relationship Id="rId50" Type="http://schemas.openxmlformats.org/officeDocument/2006/relationships/table" Target="../tables/table52.xml"/><Relationship Id="rId55" Type="http://schemas.openxmlformats.org/officeDocument/2006/relationships/table" Target="../tables/table57.xml"/><Relationship Id="rId76" Type="http://schemas.openxmlformats.org/officeDocument/2006/relationships/table" Target="../tables/table78.xml"/><Relationship Id="rId97" Type="http://schemas.openxmlformats.org/officeDocument/2006/relationships/table" Target="../tables/table99.xml"/><Relationship Id="rId104" Type="http://schemas.openxmlformats.org/officeDocument/2006/relationships/table" Target="../tables/table106.xml"/><Relationship Id="rId120" Type="http://schemas.openxmlformats.org/officeDocument/2006/relationships/table" Target="../tables/table122.xml"/><Relationship Id="rId125" Type="http://schemas.openxmlformats.org/officeDocument/2006/relationships/table" Target="../tables/table127.xml"/><Relationship Id="rId7" Type="http://schemas.openxmlformats.org/officeDocument/2006/relationships/table" Target="../tables/table9.xml"/><Relationship Id="rId71" Type="http://schemas.openxmlformats.org/officeDocument/2006/relationships/table" Target="../tables/table73.xml"/><Relationship Id="rId92" Type="http://schemas.openxmlformats.org/officeDocument/2006/relationships/table" Target="../tables/table94.xml"/><Relationship Id="rId2" Type="http://schemas.openxmlformats.org/officeDocument/2006/relationships/table" Target="../tables/table4.xml"/><Relationship Id="rId29" Type="http://schemas.openxmlformats.org/officeDocument/2006/relationships/table" Target="../tables/table31.xml"/><Relationship Id="rId24" Type="http://schemas.openxmlformats.org/officeDocument/2006/relationships/table" Target="../tables/table26.xml"/><Relationship Id="rId40" Type="http://schemas.openxmlformats.org/officeDocument/2006/relationships/table" Target="../tables/table42.xml"/><Relationship Id="rId45" Type="http://schemas.openxmlformats.org/officeDocument/2006/relationships/table" Target="../tables/table47.xml"/><Relationship Id="rId66" Type="http://schemas.openxmlformats.org/officeDocument/2006/relationships/table" Target="../tables/table68.xml"/><Relationship Id="rId87" Type="http://schemas.openxmlformats.org/officeDocument/2006/relationships/table" Target="../tables/table89.xml"/><Relationship Id="rId110" Type="http://schemas.openxmlformats.org/officeDocument/2006/relationships/table" Target="../tables/table112.xml"/><Relationship Id="rId115" Type="http://schemas.openxmlformats.org/officeDocument/2006/relationships/table" Target="../tables/table117.xml"/><Relationship Id="rId131" Type="http://schemas.openxmlformats.org/officeDocument/2006/relationships/table" Target="../tables/table133.xml"/><Relationship Id="rId136" Type="http://schemas.openxmlformats.org/officeDocument/2006/relationships/table" Target="../tables/table138.xml"/><Relationship Id="rId61" Type="http://schemas.openxmlformats.org/officeDocument/2006/relationships/table" Target="../tables/table63.xml"/><Relationship Id="rId82" Type="http://schemas.openxmlformats.org/officeDocument/2006/relationships/table" Target="../tables/table84.xml"/><Relationship Id="rId19" Type="http://schemas.openxmlformats.org/officeDocument/2006/relationships/table" Target="../tables/table21.xml"/><Relationship Id="rId14" Type="http://schemas.openxmlformats.org/officeDocument/2006/relationships/table" Target="../tables/table16.xml"/><Relationship Id="rId30" Type="http://schemas.openxmlformats.org/officeDocument/2006/relationships/table" Target="../tables/table32.xml"/><Relationship Id="rId35" Type="http://schemas.openxmlformats.org/officeDocument/2006/relationships/table" Target="../tables/table37.xml"/><Relationship Id="rId56" Type="http://schemas.openxmlformats.org/officeDocument/2006/relationships/table" Target="../tables/table58.xml"/><Relationship Id="rId77" Type="http://schemas.openxmlformats.org/officeDocument/2006/relationships/table" Target="../tables/table79.xml"/><Relationship Id="rId100" Type="http://schemas.openxmlformats.org/officeDocument/2006/relationships/table" Target="../tables/table102.xml"/><Relationship Id="rId105" Type="http://schemas.openxmlformats.org/officeDocument/2006/relationships/table" Target="../tables/table107.xml"/><Relationship Id="rId126" Type="http://schemas.openxmlformats.org/officeDocument/2006/relationships/table" Target="../tables/table128.xml"/><Relationship Id="rId8" Type="http://schemas.openxmlformats.org/officeDocument/2006/relationships/table" Target="../tables/table10.xml"/><Relationship Id="rId51" Type="http://schemas.openxmlformats.org/officeDocument/2006/relationships/table" Target="../tables/table53.xml"/><Relationship Id="rId72" Type="http://schemas.openxmlformats.org/officeDocument/2006/relationships/table" Target="../tables/table74.xml"/><Relationship Id="rId93" Type="http://schemas.openxmlformats.org/officeDocument/2006/relationships/table" Target="../tables/table95.xml"/><Relationship Id="rId98" Type="http://schemas.openxmlformats.org/officeDocument/2006/relationships/table" Target="../tables/table100.xml"/><Relationship Id="rId121" Type="http://schemas.openxmlformats.org/officeDocument/2006/relationships/table" Target="../tables/table123.xml"/><Relationship Id="rId3" Type="http://schemas.openxmlformats.org/officeDocument/2006/relationships/table" Target="../tables/table5.xml"/><Relationship Id="rId25" Type="http://schemas.openxmlformats.org/officeDocument/2006/relationships/table" Target="../tables/table27.xml"/><Relationship Id="rId46" Type="http://schemas.openxmlformats.org/officeDocument/2006/relationships/table" Target="../tables/table48.xml"/><Relationship Id="rId67" Type="http://schemas.openxmlformats.org/officeDocument/2006/relationships/table" Target="../tables/table69.xml"/><Relationship Id="rId116" Type="http://schemas.openxmlformats.org/officeDocument/2006/relationships/table" Target="../tables/table118.xml"/><Relationship Id="rId137" Type="http://schemas.openxmlformats.org/officeDocument/2006/relationships/table" Target="../tables/table139.xml"/><Relationship Id="rId20" Type="http://schemas.openxmlformats.org/officeDocument/2006/relationships/table" Target="../tables/table22.xml"/><Relationship Id="rId41" Type="http://schemas.openxmlformats.org/officeDocument/2006/relationships/table" Target="../tables/table43.xml"/><Relationship Id="rId62" Type="http://schemas.openxmlformats.org/officeDocument/2006/relationships/table" Target="../tables/table64.xml"/><Relationship Id="rId83" Type="http://schemas.openxmlformats.org/officeDocument/2006/relationships/table" Target="../tables/table85.xml"/><Relationship Id="rId88" Type="http://schemas.openxmlformats.org/officeDocument/2006/relationships/table" Target="../tables/table90.xml"/><Relationship Id="rId111" Type="http://schemas.openxmlformats.org/officeDocument/2006/relationships/table" Target="../tables/table113.xml"/><Relationship Id="rId132" Type="http://schemas.openxmlformats.org/officeDocument/2006/relationships/table" Target="../tables/table134.xml"/><Relationship Id="rId15" Type="http://schemas.openxmlformats.org/officeDocument/2006/relationships/table" Target="../tables/table17.xml"/><Relationship Id="rId36" Type="http://schemas.openxmlformats.org/officeDocument/2006/relationships/table" Target="../tables/table38.xml"/><Relationship Id="rId57" Type="http://schemas.openxmlformats.org/officeDocument/2006/relationships/table" Target="../tables/table59.xml"/><Relationship Id="rId106" Type="http://schemas.openxmlformats.org/officeDocument/2006/relationships/table" Target="../tables/table108.xml"/><Relationship Id="rId127" Type="http://schemas.openxmlformats.org/officeDocument/2006/relationships/table" Target="../tables/table129.xml"/><Relationship Id="rId10" Type="http://schemas.openxmlformats.org/officeDocument/2006/relationships/table" Target="../tables/table12.xml"/><Relationship Id="rId31" Type="http://schemas.openxmlformats.org/officeDocument/2006/relationships/table" Target="../tables/table33.xml"/><Relationship Id="rId52" Type="http://schemas.openxmlformats.org/officeDocument/2006/relationships/table" Target="../tables/table54.xml"/><Relationship Id="rId73" Type="http://schemas.openxmlformats.org/officeDocument/2006/relationships/table" Target="../tables/table75.xml"/><Relationship Id="rId78" Type="http://schemas.openxmlformats.org/officeDocument/2006/relationships/table" Target="../tables/table80.xml"/><Relationship Id="rId94" Type="http://schemas.openxmlformats.org/officeDocument/2006/relationships/table" Target="../tables/table96.xml"/><Relationship Id="rId99" Type="http://schemas.openxmlformats.org/officeDocument/2006/relationships/table" Target="../tables/table101.xml"/><Relationship Id="rId101" Type="http://schemas.openxmlformats.org/officeDocument/2006/relationships/table" Target="../tables/table103.xml"/><Relationship Id="rId122" Type="http://schemas.openxmlformats.org/officeDocument/2006/relationships/table" Target="../tables/table124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26" Type="http://schemas.openxmlformats.org/officeDocument/2006/relationships/table" Target="../tables/table28.xml"/><Relationship Id="rId47" Type="http://schemas.openxmlformats.org/officeDocument/2006/relationships/table" Target="../tables/table49.xml"/><Relationship Id="rId68" Type="http://schemas.openxmlformats.org/officeDocument/2006/relationships/table" Target="../tables/table70.xml"/><Relationship Id="rId89" Type="http://schemas.openxmlformats.org/officeDocument/2006/relationships/table" Target="../tables/table91.xml"/><Relationship Id="rId112" Type="http://schemas.openxmlformats.org/officeDocument/2006/relationships/table" Target="../tables/table114.xml"/><Relationship Id="rId133" Type="http://schemas.openxmlformats.org/officeDocument/2006/relationships/table" Target="../tables/table13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si.evetech.net/ui/" TargetMode="External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I455"/>
  <sheetViews>
    <sheetView topLeftCell="A16" zoomScale="145" zoomScaleNormal="145" workbookViewId="0">
      <selection activeCell="H5" sqref="H5"/>
    </sheetView>
  </sheetViews>
  <sheetFormatPr defaultRowHeight="15"/>
  <cols>
    <col min="1" max="1" width="34.42578125" style="13" customWidth="1"/>
    <col min="2" max="2" width="7.42578125" style="63" customWidth="1"/>
    <col min="3" max="3" width="2.42578125" style="36" customWidth="1"/>
    <col min="4" max="4" width="16.140625" style="36" customWidth="1"/>
    <col min="5" max="5" width="2.140625" style="35" customWidth="1"/>
    <col min="6" max="6" width="15.5703125" style="35" customWidth="1"/>
    <col min="7" max="7" width="7.7109375" style="18" customWidth="1"/>
    <col min="8" max="8" width="6.7109375" style="13" customWidth="1"/>
    <col min="9" max="9" width="8.5703125" style="15" customWidth="1"/>
    <col min="10" max="10" width="8.42578125" style="17" customWidth="1"/>
    <col min="11" max="11" width="10.7109375" style="20" customWidth="1"/>
    <col min="12" max="12" width="10" style="19" customWidth="1"/>
    <col min="13" max="13" width="8.28515625" style="8" customWidth="1"/>
    <col min="14" max="14" width="22.5703125" style="12" customWidth="1"/>
    <col min="15" max="15" width="19.5703125" style="10" customWidth="1"/>
    <col min="16" max="16" width="17.85546875" style="11" customWidth="1"/>
    <col min="17" max="17" width="17.28515625" style="23" customWidth="1"/>
    <col min="18" max="18" width="2" style="3" customWidth="1"/>
    <col min="19" max="19" width="8.42578125" style="3" customWidth="1"/>
    <col min="20" max="20" width="4.5703125" style="78" customWidth="1"/>
    <col min="57" max="57" width="18.28515625" customWidth="1"/>
    <col min="58" max="58" width="12.28515625" customWidth="1"/>
    <col min="59" max="59" width="40.140625" bestFit="1" customWidth="1"/>
    <col min="60" max="60" width="11.85546875" customWidth="1"/>
    <col min="61" max="61" width="15.7109375" customWidth="1"/>
  </cols>
  <sheetData>
    <row r="1" spans="1:61">
      <c r="A1" s="7" t="s">
        <v>40256</v>
      </c>
      <c r="B1" s="7" t="s">
        <v>40257</v>
      </c>
      <c r="C1" s="108" t="s">
        <v>40267</v>
      </c>
      <c r="D1" s="108"/>
      <c r="E1" s="108" t="s">
        <v>40268</v>
      </c>
      <c r="F1" s="108"/>
      <c r="G1" s="7" t="s">
        <v>40258</v>
      </c>
      <c r="H1" s="7"/>
      <c r="I1" s="84" t="s">
        <v>40259</v>
      </c>
      <c r="J1" s="84"/>
      <c r="K1" s="22" t="s">
        <v>40270</v>
      </c>
      <c r="L1" s="7" t="s">
        <v>40269</v>
      </c>
      <c r="M1" s="7" t="s">
        <v>40271</v>
      </c>
      <c r="N1" s="7" t="s">
        <v>40272</v>
      </c>
      <c r="O1" s="7" t="s">
        <v>40273</v>
      </c>
      <c r="P1" s="7" t="s">
        <v>40274</v>
      </c>
      <c r="Q1" s="7" t="s">
        <v>40275</v>
      </c>
      <c r="R1" s="7" t="s">
        <v>43987</v>
      </c>
      <c r="S1" s="7" t="s">
        <v>43993</v>
      </c>
      <c r="T1" s="7" t="s">
        <v>46572</v>
      </c>
      <c r="BE1" s="110" t="s">
        <v>44002</v>
      </c>
      <c r="BF1" s="110"/>
      <c r="BG1" s="110"/>
      <c r="BH1" s="109" t="s">
        <v>41771</v>
      </c>
      <c r="BI1" s="109"/>
    </row>
    <row r="2" spans="1:61">
      <c r="A2" s="30" t="s">
        <v>924</v>
      </c>
      <c r="B2" s="63">
        <f>VLOOKUP(A2,TypeIDs!B:C,2,FALSE)</f>
        <v>2048</v>
      </c>
      <c r="C2" s="36">
        <f t="array" ref="C2:C91">_xlfn.FILTERXML(Jita,BG21)</f>
        <v>455000</v>
      </c>
      <c r="D2" s="36">
        <f t="shared" ref="D2:D65" si="0">(C2+(C2*TaxRate))+(G2*ShippingCost)</f>
        <v>479747.5</v>
      </c>
      <c r="E2" s="35">
        <f>INDEX(MARKET_INPUT[Column1.price],MATCH(B2,MARKET_INPUT[Column1.type_id]))</f>
        <v>438900</v>
      </c>
      <c r="F2" s="35">
        <f t="shared" ref="F2:F65" si="1">E2-(E2*TaxRate)</f>
        <v>419368.95</v>
      </c>
      <c r="G2" s="18">
        <f>VLOOKUP(B2,TypeIDs!C:D,2,FALSE)</f>
        <v>5</v>
      </c>
      <c r="I2" s="15">
        <f>IF(H2="",AverageVolume!A15,H2)</f>
        <v>22.857142857142858</v>
      </c>
      <c r="J2" s="17">
        <f>((C2/(5000/I2))+(G2*2)+(I2*3))</f>
        <v>2158.5714285714284</v>
      </c>
      <c r="K2" s="20">
        <f>I2*7</f>
        <v>160</v>
      </c>
      <c r="L2" s="19">
        <f t="shared" ref="L2:L65" si="2">(G2*I2)*7</f>
        <v>800</v>
      </c>
      <c r="M2" s="8">
        <f>F2/D2</f>
        <v>0.87414514927123121</v>
      </c>
      <c r="N2" s="9">
        <f>D2*K2</f>
        <v>76759600</v>
      </c>
      <c r="O2" s="10">
        <f>(F2-D2)*K2</f>
        <v>-9660567.9999999981</v>
      </c>
      <c r="P2" s="11">
        <f>(F2-D2)/G2</f>
        <v>-12075.709999999997</v>
      </c>
      <c r="Q2" s="23">
        <f t="shared" ref="Q2:Q65" si="3">N2+O2</f>
        <v>67099032</v>
      </c>
      <c r="R2" s="3" t="e">
        <f>VLOOKUP(B2,Buylist!B:B,1,FALSE)</f>
        <v>#N/A</v>
      </c>
      <c r="S2" s="3" t="e">
        <f>VLOOKUP(B2,Buylist!B:O,13,FALSE)</f>
        <v>#N/A</v>
      </c>
      <c r="T2" s="78">
        <v>1</v>
      </c>
      <c r="W2" s="75"/>
      <c r="BE2" s="3" t="s">
        <v>40260</v>
      </c>
      <c r="BF2" s="4" t="s">
        <v>22</v>
      </c>
      <c r="BG2" s="4" t="s">
        <v>40264</v>
      </c>
      <c r="BH2" s="16" t="s">
        <v>40262</v>
      </c>
      <c r="BI2" s="16">
        <v>30000142</v>
      </c>
    </row>
    <row r="3" spans="1:61">
      <c r="A3" s="87" t="s">
        <v>15642</v>
      </c>
      <c r="B3" s="63">
        <f>VLOOKUP(A3,TypeIDs!B:C,2,FALSE)</f>
        <v>28668</v>
      </c>
      <c r="C3" s="36">
        <v>21200</v>
      </c>
      <c r="D3" s="36">
        <f t="shared" si="0"/>
        <v>22152.400000000001</v>
      </c>
      <c r="E3" s="35">
        <f>INDEX(MARKET_INPUT[Column1.price],MATCH(B3,MARKET_INPUT[Column1.type_id]))</f>
        <v>24600</v>
      </c>
      <c r="F3" s="35">
        <f t="shared" si="1"/>
        <v>23505.3</v>
      </c>
      <c r="G3" s="18">
        <f>VLOOKUP(B3,TypeIDs!C:D,2,FALSE)</f>
        <v>0.01</v>
      </c>
      <c r="I3" s="15">
        <f>IF(H3="",AverageVolume!A30,H3)</f>
        <v>6512.4333333333334</v>
      </c>
      <c r="J3" s="17">
        <f t="shared" ref="J3:J66" si="4">((C3/(5000/I3))+(G3*2)+(I3*3))</f>
        <v>47150.037333333334</v>
      </c>
      <c r="K3" s="20">
        <f t="shared" ref="K3:K66" si="5">I3*7</f>
        <v>45587.033333333333</v>
      </c>
      <c r="L3" s="19">
        <f t="shared" si="2"/>
        <v>455.87033333333341</v>
      </c>
      <c r="M3" s="8">
        <f>F3/D3</f>
        <v>1.0610723894476444</v>
      </c>
      <c r="N3" s="9">
        <f>D3*K3</f>
        <v>1009862197.2133334</v>
      </c>
      <c r="O3" s="10">
        <f t="shared" ref="O3:O66" si="6">(F3-D3)*K3</f>
        <v>61674697.396666564</v>
      </c>
      <c r="P3" s="11">
        <f t="shared" ref="P3:P66" si="7">(F3-D3)/G3</f>
        <v>135289.99999999977</v>
      </c>
      <c r="Q3" s="23">
        <f t="shared" si="3"/>
        <v>1071536894.6099999</v>
      </c>
      <c r="R3" s="3" t="e">
        <f>VLOOKUP(B3,Buylist!B:B,1,FALSE)</f>
        <v>#N/A</v>
      </c>
      <c r="S3" s="3" t="e">
        <f>VLOOKUP(B3,Buylist!B:O,13,FALSE)</f>
        <v>#N/A</v>
      </c>
      <c r="T3" s="78">
        <v>2</v>
      </c>
      <c r="W3" s="75"/>
      <c r="BE3" s="3" t="s">
        <v>40261</v>
      </c>
      <c r="BF3" s="3" t="s">
        <v>2</v>
      </c>
      <c r="BG3" s="3"/>
      <c r="BH3" s="16" t="s">
        <v>41768</v>
      </c>
      <c r="BI3" s="16">
        <v>30002187</v>
      </c>
    </row>
    <row r="4" spans="1:61">
      <c r="A4" s="87" t="s">
        <v>29175</v>
      </c>
      <c r="B4" s="63">
        <f>VLOOKUP(A4,TypeIDs!B:C,2,FALSE)</f>
        <v>44992</v>
      </c>
      <c r="C4" s="36">
        <v>2753000</v>
      </c>
      <c r="D4" s="36">
        <f>(C4+(C4*TaxRate))+(G4*ShippingCost)</f>
        <v>2875508.68</v>
      </c>
      <c r="E4" s="35">
        <f>INDEX(MARKET_INPUT[Column1.price],MATCH(B4,MARKET_INPUT[Column1.type_id]))</f>
        <v>3044000</v>
      </c>
      <c r="F4" s="35">
        <f t="shared" si="1"/>
        <v>2908542</v>
      </c>
      <c r="G4" s="18">
        <f>VLOOKUP(B4,TypeIDs!C:D,2,FALSE)</f>
        <v>2.0000000000000001E-4</v>
      </c>
      <c r="I4" s="15">
        <f>IF(H4="",AverageVolume!A45,H4)</f>
        <v>2174.9416666666666</v>
      </c>
      <c r="J4" s="17">
        <f t="shared" si="4"/>
        <v>1204047.7070666666</v>
      </c>
      <c r="K4" s="20">
        <f t="shared" si="5"/>
        <v>15224.591666666667</v>
      </c>
      <c r="L4" s="19">
        <f t="shared" si="2"/>
        <v>3.0449183333333334</v>
      </c>
      <c r="M4" s="8">
        <f t="shared" ref="M4:M67" si="8">F4/D4</f>
        <v>1.0114878178701932</v>
      </c>
      <c r="N4" s="9">
        <f t="shared" ref="N4:N67" si="9">D4*K4</f>
        <v>43778445486.955673</v>
      </c>
      <c r="O4" s="10">
        <f t="shared" si="6"/>
        <v>502918808.3943308</v>
      </c>
      <c r="P4" s="11">
        <f t="shared" si="7"/>
        <v>165166599.99999917</v>
      </c>
      <c r="Q4" s="23">
        <f t="shared" si="3"/>
        <v>44281364295.350006</v>
      </c>
      <c r="R4" s="3" t="e">
        <f>VLOOKUP(B4,Buylist!B:B,1,FALSE)</f>
        <v>#N/A</v>
      </c>
      <c r="S4" s="3" t="e">
        <f>VLOOKUP(B4,Buylist!B:O,13,FALSE)</f>
        <v>#N/A</v>
      </c>
      <c r="T4" s="78">
        <v>3</v>
      </c>
      <c r="W4" s="75"/>
      <c r="BE4" s="3" t="s">
        <v>40266</v>
      </c>
      <c r="BF4" s="3">
        <v>30000142</v>
      </c>
      <c r="BG4" s="3" t="s">
        <v>40262</v>
      </c>
      <c r="BH4" s="16" t="s">
        <v>41769</v>
      </c>
      <c r="BI4" s="16">
        <v>30002510</v>
      </c>
    </row>
    <row r="5" spans="1:61">
      <c r="A5" s="13" t="s">
        <v>31363</v>
      </c>
      <c r="B5" s="63">
        <f>VLOOKUP(A5,TypeIDs!B:C,2,FALSE)</f>
        <v>47867</v>
      </c>
      <c r="C5" s="36">
        <v>97490</v>
      </c>
      <c r="D5" s="36">
        <f t="shared" si="0"/>
        <v>101837.30499999999</v>
      </c>
      <c r="E5" s="35">
        <f>INDEX(MARKET_INPUT[Column1.price],MATCH(B5,MARKET_INPUT[Column1.type_id]))</f>
        <v>150000</v>
      </c>
      <c r="F5" s="35">
        <f t="shared" si="1"/>
        <v>143325</v>
      </c>
      <c r="G5" s="18">
        <f>VLOOKUP(B5,TypeIDs!C:D,2,FALSE)</f>
        <v>0.01</v>
      </c>
      <c r="H5" s="13">
        <v>1</v>
      </c>
      <c r="I5" s="15">
        <f>IF(H5="",AverageVolume!A60,H5)</f>
        <v>1</v>
      </c>
      <c r="J5" s="17">
        <f t="shared" si="4"/>
        <v>22.518000000000001</v>
      </c>
      <c r="K5" s="20">
        <f t="shared" si="5"/>
        <v>7</v>
      </c>
      <c r="L5" s="19">
        <f t="shared" si="2"/>
        <v>7.0000000000000007E-2</v>
      </c>
      <c r="M5" s="8">
        <f t="shared" si="8"/>
        <v>1.4073919179224157</v>
      </c>
      <c r="N5" s="9">
        <f t="shared" si="9"/>
        <v>712861.13500000001</v>
      </c>
      <c r="O5" s="10">
        <f t="shared" si="6"/>
        <v>290413.86500000005</v>
      </c>
      <c r="P5" s="11">
        <f t="shared" si="7"/>
        <v>4148769.5000000005</v>
      </c>
      <c r="Q5" s="23">
        <f t="shared" si="3"/>
        <v>1003275</v>
      </c>
      <c r="R5" s="3">
        <f>VLOOKUP(B5,Buylist!B:B,1,FALSE)</f>
        <v>47867</v>
      </c>
      <c r="S5" s="3">
        <f>VLOOKUP(B5,Buylist!B:O,13,FALSE)</f>
        <v>0</v>
      </c>
      <c r="T5" s="78">
        <v>4</v>
      </c>
      <c r="BE5" s="3" t="s">
        <v>40263</v>
      </c>
      <c r="BF5" s="3">
        <v>10000021</v>
      </c>
      <c r="BG5" s="3" t="s">
        <v>40265</v>
      </c>
      <c r="BH5" s="16" t="s">
        <v>41770</v>
      </c>
      <c r="BI5" s="16">
        <v>30001858</v>
      </c>
    </row>
    <row r="6" spans="1:61">
      <c r="A6" s="13" t="s">
        <v>32710</v>
      </c>
      <c r="B6" s="63">
        <f>VLOOKUP(A6,TypeIDs!B:C,2,FALSE)</f>
        <v>49742</v>
      </c>
      <c r="C6" s="36">
        <v>97860</v>
      </c>
      <c r="D6" s="36">
        <f t="shared" si="0"/>
        <v>102223.77</v>
      </c>
      <c r="E6" s="35">
        <f>INDEX(MARKET_INPUT[Column1.price],MATCH(B6,MARKET_INPUT[Column1.type_id]))</f>
        <v>666000</v>
      </c>
      <c r="F6" s="35">
        <f t="shared" si="1"/>
        <v>636363</v>
      </c>
      <c r="G6" s="18">
        <f>VLOOKUP(B6,TypeIDs!C:D,2,FALSE)</f>
        <v>0.01</v>
      </c>
      <c r="H6" s="13">
        <v>1</v>
      </c>
      <c r="I6" s="15">
        <f>IF(H6="",AverageVolume!A75,H6)</f>
        <v>1</v>
      </c>
      <c r="J6" s="17">
        <f t="shared" si="4"/>
        <v>22.591999999999999</v>
      </c>
      <c r="K6" s="20">
        <f t="shared" si="5"/>
        <v>7</v>
      </c>
      <c r="L6" s="19">
        <f t="shared" si="2"/>
        <v>7.0000000000000007E-2</v>
      </c>
      <c r="M6" s="8">
        <f t="shared" si="8"/>
        <v>6.225195959804652</v>
      </c>
      <c r="N6" s="9">
        <f t="shared" si="9"/>
        <v>715566.39</v>
      </c>
      <c r="O6" s="10">
        <f t="shared" si="6"/>
        <v>3738974.61</v>
      </c>
      <c r="P6" s="11">
        <f t="shared" si="7"/>
        <v>53413923</v>
      </c>
      <c r="Q6" s="23">
        <f t="shared" si="3"/>
        <v>4454541</v>
      </c>
      <c r="R6" s="3">
        <f>VLOOKUP(B6,Buylist!B:B,1,FALSE)</f>
        <v>49742</v>
      </c>
      <c r="S6" s="3">
        <f>VLOOKUP(B6,Buylist!B:O,13,FALSE)</f>
        <v>0</v>
      </c>
      <c r="T6" s="78">
        <v>5</v>
      </c>
      <c r="BE6" s="5"/>
    </row>
    <row r="7" spans="1:61">
      <c r="A7" s="13" t="s">
        <v>18233</v>
      </c>
      <c r="B7" s="63">
        <f>VLOOKUP(A7,TypeIDs!B:C,2,FALSE)</f>
        <v>32006</v>
      </c>
      <c r="C7" s="36">
        <v>114400</v>
      </c>
      <c r="D7" s="36">
        <f t="shared" si="0"/>
        <v>130290.8</v>
      </c>
      <c r="E7" s="35">
        <f>INDEX(MARKET_INPUT[Column1.price],MATCH(B7,MARKET_INPUT[Column1.type_id]))</f>
        <v>144000</v>
      </c>
      <c r="F7" s="35">
        <f t="shared" si="1"/>
        <v>137592</v>
      </c>
      <c r="G7" s="18">
        <f>VLOOKUP(B7,TypeIDs!C:D,2,FALSE)</f>
        <v>12</v>
      </c>
      <c r="I7" s="15">
        <f>IF(H7="",AverageVolume!A90,H7)</f>
        <v>207.15833333333333</v>
      </c>
      <c r="J7" s="17">
        <f t="shared" si="4"/>
        <v>5385.2576666666664</v>
      </c>
      <c r="K7" s="20">
        <f t="shared" si="5"/>
        <v>1450.1083333333333</v>
      </c>
      <c r="L7" s="19">
        <f t="shared" si="2"/>
        <v>17401.3</v>
      </c>
      <c r="M7" s="8">
        <f t="shared" si="8"/>
        <v>1.0560377248431969</v>
      </c>
      <c r="N7" s="9">
        <f t="shared" si="9"/>
        <v>188935774.83666667</v>
      </c>
      <c r="O7" s="10">
        <f t="shared" si="6"/>
        <v>10587530.963333329</v>
      </c>
      <c r="P7" s="11">
        <f t="shared" si="7"/>
        <v>608.43333333333305</v>
      </c>
      <c r="Q7" s="23">
        <f t="shared" si="3"/>
        <v>199523305.80000001</v>
      </c>
      <c r="R7" s="3" t="e">
        <f>VLOOKUP(B7,Buylist!B:B,1,FALSE)</f>
        <v>#N/A</v>
      </c>
      <c r="S7" s="3" t="e">
        <f>VLOOKUP(B7,Buylist!B:O,13,FALSE)</f>
        <v>#N/A</v>
      </c>
      <c r="T7" s="78">
        <v>6</v>
      </c>
      <c r="BE7" s="110" t="s">
        <v>44003</v>
      </c>
      <c r="BF7" s="110"/>
      <c r="BG7" s="110"/>
      <c r="BH7" s="111" t="s">
        <v>41772</v>
      </c>
      <c r="BI7" s="111"/>
    </row>
    <row r="8" spans="1:61">
      <c r="A8" s="13" t="s">
        <v>18234</v>
      </c>
      <c r="B8" s="63">
        <f>VLOOKUP(A8,TypeIDs!B:C,2,FALSE)</f>
        <v>32014</v>
      </c>
      <c r="C8" s="36">
        <v>213200</v>
      </c>
      <c r="D8" s="36">
        <f t="shared" si="0"/>
        <v>244287.4</v>
      </c>
      <c r="E8" s="35">
        <f>INDEX(MARKET_INPUT[Column1.price],MATCH(B8,MARKET_INPUT[Column1.type_id]))</f>
        <v>276000</v>
      </c>
      <c r="F8" s="35">
        <f t="shared" si="1"/>
        <v>263718</v>
      </c>
      <c r="G8" s="18">
        <f>VLOOKUP(B8,TypeIDs!C:D,2,FALSE)</f>
        <v>24</v>
      </c>
      <c r="I8" s="15">
        <f>IF(H8="",AverageVolume!A105,H8)</f>
        <v>76.341666666666669</v>
      </c>
      <c r="J8" s="17">
        <f t="shared" si="4"/>
        <v>3532.2336666666665</v>
      </c>
      <c r="K8" s="20">
        <f t="shared" si="5"/>
        <v>534.39166666666665</v>
      </c>
      <c r="L8" s="19">
        <f t="shared" si="2"/>
        <v>12825.4</v>
      </c>
      <c r="M8" s="8">
        <f t="shared" si="8"/>
        <v>1.079539918964302</v>
      </c>
      <c r="N8" s="9">
        <f t="shared" si="9"/>
        <v>130545150.83166666</v>
      </c>
      <c r="O8" s="10">
        <f t="shared" si="6"/>
        <v>10383550.718333336</v>
      </c>
      <c r="P8" s="11">
        <f t="shared" si="7"/>
        <v>809.60833333333358</v>
      </c>
      <c r="Q8" s="23">
        <f t="shared" si="3"/>
        <v>140928701.55000001</v>
      </c>
      <c r="R8" s="3" t="e">
        <f>VLOOKUP(B8,Buylist!B:B,1,FALSE)</f>
        <v>#N/A</v>
      </c>
      <c r="S8" s="3" t="e">
        <f>VLOOKUP(B8,Buylist!B:O,13,FALSE)</f>
        <v>#N/A</v>
      </c>
      <c r="T8" s="78">
        <v>7</v>
      </c>
      <c r="BE8" s="3" t="s">
        <v>8</v>
      </c>
      <c r="BF8" s="3"/>
      <c r="BG8" s="3"/>
      <c r="BH8" s="112">
        <v>900</v>
      </c>
      <c r="BI8" s="112"/>
    </row>
    <row r="9" spans="1:61">
      <c r="A9" s="13" t="s">
        <v>26167</v>
      </c>
      <c r="B9" s="63">
        <f>VLOOKUP(A9,TypeIDs!B:C,2,FALSE)</f>
        <v>41490</v>
      </c>
      <c r="C9" s="36">
        <v>868500</v>
      </c>
      <c r="D9" s="36">
        <f t="shared" si="0"/>
        <v>993548.25</v>
      </c>
      <c r="E9" s="35">
        <f>INDEX(MARKET_INPUT[Column1.price],MATCH(B9,MARKET_INPUT[Column1.type_id]))</f>
        <v>1199000</v>
      </c>
      <c r="F9" s="35">
        <f t="shared" si="1"/>
        <v>1145644.5</v>
      </c>
      <c r="G9" s="18">
        <f>VLOOKUP(B9,TypeIDs!C:D,2,FALSE)</f>
        <v>96</v>
      </c>
      <c r="I9" s="15">
        <f>IF(H9="",AverageVolume!A120,H9)</f>
        <v>135.54583333333335</v>
      </c>
      <c r="J9" s="17">
        <f t="shared" si="4"/>
        <v>24142.948750000003</v>
      </c>
      <c r="K9" s="20">
        <f t="shared" si="5"/>
        <v>948.82083333333344</v>
      </c>
      <c r="L9" s="19">
        <f t="shared" si="2"/>
        <v>91086.800000000017</v>
      </c>
      <c r="M9" s="8">
        <f t="shared" si="8"/>
        <v>1.1530839091106044</v>
      </c>
      <c r="N9" s="9">
        <f t="shared" si="9"/>
        <v>942699278.52187514</v>
      </c>
      <c r="O9" s="10">
        <f t="shared" si="6"/>
        <v>144312090.67187503</v>
      </c>
      <c r="P9" s="11">
        <f t="shared" si="7"/>
        <v>1584.3359375</v>
      </c>
      <c r="Q9" s="23">
        <f t="shared" si="3"/>
        <v>1087011369.1937501</v>
      </c>
      <c r="R9" s="3" t="e">
        <f>VLOOKUP(B9,Buylist!B:B,1,FALSE)</f>
        <v>#N/A</v>
      </c>
      <c r="S9" s="3" t="e">
        <f>VLOOKUP(B9,Buylist!B:O,13,FALSE)</f>
        <v>#N/A</v>
      </c>
      <c r="T9" s="78">
        <v>8</v>
      </c>
      <c r="BE9" s="3"/>
      <c r="BF9" s="3" t="s">
        <v>9</v>
      </c>
      <c r="BG9" s="3" t="s">
        <v>23</v>
      </c>
      <c r="BH9" s="111" t="s">
        <v>42874</v>
      </c>
      <c r="BI9" s="111"/>
    </row>
    <row r="10" spans="1:61">
      <c r="A10" s="27" t="s">
        <v>27329</v>
      </c>
      <c r="B10" s="63">
        <f>VLOOKUP(A10,TypeIDs!B:C,2,FALSE)</f>
        <v>42832</v>
      </c>
      <c r="C10" s="36">
        <v>668.8</v>
      </c>
      <c r="D10" s="36">
        <f t="shared" si="0"/>
        <v>707.5616</v>
      </c>
      <c r="E10" s="35">
        <f>INDEX(MARKET_INPUT[Column1.price],MATCH(B10,MARKET_INPUT[Column1.type_id]))</f>
        <v>850</v>
      </c>
      <c r="F10" s="35">
        <f t="shared" si="1"/>
        <v>812.17499999999995</v>
      </c>
      <c r="G10" s="18">
        <f>VLOOKUP(B10,TypeIDs!C:D,2,FALSE)</f>
        <v>0.01</v>
      </c>
      <c r="I10" s="15">
        <f>IF(H10="",AverageVolume!A135,H10)</f>
        <v>876.35416666666674</v>
      </c>
      <c r="J10" s="17">
        <f t="shared" si="4"/>
        <v>2746.3036333333334</v>
      </c>
      <c r="K10" s="20">
        <f t="shared" si="5"/>
        <v>6134.479166666667</v>
      </c>
      <c r="L10" s="19">
        <f t="shared" si="2"/>
        <v>61.344791666666666</v>
      </c>
      <c r="M10" s="8">
        <f t="shared" si="8"/>
        <v>1.1478505899698344</v>
      </c>
      <c r="N10" s="9">
        <f t="shared" si="9"/>
        <v>4340521.8943333337</v>
      </c>
      <c r="O10" s="10">
        <f t="shared" si="6"/>
        <v>641748.72285416641</v>
      </c>
      <c r="P10" s="11">
        <f t="shared" si="7"/>
        <v>10461.339999999995</v>
      </c>
      <c r="Q10" s="23">
        <f t="shared" si="3"/>
        <v>4982270.6171875</v>
      </c>
      <c r="R10" s="3" t="e">
        <f>VLOOKUP(B10,Buylist!B:B,1,FALSE)</f>
        <v>#N/A</v>
      </c>
      <c r="S10" s="3" t="e">
        <f>VLOOKUP(B10,Buylist!B:O,13,FALSE)</f>
        <v>#N/A</v>
      </c>
      <c r="T10" s="78">
        <v>9</v>
      </c>
      <c r="BE10" s="3"/>
      <c r="BF10" s="3" t="s">
        <v>10</v>
      </c>
      <c r="BG10" s="3" t="s">
        <v>24</v>
      </c>
      <c r="BH10" s="113">
        <v>4.4499999999999998E-2</v>
      </c>
      <c r="BI10" s="112"/>
    </row>
    <row r="11" spans="1:61">
      <c r="A11" s="27" t="s">
        <v>27331</v>
      </c>
      <c r="B11" s="63">
        <f>VLOOKUP(A11,TypeIDs!B:C,2,FALSE)</f>
        <v>42834</v>
      </c>
      <c r="C11" s="36">
        <v>519</v>
      </c>
      <c r="D11" s="36">
        <f t="shared" si="0"/>
        <v>551.09550000000002</v>
      </c>
      <c r="E11" s="35">
        <f>INDEX(MARKET_INPUT[Column1.price],MATCH(B11,MARKET_INPUT[Column1.type_id]))</f>
        <v>749</v>
      </c>
      <c r="F11" s="35">
        <f t="shared" si="1"/>
        <v>715.66949999999997</v>
      </c>
      <c r="G11" s="18">
        <f>VLOOKUP(B11,TypeIDs!C:D,2,FALSE)</f>
        <v>0.01</v>
      </c>
      <c r="I11" s="15">
        <f>IF(H11="",AverageVolume!A150,H11)</f>
        <v>933.91666666666674</v>
      </c>
      <c r="J11" s="17">
        <f t="shared" si="4"/>
        <v>2898.7105499999998</v>
      </c>
      <c r="K11" s="20">
        <f t="shared" si="5"/>
        <v>6537.416666666667</v>
      </c>
      <c r="L11" s="19">
        <f t="shared" si="2"/>
        <v>65.374166666666667</v>
      </c>
      <c r="M11" s="8">
        <f t="shared" si="8"/>
        <v>1.2986306366137992</v>
      </c>
      <c r="N11" s="9">
        <f t="shared" si="9"/>
        <v>3602740.9066250003</v>
      </c>
      <c r="O11" s="10">
        <f t="shared" si="6"/>
        <v>1075888.8104999997</v>
      </c>
      <c r="P11" s="11">
        <f t="shared" si="7"/>
        <v>16457.399999999994</v>
      </c>
      <c r="Q11" s="23">
        <f t="shared" si="3"/>
        <v>4678629.7171250004</v>
      </c>
      <c r="R11" s="3" t="e">
        <f>VLOOKUP(B11,Buylist!B:B,1,FALSE)</f>
        <v>#N/A</v>
      </c>
      <c r="S11" s="3" t="e">
        <f>VLOOKUP(B11,Buylist!B:O,13,FALSE)</f>
        <v>#N/A</v>
      </c>
      <c r="T11" s="78">
        <v>10</v>
      </c>
      <c r="BE11" s="3"/>
      <c r="BF11" s="3" t="s">
        <v>11</v>
      </c>
      <c r="BG11" s="3" t="s">
        <v>25</v>
      </c>
    </row>
    <row r="12" spans="1:61">
      <c r="A12" s="27" t="s">
        <v>27330</v>
      </c>
      <c r="B12" s="63">
        <f>VLOOKUP(A12,TypeIDs!B:C,2,FALSE)</f>
        <v>42833</v>
      </c>
      <c r="C12" s="36">
        <v>598.29999999999995</v>
      </c>
      <c r="D12" s="36">
        <f t="shared" si="0"/>
        <v>633.92435</v>
      </c>
      <c r="E12" s="35">
        <f>INDEX(MARKET_INPUT[Column1.price],MATCH(B12,MARKET_INPUT[Column1.type_id]))</f>
        <v>989</v>
      </c>
      <c r="F12" s="35">
        <f t="shared" si="1"/>
        <v>944.98950000000002</v>
      </c>
      <c r="G12" s="18">
        <f>VLOOKUP(B12,TypeIDs!C:D,2,FALSE)</f>
        <v>0.01</v>
      </c>
      <c r="I12" s="15">
        <f>IF(H12="",AverageVolume!A165,H12)</f>
        <v>754.35416666666674</v>
      </c>
      <c r="J12" s="17">
        <f t="shared" si="4"/>
        <v>2353.3485195833332</v>
      </c>
      <c r="K12" s="20">
        <f t="shared" si="5"/>
        <v>5280.479166666667</v>
      </c>
      <c r="L12" s="19">
        <f t="shared" si="2"/>
        <v>52.804791666666674</v>
      </c>
      <c r="M12" s="8">
        <f t="shared" si="8"/>
        <v>1.4906975887580276</v>
      </c>
      <c r="N12" s="9">
        <f t="shared" si="9"/>
        <v>3347424.3234177087</v>
      </c>
      <c r="O12" s="10">
        <f t="shared" si="6"/>
        <v>1642573.0440510418</v>
      </c>
      <c r="P12" s="11">
        <f t="shared" si="7"/>
        <v>31106.514999999999</v>
      </c>
      <c r="Q12" s="23">
        <f t="shared" si="3"/>
        <v>4989997.3674687501</v>
      </c>
      <c r="R12" s="3" t="e">
        <f>VLOOKUP(B12,Buylist!B:B,1,FALSE)</f>
        <v>#N/A</v>
      </c>
      <c r="S12" s="3" t="e">
        <f>VLOOKUP(B12,Buylist!B:O,13,FALSE)</f>
        <v>#N/A</v>
      </c>
      <c r="T12" s="78">
        <v>11</v>
      </c>
      <c r="BE12" s="3"/>
      <c r="BF12" s="3" t="s">
        <v>12</v>
      </c>
      <c r="BG12" s="3" t="s">
        <v>26</v>
      </c>
    </row>
    <row r="13" spans="1:61">
      <c r="A13" s="27" t="s">
        <v>27332</v>
      </c>
      <c r="B13" s="63">
        <f>VLOOKUP(A13,TypeIDs!B:C,2,FALSE)</f>
        <v>42835</v>
      </c>
      <c r="C13" s="36">
        <v>499.3</v>
      </c>
      <c r="D13" s="36">
        <f t="shared" si="0"/>
        <v>530.51885000000004</v>
      </c>
      <c r="E13" s="35">
        <f>INDEX(MARKET_INPUT[Column1.price],MATCH(B13,MARKET_INPUT[Column1.type_id]))</f>
        <v>650</v>
      </c>
      <c r="F13" s="35">
        <f t="shared" si="1"/>
        <v>621.07500000000005</v>
      </c>
      <c r="G13" s="18">
        <f>VLOOKUP(B13,TypeIDs!C:D,2,FALSE)</f>
        <v>0.01</v>
      </c>
      <c r="I13" s="15">
        <f>IF(H13="",AverageVolume!A180,H13)</f>
        <v>685.78819444444446</v>
      </c>
      <c r="J13" s="17">
        <f t="shared" si="4"/>
        <v>2125.8673924305558</v>
      </c>
      <c r="K13" s="20">
        <f t="shared" si="5"/>
        <v>4800.5173611111113</v>
      </c>
      <c r="L13" s="19">
        <f t="shared" si="2"/>
        <v>48.005173611111111</v>
      </c>
      <c r="M13" s="8">
        <f t="shared" si="8"/>
        <v>1.1706935578255135</v>
      </c>
      <c r="N13" s="9">
        <f t="shared" si="9"/>
        <v>2546764.9498217017</v>
      </c>
      <c r="O13" s="10">
        <f t="shared" si="6"/>
        <v>434716.37023038196</v>
      </c>
      <c r="P13" s="11">
        <f t="shared" si="7"/>
        <v>9055.6149999999998</v>
      </c>
      <c r="Q13" s="23">
        <f t="shared" si="3"/>
        <v>2981481.3200520836</v>
      </c>
      <c r="R13" s="3" t="e">
        <f>VLOOKUP(B13,Buylist!B:B,1,FALSE)</f>
        <v>#N/A</v>
      </c>
      <c r="S13" s="3" t="e">
        <f>VLOOKUP(B13,Buylist!B:O,13,FALSE)</f>
        <v>#N/A</v>
      </c>
      <c r="T13" s="78">
        <v>12</v>
      </c>
      <c r="BE13" s="3"/>
      <c r="BF13" s="3" t="s">
        <v>13</v>
      </c>
      <c r="BG13" s="3" t="s">
        <v>27</v>
      </c>
    </row>
    <row r="14" spans="1:61">
      <c r="A14" s="27" t="s">
        <v>27328</v>
      </c>
      <c r="B14" s="63">
        <f>VLOOKUP(A14,TypeIDs!B:C,2,FALSE)</f>
        <v>42831</v>
      </c>
      <c r="C14" s="36">
        <v>237.9</v>
      </c>
      <c r="D14" s="36">
        <f t="shared" si="0"/>
        <v>257.48654999999997</v>
      </c>
      <c r="E14" s="35">
        <f>INDEX(MARKET_INPUT[Column1.price],MATCH(B14,MARKET_INPUT[Column1.type_id]))</f>
        <v>1200</v>
      </c>
      <c r="F14" s="35">
        <f t="shared" si="1"/>
        <v>1146.5999999999999</v>
      </c>
      <c r="G14" s="18">
        <f>VLOOKUP(B14,TypeIDs!C:D,2,FALSE)</f>
        <v>0.01</v>
      </c>
      <c r="I14" s="15">
        <f>IF(H14="",AverageVolume!A195,H14)</f>
        <v>3804.2874999999999</v>
      </c>
      <c r="J14" s="17">
        <f t="shared" si="4"/>
        <v>11593.890499249999</v>
      </c>
      <c r="K14" s="20">
        <f t="shared" si="5"/>
        <v>26630.012500000001</v>
      </c>
      <c r="L14" s="19">
        <f t="shared" si="2"/>
        <v>266.30012500000004</v>
      </c>
      <c r="M14" s="8">
        <f t="shared" si="8"/>
        <v>4.4530481300867955</v>
      </c>
      <c r="N14" s="9">
        <f t="shared" si="9"/>
        <v>6856870.0450818744</v>
      </c>
      <c r="O14" s="10">
        <f t="shared" si="6"/>
        <v>23677102.287418123</v>
      </c>
      <c r="P14" s="11">
        <f>(F14-D14)/G14</f>
        <v>88911.344999999987</v>
      </c>
      <c r="Q14" s="23">
        <f t="shared" si="3"/>
        <v>30533972.332499996</v>
      </c>
      <c r="R14" s="3">
        <f>VLOOKUP(B14,Buylist!B:B,1,FALSE)</f>
        <v>42831</v>
      </c>
      <c r="S14" s="3">
        <f>VLOOKUP(B14,Buylist!B:O,13,FALSE)</f>
        <v>0</v>
      </c>
      <c r="T14" s="78">
        <v>13</v>
      </c>
      <c r="BE14" s="3"/>
      <c r="BF14" s="3" t="s">
        <v>14</v>
      </c>
      <c r="BG14" s="3" t="s">
        <v>28</v>
      </c>
    </row>
    <row r="15" spans="1:61">
      <c r="A15" s="27" t="s">
        <v>27326</v>
      </c>
      <c r="B15" s="63">
        <f>VLOOKUP(A15,TypeIDs!B:C,2,FALSE)</f>
        <v>42829</v>
      </c>
      <c r="C15" s="36">
        <v>353.4</v>
      </c>
      <c r="D15" s="36">
        <f t="shared" si="0"/>
        <v>378.12629999999996</v>
      </c>
      <c r="E15" s="35">
        <f>INDEX(MARKET_INPUT[Column1.price],MATCH(B15,MARKET_INPUT[Column1.type_id]))</f>
        <v>270</v>
      </c>
      <c r="F15" s="35">
        <f t="shared" si="1"/>
        <v>257.98500000000001</v>
      </c>
      <c r="G15" s="18">
        <f>VLOOKUP(B15,TypeIDs!C:D,2,FALSE)</f>
        <v>0.01</v>
      </c>
      <c r="I15" s="15">
        <f>IF(H15="",AverageVolume!A210,H15)</f>
        <v>10964.2125</v>
      </c>
      <c r="J15" s="17">
        <f t="shared" si="4"/>
        <v>33667.608039499995</v>
      </c>
      <c r="K15" s="20">
        <f t="shared" si="5"/>
        <v>76749.487500000003</v>
      </c>
      <c r="L15" s="19">
        <f t="shared" si="2"/>
        <v>767.49487499999998</v>
      </c>
      <c r="M15" s="8">
        <f t="shared" si="8"/>
        <v>0.68227203450275753</v>
      </c>
      <c r="N15" s="9">
        <f t="shared" si="9"/>
        <v>29020999.735271249</v>
      </c>
      <c r="O15" s="10">
        <f t="shared" si="6"/>
        <v>-9220783.202583747</v>
      </c>
      <c r="P15" s="11">
        <f t="shared" si="7"/>
        <v>-12014.129999999994</v>
      </c>
      <c r="Q15" s="23">
        <f t="shared" si="3"/>
        <v>19800216.5326875</v>
      </c>
      <c r="R15" s="3" t="e">
        <f>VLOOKUP(B15,Buylist!B:B,1,FALSE)</f>
        <v>#N/A</v>
      </c>
      <c r="S15" s="3" t="e">
        <f>VLOOKUP(B15,Buylist!B:O,13,FALSE)</f>
        <v>#N/A</v>
      </c>
      <c r="T15" s="78">
        <v>14</v>
      </c>
      <c r="BE15" s="3"/>
      <c r="BF15" s="3" t="s">
        <v>15</v>
      </c>
      <c r="BG15" s="3" t="s">
        <v>29</v>
      </c>
    </row>
    <row r="16" spans="1:61">
      <c r="A16" s="27" t="s">
        <v>27327</v>
      </c>
      <c r="B16" s="63">
        <f>VLOOKUP(A16,TypeIDs!B:C,2,FALSE)</f>
        <v>42830</v>
      </c>
      <c r="C16" s="36">
        <v>222.3</v>
      </c>
      <c r="D16" s="36">
        <f t="shared" si="0"/>
        <v>241.19235</v>
      </c>
      <c r="E16" s="35">
        <f>INDEX(MARKET_INPUT[Column1.price],MATCH(B16,MARKET_INPUT[Column1.type_id]))</f>
        <v>299.89999999999998</v>
      </c>
      <c r="F16" s="35">
        <f t="shared" si="1"/>
        <v>286.55444999999997</v>
      </c>
      <c r="G16" s="18">
        <f>VLOOKUP(B16,TypeIDs!C:D,2,FALSE)</f>
        <v>0.01</v>
      </c>
      <c r="I16" s="15">
        <f>IF(H16="",AverageVolume!A225,H16)</f>
        <v>11291.091666666667</v>
      </c>
      <c r="J16" s="17">
        <f t="shared" si="4"/>
        <v>34375.296935500002</v>
      </c>
      <c r="K16" s="20">
        <f t="shared" si="5"/>
        <v>79037.641666666663</v>
      </c>
      <c r="L16" s="19">
        <f t="shared" si="2"/>
        <v>790.37641666666673</v>
      </c>
      <c r="M16" s="8">
        <f t="shared" si="8"/>
        <v>1.1880743730056114</v>
      </c>
      <c r="N16" s="9">
        <f t="shared" si="9"/>
        <v>19063274.532041248</v>
      </c>
      <c r="O16" s="10">
        <f t="shared" si="6"/>
        <v>3585313.4050474972</v>
      </c>
      <c r="P16" s="11">
        <f t="shared" si="7"/>
        <v>4536.2099999999973</v>
      </c>
      <c r="Q16" s="23">
        <f t="shared" si="3"/>
        <v>22648587.937088747</v>
      </c>
      <c r="R16" s="3" t="e">
        <f>VLOOKUP(B16,Buylist!B:B,1,FALSE)</f>
        <v>#N/A</v>
      </c>
      <c r="S16" s="3" t="e">
        <f>VLOOKUP(B16,Buylist!B:O,13,FALSE)</f>
        <v>#N/A</v>
      </c>
      <c r="T16" s="78">
        <v>15</v>
      </c>
      <c r="BE16" s="3"/>
      <c r="BF16" s="3"/>
      <c r="BG16" s="3"/>
    </row>
    <row r="17" spans="1:59">
      <c r="A17" s="27" t="s">
        <v>27206</v>
      </c>
      <c r="B17" s="63">
        <f>VLOOKUP(A17,TypeIDs!B:C,2,FALSE)</f>
        <v>42694</v>
      </c>
      <c r="C17" s="36">
        <v>393.9</v>
      </c>
      <c r="D17" s="36">
        <f t="shared" si="0"/>
        <v>420.42854999999997</v>
      </c>
      <c r="E17" s="35">
        <f>INDEX(MARKET_INPUT[Column1.price],MATCH(B17,MARKET_INPUT[Column1.type_id]))</f>
        <v>2950</v>
      </c>
      <c r="F17" s="35">
        <f t="shared" si="1"/>
        <v>2818.7249999999999</v>
      </c>
      <c r="G17" s="18">
        <f>VLOOKUP(B17,TypeIDs!C:D,2,FALSE)</f>
        <v>0.01</v>
      </c>
      <c r="I17" s="15">
        <f>IF(H17="",AverageVolume!A240,H17)</f>
        <v>842.5916666666667</v>
      </c>
      <c r="J17" s="17">
        <f t="shared" si="4"/>
        <v>2594.1743715000002</v>
      </c>
      <c r="K17" s="20">
        <f t="shared" si="5"/>
        <v>5898.1416666666664</v>
      </c>
      <c r="L17" s="19">
        <f t="shared" si="2"/>
        <v>58.981416666666675</v>
      </c>
      <c r="M17" s="8">
        <f t="shared" si="8"/>
        <v>6.7044091082777326</v>
      </c>
      <c r="N17" s="9">
        <f t="shared" si="9"/>
        <v>2479747.1486112499</v>
      </c>
      <c r="O17" s="10">
        <f t="shared" si="6"/>
        <v>14145492.220763749</v>
      </c>
      <c r="P17" s="11">
        <f t="shared" si="7"/>
        <v>239829.64499999999</v>
      </c>
      <c r="Q17" s="23">
        <f t="shared" si="3"/>
        <v>16625239.369374998</v>
      </c>
      <c r="R17" s="3">
        <f>VLOOKUP(B17,Buylist!B:B,1,FALSE)</f>
        <v>42694</v>
      </c>
      <c r="S17" s="3">
        <f>VLOOKUP(B17,Buylist!B:O,13,FALSE)</f>
        <v>0</v>
      </c>
      <c r="T17" s="78">
        <v>16</v>
      </c>
      <c r="BE17" s="3" t="s">
        <v>16</v>
      </c>
      <c r="BF17" s="3"/>
      <c r="BG17" s="3"/>
    </row>
    <row r="18" spans="1:59">
      <c r="A18" s="27" t="s">
        <v>27208</v>
      </c>
      <c r="B18" s="63">
        <f>VLOOKUP(A18,TypeIDs!B:C,2,FALSE)</f>
        <v>42696</v>
      </c>
      <c r="C18" s="36">
        <v>398.9</v>
      </c>
      <c r="D18" s="36">
        <f t="shared" si="0"/>
        <v>425.65105</v>
      </c>
      <c r="E18" s="35">
        <f>INDEX(MARKET_INPUT[Column1.price],MATCH(B18,MARKET_INPUT[Column1.type_id]))</f>
        <v>2365</v>
      </c>
      <c r="F18" s="35">
        <f t="shared" si="1"/>
        <v>2259.7575000000002</v>
      </c>
      <c r="G18" s="18">
        <f>VLOOKUP(B18,TypeIDs!C:D,2,FALSE)</f>
        <v>0.01</v>
      </c>
      <c r="I18" s="15">
        <f>IF(H18="",AverageVolume!A255,H18)</f>
        <v>2291.416666666667</v>
      </c>
      <c r="J18" s="17">
        <f t="shared" si="4"/>
        <v>7057.0792216666678</v>
      </c>
      <c r="K18" s="20">
        <f t="shared" si="5"/>
        <v>16039.916666666668</v>
      </c>
      <c r="L18" s="19">
        <f t="shared" si="2"/>
        <v>160.3991666666667</v>
      </c>
      <c r="M18" s="8">
        <f t="shared" si="8"/>
        <v>5.3089437932785559</v>
      </c>
      <c r="N18" s="9">
        <f t="shared" si="9"/>
        <v>6827407.3710791674</v>
      </c>
      <c r="O18" s="10">
        <f t="shared" si="6"/>
        <v>29418914.61579584</v>
      </c>
      <c r="P18" s="11">
        <f t="shared" si="7"/>
        <v>183410.64500000002</v>
      </c>
      <c r="Q18" s="23">
        <f t="shared" si="3"/>
        <v>36246321.986875005</v>
      </c>
      <c r="R18" s="3">
        <f>VLOOKUP(B18,Buylist!B:B,1,FALSE)</f>
        <v>42696</v>
      </c>
      <c r="S18" s="3">
        <f>VLOOKUP(B18,Buylist!B:O,13,FALSE)</f>
        <v>0</v>
      </c>
      <c r="T18" s="78">
        <v>17</v>
      </c>
      <c r="BE18" s="3"/>
      <c r="BF18" s="3" t="s">
        <v>9</v>
      </c>
      <c r="BG18" s="3" t="s">
        <v>30</v>
      </c>
    </row>
    <row r="19" spans="1:59">
      <c r="A19" s="27" t="s">
        <v>27207</v>
      </c>
      <c r="B19" s="63">
        <f>VLOOKUP(A19,TypeIDs!B:C,2,FALSE)</f>
        <v>42695</v>
      </c>
      <c r="C19" s="36">
        <v>462.7</v>
      </c>
      <c r="D19" s="36">
        <f t="shared" si="0"/>
        <v>492.29014999999998</v>
      </c>
      <c r="E19" s="35">
        <f>INDEX(MARKET_INPUT[Column1.price],MATCH(B19,MARKET_INPUT[Column1.type_id]))</f>
        <v>1499</v>
      </c>
      <c r="F19" s="35">
        <f t="shared" si="1"/>
        <v>1432.2945</v>
      </c>
      <c r="G19" s="18">
        <f>VLOOKUP(B19,TypeIDs!C:D,2,FALSE)</f>
        <v>0.01</v>
      </c>
      <c r="I19" s="15">
        <f>IF(H19="",AverageVolume!A270,H19)</f>
        <v>3997.645833333333</v>
      </c>
      <c r="J19" s="17">
        <f t="shared" si="4"/>
        <v>12362.899645416666</v>
      </c>
      <c r="K19" s="20">
        <f t="shared" si="5"/>
        <v>27983.520833333332</v>
      </c>
      <c r="L19" s="19">
        <f t="shared" si="2"/>
        <v>279.83520833333336</v>
      </c>
      <c r="M19" s="8">
        <f t="shared" si="8"/>
        <v>2.9094518750781426</v>
      </c>
      <c r="N19" s="9">
        <f t="shared" si="9"/>
        <v>13776011.66856979</v>
      </c>
      <c r="O19" s="10">
        <f t="shared" si="6"/>
        <v>26304631.311648954</v>
      </c>
      <c r="P19" s="11">
        <f t="shared" si="7"/>
        <v>94000.434999999998</v>
      </c>
      <c r="Q19" s="23">
        <f t="shared" si="3"/>
        <v>40080642.980218746</v>
      </c>
      <c r="R19" s="3">
        <f>VLOOKUP(B19,Buylist!B:B,1,FALSE)</f>
        <v>42695</v>
      </c>
      <c r="S19" s="3">
        <f>VLOOKUP(B19,Buylist!B:O,13,FALSE)</f>
        <v>0</v>
      </c>
      <c r="T19" s="78">
        <v>18</v>
      </c>
      <c r="BE19" s="3"/>
      <c r="BF19" s="3" t="s">
        <v>10</v>
      </c>
      <c r="BG19" s="3" t="s">
        <v>31</v>
      </c>
    </row>
    <row r="20" spans="1:59">
      <c r="A20" s="27" t="s">
        <v>27335</v>
      </c>
      <c r="B20" s="63">
        <f>VLOOKUP(A20,TypeIDs!B:C,2,FALSE)</f>
        <v>42838</v>
      </c>
      <c r="C20" s="36">
        <v>547.79999999999995</v>
      </c>
      <c r="D20" s="36">
        <f t="shared" si="0"/>
        <v>581.1771</v>
      </c>
      <c r="E20" s="35">
        <f>INDEX(MARKET_INPUT[Column1.price],MATCH(B20,MARKET_INPUT[Column1.type_id]))</f>
        <v>777</v>
      </c>
      <c r="F20" s="35">
        <f t="shared" si="1"/>
        <v>742.42349999999999</v>
      </c>
      <c r="G20" s="18">
        <f>VLOOKUP(B20,TypeIDs!C:D,2,FALSE)</f>
        <v>0.01</v>
      </c>
      <c r="I20" s="15">
        <f>IF(H20="",AverageVolume!A285,H20)</f>
        <v>2628.666666666667</v>
      </c>
      <c r="J20" s="17">
        <f t="shared" si="4"/>
        <v>8174.0167200000005</v>
      </c>
      <c r="K20" s="20">
        <f t="shared" si="5"/>
        <v>18400.666666666668</v>
      </c>
      <c r="L20" s="19">
        <f t="shared" si="2"/>
        <v>184.00666666666669</v>
      </c>
      <c r="M20" s="8">
        <f t="shared" si="8"/>
        <v>1.2774479586342957</v>
      </c>
      <c r="N20" s="9">
        <f t="shared" si="9"/>
        <v>10694046.091400001</v>
      </c>
      <c r="O20" s="10">
        <f t="shared" si="6"/>
        <v>2967041.2576000001</v>
      </c>
      <c r="P20" s="11">
        <f t="shared" si="7"/>
        <v>16124.64</v>
      </c>
      <c r="Q20" s="23">
        <f t="shared" si="3"/>
        <v>13661087.349000001</v>
      </c>
      <c r="R20" s="3" t="e">
        <f>VLOOKUP(B20,Buylist!B:B,1,FALSE)</f>
        <v>#N/A</v>
      </c>
      <c r="S20" s="3" t="e">
        <f>VLOOKUP(B20,Buylist!B:O,13,FALSE)</f>
        <v>#N/A</v>
      </c>
      <c r="T20" s="78">
        <v>19</v>
      </c>
      <c r="BE20" s="3"/>
      <c r="BF20" s="3" t="s">
        <v>11</v>
      </c>
      <c r="BG20" s="3" t="s">
        <v>32</v>
      </c>
    </row>
    <row r="21" spans="1:59">
      <c r="A21" s="27" t="s">
        <v>27336</v>
      </c>
      <c r="B21" s="63">
        <f>VLOOKUP(A21,TypeIDs!B:C,2,FALSE)</f>
        <v>42839</v>
      </c>
      <c r="C21" s="36">
        <v>480</v>
      </c>
      <c r="D21" s="36">
        <f t="shared" si="0"/>
        <v>510.36</v>
      </c>
      <c r="E21" s="35">
        <f>INDEX(MARKET_INPUT[Column1.price],MATCH(B21,MARKET_INPUT[Column1.type_id]))</f>
        <v>700</v>
      </c>
      <c r="F21" s="35">
        <f t="shared" si="1"/>
        <v>668.85</v>
      </c>
      <c r="G21" s="18">
        <f>VLOOKUP(B21,TypeIDs!C:D,2,FALSE)</f>
        <v>0.01</v>
      </c>
      <c r="I21" s="15">
        <f>IF(H21="",AverageVolume!A300,H21)</f>
        <v>692.92499999999995</v>
      </c>
      <c r="J21" s="17">
        <f t="shared" si="4"/>
        <v>2145.3157999999994</v>
      </c>
      <c r="K21" s="20">
        <f t="shared" si="5"/>
        <v>4850.4749999999995</v>
      </c>
      <c r="L21" s="19">
        <f t="shared" si="2"/>
        <v>48.504750000000001</v>
      </c>
      <c r="M21" s="8">
        <f t="shared" si="8"/>
        <v>1.3105454972960264</v>
      </c>
      <c r="N21" s="9">
        <f t="shared" si="9"/>
        <v>2475488.4209999996</v>
      </c>
      <c r="O21" s="10">
        <f t="shared" si="6"/>
        <v>768751.78275000001</v>
      </c>
      <c r="P21" s="11">
        <f t="shared" si="7"/>
        <v>15849</v>
      </c>
      <c r="Q21" s="23">
        <f t="shared" si="3"/>
        <v>3244240.2037499994</v>
      </c>
      <c r="R21" s="3" t="e">
        <f>VLOOKUP(B21,Buylist!B:B,1,FALSE)</f>
        <v>#N/A</v>
      </c>
      <c r="S21" s="3" t="e">
        <f>VLOOKUP(B21,Buylist!B:O,13,FALSE)</f>
        <v>#N/A</v>
      </c>
      <c r="T21" s="78">
        <v>20</v>
      </c>
      <c r="BE21" s="3"/>
      <c r="BF21" s="3" t="s">
        <v>12</v>
      </c>
      <c r="BG21" s="3" t="s">
        <v>33</v>
      </c>
    </row>
    <row r="22" spans="1:59">
      <c r="A22" s="42" t="s">
        <v>27337</v>
      </c>
      <c r="B22" s="63">
        <f>VLOOKUP(A22,TypeIDs!B:C,2,FALSE)</f>
        <v>42840</v>
      </c>
      <c r="C22" s="36">
        <v>450</v>
      </c>
      <c r="D22" s="36">
        <f t="shared" si="0"/>
        <v>479.02499999999998</v>
      </c>
      <c r="E22" s="35">
        <f>INDEX(MARKET_INPUT[Column1.price],MATCH(B22,MARKET_INPUT[Column1.type_id]))</f>
        <v>649.70000000000005</v>
      </c>
      <c r="F22" s="35">
        <f t="shared" si="1"/>
        <v>620.78835000000004</v>
      </c>
      <c r="G22" s="18">
        <f>VLOOKUP(B22,TypeIDs!C:D,2,FALSE)</f>
        <v>0.01</v>
      </c>
      <c r="I22" s="15">
        <f>IF(H22="",AverageVolume!A315,H22)</f>
        <v>971.2833333333333</v>
      </c>
      <c r="J22" s="17">
        <f t="shared" si="4"/>
        <v>3001.2855</v>
      </c>
      <c r="K22" s="20">
        <f t="shared" si="5"/>
        <v>6798.9833333333336</v>
      </c>
      <c r="L22" s="19">
        <f t="shared" si="2"/>
        <v>67.989833333333337</v>
      </c>
      <c r="M22" s="8">
        <f t="shared" si="8"/>
        <v>1.2959414435572258</v>
      </c>
      <c r="N22" s="9">
        <f t="shared" si="9"/>
        <v>3256882.99125</v>
      </c>
      <c r="O22" s="10">
        <f t="shared" si="6"/>
        <v>963846.65392750048</v>
      </c>
      <c r="P22" s="11">
        <f t="shared" si="7"/>
        <v>14176.335000000006</v>
      </c>
      <c r="Q22" s="23">
        <f t="shared" si="3"/>
        <v>4220729.6451775003</v>
      </c>
      <c r="R22" s="3" t="e">
        <f>VLOOKUP(B22,Buylist!B:B,1,FALSE)</f>
        <v>#N/A</v>
      </c>
      <c r="S22" s="3" t="e">
        <f>VLOOKUP(B22,Buylist!B:O,13,FALSE)</f>
        <v>#N/A</v>
      </c>
      <c r="T22" s="78">
        <v>21</v>
      </c>
      <c r="BE22" s="3"/>
      <c r="BF22" s="3" t="s">
        <v>13</v>
      </c>
      <c r="BG22" s="3" t="s">
        <v>34</v>
      </c>
    </row>
    <row r="23" spans="1:59">
      <c r="A23" s="13" t="s">
        <v>31426</v>
      </c>
      <c r="B23" s="63">
        <f>VLOOKUP(A23,TypeIDs!B:C,2,FALSE)</f>
        <v>47931</v>
      </c>
      <c r="C23" s="36">
        <v>1431</v>
      </c>
      <c r="D23" s="36">
        <f t="shared" si="0"/>
        <v>1503.6795</v>
      </c>
      <c r="E23" s="35">
        <f>INDEX(MARKET_INPUT[Column1.price],MATCH(B23,MARKET_INPUT[Column1.type_id]))</f>
        <v>3798</v>
      </c>
      <c r="F23" s="35">
        <f t="shared" si="1"/>
        <v>3628.989</v>
      </c>
      <c r="G23" s="18">
        <f>VLOOKUP(B23,TypeIDs!C:D,2,FALSE)</f>
        <v>0.01</v>
      </c>
      <c r="H23" s="13">
        <v>70</v>
      </c>
      <c r="I23" s="15">
        <f>IF(H23="",AverageVolume!A330,H23)</f>
        <v>70</v>
      </c>
      <c r="J23" s="17">
        <f t="shared" si="4"/>
        <v>230.054</v>
      </c>
      <c r="K23" s="20">
        <f t="shared" si="5"/>
        <v>490</v>
      </c>
      <c r="L23" s="19">
        <f t="shared" si="2"/>
        <v>4.9000000000000004</v>
      </c>
      <c r="M23" s="8">
        <f t="shared" si="8"/>
        <v>2.4134059152897942</v>
      </c>
      <c r="N23" s="9">
        <f t="shared" si="9"/>
        <v>736802.95499999996</v>
      </c>
      <c r="O23" s="10">
        <f t="shared" si="6"/>
        <v>1041401.6550000001</v>
      </c>
      <c r="P23" s="11">
        <f t="shared" si="7"/>
        <v>212530.95</v>
      </c>
      <c r="Q23" s="23">
        <f t="shared" si="3"/>
        <v>1778204.61</v>
      </c>
      <c r="R23" s="3">
        <f>VLOOKUP(B23,Buylist!B:B,1,FALSE)</f>
        <v>47931</v>
      </c>
      <c r="S23" s="3">
        <f>VLOOKUP(B23,Buylist!B:O,13,FALSE)</f>
        <v>0</v>
      </c>
      <c r="T23" s="78">
        <v>22</v>
      </c>
      <c r="BE23" s="3"/>
      <c r="BF23" s="3" t="s">
        <v>14</v>
      </c>
      <c r="BG23" s="3" t="s">
        <v>35</v>
      </c>
    </row>
    <row r="24" spans="1:59">
      <c r="A24" s="13" t="s">
        <v>31425</v>
      </c>
      <c r="B24" s="63">
        <f>VLOOKUP(A24,TypeIDs!B:C,2,FALSE)</f>
        <v>47930</v>
      </c>
      <c r="C24" s="36">
        <v>1496</v>
      </c>
      <c r="D24" s="36">
        <f t="shared" si="0"/>
        <v>1571.5720000000001</v>
      </c>
      <c r="E24" s="35">
        <f>INDEX(MARKET_INPUT[Column1.price],MATCH(B24,MARKET_INPUT[Column1.type_id]))</f>
        <v>2485</v>
      </c>
      <c r="F24" s="35">
        <f t="shared" si="1"/>
        <v>2374.4175</v>
      </c>
      <c r="G24" s="18">
        <f>VLOOKUP(B24,TypeIDs!C:D,2,FALSE)</f>
        <v>0.01</v>
      </c>
      <c r="H24" s="13">
        <v>600</v>
      </c>
      <c r="I24" s="15">
        <f>IF(H24="",AverageVolume!A345,H24)</f>
        <v>600</v>
      </c>
      <c r="J24" s="17">
        <f t="shared" si="4"/>
        <v>1979.54</v>
      </c>
      <c r="K24" s="20">
        <f t="shared" si="5"/>
        <v>4200</v>
      </c>
      <c r="L24" s="19">
        <f t="shared" si="2"/>
        <v>42</v>
      </c>
      <c r="M24" s="8">
        <f t="shared" si="8"/>
        <v>1.5108550546840998</v>
      </c>
      <c r="N24" s="9">
        <f t="shared" si="9"/>
        <v>6600602.4000000004</v>
      </c>
      <c r="O24" s="10">
        <f t="shared" si="6"/>
        <v>3371951.0999999996</v>
      </c>
      <c r="P24" s="11">
        <f t="shared" si="7"/>
        <v>80284.549999999988</v>
      </c>
      <c r="Q24" s="23">
        <f t="shared" si="3"/>
        <v>9972553.5</v>
      </c>
      <c r="R24" s="3" t="e">
        <f>VLOOKUP(B24,Buylist!B:B,1,FALSE)</f>
        <v>#N/A</v>
      </c>
      <c r="S24" s="3" t="e">
        <f>VLOOKUP(B24,Buylist!B:O,13,FALSE)</f>
        <v>#N/A</v>
      </c>
      <c r="T24" s="78">
        <v>23</v>
      </c>
      <c r="BE24" s="3"/>
      <c r="BF24" s="3" t="s">
        <v>15</v>
      </c>
      <c r="BG24" s="3" t="s">
        <v>36</v>
      </c>
    </row>
    <row r="25" spans="1:59">
      <c r="A25" s="13" t="s">
        <v>31422</v>
      </c>
      <c r="B25" s="63">
        <f>VLOOKUP(A25,TypeIDs!B:C,2,FALSE)</f>
        <v>47927</v>
      </c>
      <c r="C25" s="36">
        <v>816.1</v>
      </c>
      <c r="D25" s="36">
        <f t="shared" si="0"/>
        <v>861.41645000000005</v>
      </c>
      <c r="E25" s="35">
        <f>INDEX(MARKET_INPUT[Column1.price],MATCH(B25,MARKET_INPUT[Column1.type_id]))</f>
        <v>1000</v>
      </c>
      <c r="F25" s="35">
        <f t="shared" si="1"/>
        <v>955.5</v>
      </c>
      <c r="G25" s="18">
        <f>VLOOKUP(B25,TypeIDs!C:D,2,FALSE)</f>
        <v>0.01</v>
      </c>
      <c r="H25" s="13">
        <v>400</v>
      </c>
      <c r="I25" s="15">
        <f>IF(H25="",AverageVolume!A360,H25)</f>
        <v>400</v>
      </c>
      <c r="J25" s="17">
        <f t="shared" si="4"/>
        <v>1265.308</v>
      </c>
      <c r="K25" s="20">
        <f t="shared" si="5"/>
        <v>2800</v>
      </c>
      <c r="L25" s="19">
        <f t="shared" si="2"/>
        <v>28</v>
      </c>
      <c r="M25" s="8">
        <f t="shared" si="8"/>
        <v>1.1092195882723159</v>
      </c>
      <c r="N25" s="9">
        <f t="shared" si="9"/>
        <v>2411966.06</v>
      </c>
      <c r="O25" s="10">
        <f t="shared" si="6"/>
        <v>263433.93999999983</v>
      </c>
      <c r="P25" s="11">
        <f t="shared" si="7"/>
        <v>9408.3549999999941</v>
      </c>
      <c r="Q25" s="23">
        <f t="shared" si="3"/>
        <v>2675400</v>
      </c>
      <c r="R25" s="3" t="e">
        <f>VLOOKUP(B25,Buylist!B:B,1,FALSE)</f>
        <v>#N/A</v>
      </c>
      <c r="S25" s="3" t="e">
        <f>VLOOKUP(B25,Buylist!B:O,13,FALSE)</f>
        <v>#N/A</v>
      </c>
      <c r="T25" s="78">
        <v>24</v>
      </c>
      <c r="BE25" s="3"/>
      <c r="BF25" s="3"/>
      <c r="BG25" s="3"/>
    </row>
    <row r="26" spans="1:59">
      <c r="A26" s="13" t="s">
        <v>31421</v>
      </c>
      <c r="B26" s="63">
        <f>VLOOKUP(A26,TypeIDs!B:C,2,FALSE)</f>
        <v>47926</v>
      </c>
      <c r="C26" s="36">
        <v>880.5</v>
      </c>
      <c r="D26" s="36">
        <f t="shared" si="0"/>
        <v>928.68224999999995</v>
      </c>
      <c r="E26" s="35">
        <f>INDEX(MARKET_INPUT[Column1.price],MATCH(B26,MARKET_INPUT[Column1.type_id]))</f>
        <v>696.9</v>
      </c>
      <c r="F26" s="35">
        <f t="shared" si="1"/>
        <v>665.88794999999993</v>
      </c>
      <c r="G26" s="18">
        <f>VLOOKUP(B26,TypeIDs!C:D,2,FALSE)</f>
        <v>0.01</v>
      </c>
      <c r="H26" s="13">
        <v>300</v>
      </c>
      <c r="I26" s="15">
        <f>IF(H26="",AverageVolume!A375,H26)</f>
        <v>300</v>
      </c>
      <c r="J26" s="17">
        <f t="shared" si="4"/>
        <v>952.85</v>
      </c>
      <c r="K26" s="20">
        <f t="shared" si="5"/>
        <v>2100</v>
      </c>
      <c r="L26" s="19">
        <f t="shared" si="2"/>
        <v>21</v>
      </c>
      <c r="M26" s="8">
        <f t="shared" si="8"/>
        <v>0.71702452588062271</v>
      </c>
      <c r="N26" s="9">
        <f t="shared" si="9"/>
        <v>1950232.7249999999</v>
      </c>
      <c r="O26" s="10">
        <f t="shared" si="6"/>
        <v>-551868.03</v>
      </c>
      <c r="P26" s="11">
        <f t="shared" si="7"/>
        <v>-26279.43</v>
      </c>
      <c r="Q26" s="23">
        <f t="shared" si="3"/>
        <v>1398364.6949999998</v>
      </c>
      <c r="R26" s="3" t="e">
        <f>VLOOKUP(B26,Buylist!B:B,1,FALSE)</f>
        <v>#N/A</v>
      </c>
      <c r="S26" s="3" t="e">
        <f>VLOOKUP(B26,Buylist!B:O,13,FALSE)</f>
        <v>#N/A</v>
      </c>
      <c r="T26" s="78">
        <v>25</v>
      </c>
      <c r="BE26" s="3" t="s">
        <v>17</v>
      </c>
      <c r="BF26" s="3"/>
      <c r="BG26" s="3"/>
    </row>
    <row r="27" spans="1:59">
      <c r="A27" s="13" t="s">
        <v>4989</v>
      </c>
      <c r="B27" s="63">
        <f>VLOOKUP(A27,TypeIDs!B:C,2,FALSE)</f>
        <v>12557</v>
      </c>
      <c r="C27" s="36">
        <v>99230</v>
      </c>
      <c r="D27" s="36">
        <f t="shared" si="0"/>
        <v>104545.735</v>
      </c>
      <c r="E27" s="35">
        <f>INDEX(MARKET_INPUT[Column1.price],MATCH(B27,MARKET_INPUT[Column1.type_id]))</f>
        <v>475000</v>
      </c>
      <c r="F27" s="35">
        <f t="shared" si="1"/>
        <v>453862.5</v>
      </c>
      <c r="G27" s="18">
        <f>VLOOKUP(B27,TypeIDs!C:D,2,FALSE)</f>
        <v>1</v>
      </c>
      <c r="I27" s="15">
        <f>IF(H27="",AverageVolume!A390,H27)</f>
        <v>13.379166666666666</v>
      </c>
      <c r="J27" s="17">
        <f t="shared" si="4"/>
        <v>307.66044166666666</v>
      </c>
      <c r="K27" s="20">
        <f t="shared" si="5"/>
        <v>93.654166666666669</v>
      </c>
      <c r="L27" s="19">
        <f t="shared" si="2"/>
        <v>93.654166666666669</v>
      </c>
      <c r="M27" s="8">
        <f t="shared" si="8"/>
        <v>4.341281832300476</v>
      </c>
      <c r="N27" s="9">
        <f t="shared" si="9"/>
        <v>9791143.6899791677</v>
      </c>
      <c r="O27" s="10">
        <f t="shared" si="6"/>
        <v>32714970.528770834</v>
      </c>
      <c r="P27" s="11">
        <f t="shared" si="7"/>
        <v>349316.76500000001</v>
      </c>
      <c r="Q27" s="23">
        <f t="shared" si="3"/>
        <v>42506114.21875</v>
      </c>
      <c r="R27" s="3">
        <f>VLOOKUP(B27,Buylist!B:B,1,FALSE)</f>
        <v>12557</v>
      </c>
      <c r="S27" s="3">
        <f>VLOOKUP(B27,Buylist!B:O,13,FALSE)</f>
        <v>0</v>
      </c>
      <c r="T27" s="78">
        <v>26</v>
      </c>
      <c r="BE27" s="3"/>
      <c r="BF27" s="3" t="s">
        <v>9</v>
      </c>
      <c r="BG27" s="3" t="s">
        <v>37</v>
      </c>
    </row>
    <row r="28" spans="1:59">
      <c r="A28" s="13" t="s">
        <v>5110</v>
      </c>
      <c r="B28" s="63">
        <f>VLOOKUP(A28,TypeIDs!B:C,2,FALSE)</f>
        <v>12816</v>
      </c>
      <c r="C28" s="36">
        <v>538700</v>
      </c>
      <c r="D28" s="36">
        <f t="shared" si="0"/>
        <v>563572.15</v>
      </c>
      <c r="E28" s="35">
        <f>INDEX(MARKET_INPUT[Column1.price],MATCH(B28,MARKET_INPUT[Column1.type_id]))</f>
        <v>800000</v>
      </c>
      <c r="F28" s="35">
        <f t="shared" si="1"/>
        <v>764400</v>
      </c>
      <c r="G28" s="18">
        <f>VLOOKUP(B28,TypeIDs!C:D,2,FALSE)</f>
        <v>1</v>
      </c>
      <c r="I28" s="15">
        <f>IF(H28="",AverageVolume!A405,H28)</f>
        <v>68.649305555555557</v>
      </c>
      <c r="J28" s="17">
        <f t="shared" si="4"/>
        <v>7604.2240972222226</v>
      </c>
      <c r="K28" s="20">
        <f t="shared" si="5"/>
        <v>480.54513888888891</v>
      </c>
      <c r="L28" s="19">
        <f t="shared" si="2"/>
        <v>480.54513888888891</v>
      </c>
      <c r="M28" s="8">
        <f t="shared" si="8"/>
        <v>1.3563480736228715</v>
      </c>
      <c r="N28" s="9">
        <f t="shared" si="9"/>
        <v>270821857.09565973</v>
      </c>
      <c r="O28" s="10">
        <f t="shared" si="6"/>
        <v>96506847.071006939</v>
      </c>
      <c r="P28" s="11">
        <f t="shared" si="7"/>
        <v>200827.84999999998</v>
      </c>
      <c r="Q28" s="23">
        <f t="shared" si="3"/>
        <v>367328704.16666669</v>
      </c>
      <c r="R28" s="3" t="e">
        <f>VLOOKUP(B28,Buylist!B:B,1,FALSE)</f>
        <v>#N/A</v>
      </c>
      <c r="S28" s="3" t="e">
        <f>VLOOKUP(B28,Buylist!B:O,13,FALSE)</f>
        <v>#N/A</v>
      </c>
      <c r="T28" s="78">
        <v>27</v>
      </c>
      <c r="BE28" s="3"/>
      <c r="BF28" s="3" t="s">
        <v>10</v>
      </c>
      <c r="BG28" s="3" t="s">
        <v>38</v>
      </c>
    </row>
    <row r="29" spans="1:59">
      <c r="A29" s="13" t="s">
        <v>5114</v>
      </c>
      <c r="B29" s="63">
        <f>VLOOKUP(A29,TypeIDs!B:C,2,FALSE)</f>
        <v>12820</v>
      </c>
      <c r="C29" s="36">
        <v>581700</v>
      </c>
      <c r="D29" s="36">
        <f t="shared" si="0"/>
        <v>608485.65</v>
      </c>
      <c r="E29" s="35">
        <f>INDEX(MARKET_INPUT[Column1.price],MATCH(B29,MARKET_INPUT[Column1.type_id]))</f>
        <v>825000</v>
      </c>
      <c r="F29" s="35">
        <f t="shared" si="1"/>
        <v>788287.5</v>
      </c>
      <c r="G29" s="18">
        <f>VLOOKUP(B29,TypeIDs!C:D,2,FALSE)</f>
        <v>1</v>
      </c>
      <c r="I29" s="15">
        <f>IF(H29="",AverageVolume!A420,H29)</f>
        <v>35.246527777777779</v>
      </c>
      <c r="J29" s="17">
        <f t="shared" si="4"/>
        <v>4208.3206250000003</v>
      </c>
      <c r="K29" s="20">
        <f t="shared" si="5"/>
        <v>246.72569444444446</v>
      </c>
      <c r="L29" s="19">
        <f t="shared" si="2"/>
        <v>246.72569444444446</v>
      </c>
      <c r="M29" s="8">
        <f t="shared" si="8"/>
        <v>1.2954906989178792</v>
      </c>
      <c r="N29" s="9">
        <f t="shared" si="9"/>
        <v>150129044.55572918</v>
      </c>
      <c r="O29" s="10">
        <f t="shared" si="6"/>
        <v>44361736.303645827</v>
      </c>
      <c r="P29" s="11">
        <f t="shared" si="7"/>
        <v>179801.84999999998</v>
      </c>
      <c r="Q29" s="23">
        <f t="shared" si="3"/>
        <v>194490780.859375</v>
      </c>
      <c r="R29" s="3" t="e">
        <f>VLOOKUP(B29,Buylist!B:B,1,FALSE)</f>
        <v>#N/A</v>
      </c>
      <c r="S29" s="3" t="e">
        <f>VLOOKUP(B29,Buylist!B:O,13,FALSE)</f>
        <v>#N/A</v>
      </c>
      <c r="T29" s="78">
        <v>28</v>
      </c>
      <c r="BE29" s="3"/>
      <c r="BF29" s="3" t="s">
        <v>11</v>
      </c>
      <c r="BG29" s="3" t="s">
        <v>39</v>
      </c>
    </row>
    <row r="30" spans="1:59">
      <c r="A30" s="13" t="s">
        <v>5112</v>
      </c>
      <c r="B30" s="63">
        <f>VLOOKUP(A30,TypeIDs!B:C,2,FALSE)</f>
        <v>12818</v>
      </c>
      <c r="C30" s="36">
        <v>244000</v>
      </c>
      <c r="D30" s="36">
        <f t="shared" si="0"/>
        <v>255758</v>
      </c>
      <c r="E30" s="35">
        <f>INDEX(MARKET_INPUT[Column1.price],MATCH(B30,MARKET_INPUT[Column1.type_id]))</f>
        <v>451100</v>
      </c>
      <c r="F30" s="35">
        <f t="shared" si="1"/>
        <v>431026.05</v>
      </c>
      <c r="G30" s="18">
        <f>VLOOKUP(B30,TypeIDs!C:D,2,FALSE)</f>
        <v>1</v>
      </c>
      <c r="H30" s="13">
        <v>5</v>
      </c>
      <c r="I30" s="15">
        <f>IF(H30="",AverageVolume!A435,H30)</f>
        <v>5</v>
      </c>
      <c r="J30" s="17">
        <f t="shared" si="4"/>
        <v>261</v>
      </c>
      <c r="K30" s="20">
        <f t="shared" si="5"/>
        <v>35</v>
      </c>
      <c r="L30" s="19">
        <f t="shared" si="2"/>
        <v>35</v>
      </c>
      <c r="M30" s="8">
        <f t="shared" si="8"/>
        <v>1.6852886322226479</v>
      </c>
      <c r="N30" s="9">
        <f t="shared" si="9"/>
        <v>8951530</v>
      </c>
      <c r="O30" s="10">
        <f t="shared" si="6"/>
        <v>6134381.75</v>
      </c>
      <c r="P30" s="11">
        <f t="shared" si="7"/>
        <v>175268.05</v>
      </c>
      <c r="Q30" s="23">
        <f t="shared" si="3"/>
        <v>15085911.75</v>
      </c>
      <c r="R30" s="3" t="e">
        <f>VLOOKUP(B30,Buylist!B:B,1,FALSE)</f>
        <v>#N/A</v>
      </c>
      <c r="S30" s="3" t="e">
        <f>VLOOKUP(B30,Buylist!B:O,13,FALSE)</f>
        <v>#N/A</v>
      </c>
      <c r="T30" s="78">
        <v>29</v>
      </c>
      <c r="BE30" s="3"/>
      <c r="BF30" s="3" t="s">
        <v>12</v>
      </c>
      <c r="BG30" s="3" t="s">
        <v>40</v>
      </c>
    </row>
    <row r="31" spans="1:59">
      <c r="A31" s="13" t="s">
        <v>4997</v>
      </c>
      <c r="B31" s="63">
        <f>VLOOKUP(A31,TypeIDs!B:C,2,FALSE)</f>
        <v>12565</v>
      </c>
      <c r="C31" s="36">
        <v>93260</v>
      </c>
      <c r="D31" s="36">
        <f t="shared" si="0"/>
        <v>98310.07</v>
      </c>
      <c r="E31" s="35">
        <f>INDEX(MARKET_INPUT[Column1.price],MATCH(B31,MARKET_INPUT[Column1.type_id]))</f>
        <v>398800</v>
      </c>
      <c r="F31" s="35">
        <f t="shared" si="1"/>
        <v>381053.4</v>
      </c>
      <c r="G31" s="18">
        <f>VLOOKUP(B31,TypeIDs!C:D,2,FALSE)</f>
        <v>1</v>
      </c>
      <c r="I31" s="15">
        <f>IF(H31="",AverageVolume!A450,H31)</f>
        <v>18.845833333333331</v>
      </c>
      <c r="J31" s="17">
        <f t="shared" si="4"/>
        <v>410.04998333333322</v>
      </c>
      <c r="K31" s="20">
        <f t="shared" si="5"/>
        <v>131.92083333333332</v>
      </c>
      <c r="L31" s="19">
        <f t="shared" si="2"/>
        <v>131.92083333333332</v>
      </c>
      <c r="M31" s="8">
        <f t="shared" si="8"/>
        <v>3.8760363002487943</v>
      </c>
      <c r="N31" s="9">
        <f t="shared" si="9"/>
        <v>12969146.359458333</v>
      </c>
      <c r="O31" s="10">
        <f t="shared" si="6"/>
        <v>37299735.713041663</v>
      </c>
      <c r="P31" s="11">
        <f t="shared" si="7"/>
        <v>282743.33</v>
      </c>
      <c r="Q31" s="23">
        <f t="shared" si="3"/>
        <v>50268882.072499998</v>
      </c>
      <c r="R31" s="3">
        <f>VLOOKUP(B31,Buylist!B:B,1,FALSE)</f>
        <v>12565</v>
      </c>
      <c r="S31" s="3">
        <f>VLOOKUP(B31,Buylist!B:O,13,FALSE)</f>
        <v>0</v>
      </c>
      <c r="T31" s="78">
        <v>30</v>
      </c>
      <c r="BE31" s="3"/>
      <c r="BF31" s="3" t="s">
        <v>13</v>
      </c>
      <c r="BG31" s="3" t="s">
        <v>41</v>
      </c>
    </row>
    <row r="32" spans="1:59">
      <c r="A32" s="13" t="s">
        <v>11296</v>
      </c>
      <c r="B32" s="63">
        <f>VLOOKUP(A32,TypeIDs!B:C,2,FALSE)</f>
        <v>23105</v>
      </c>
      <c r="C32" s="36">
        <v>1090000</v>
      </c>
      <c r="D32" s="36">
        <f t="shared" si="0"/>
        <v>1139405</v>
      </c>
      <c r="E32" s="35">
        <f>INDEX(MARKET_INPUT[Column1.price],MATCH(B32,MARKET_INPUT[Column1.type_id]))</f>
        <v>1068000</v>
      </c>
      <c r="F32" s="35">
        <f t="shared" si="1"/>
        <v>1020474</v>
      </c>
      <c r="G32" s="18">
        <f>VLOOKUP(B32,TypeIDs!C:D,2,FALSE)</f>
        <v>1</v>
      </c>
      <c r="H32" s="13">
        <v>3</v>
      </c>
      <c r="I32" s="15">
        <f>IF(H32="",AverageVolume!A465,H32)</f>
        <v>3</v>
      </c>
      <c r="J32" s="17">
        <f t="shared" si="4"/>
        <v>665</v>
      </c>
      <c r="K32" s="20">
        <f t="shared" si="5"/>
        <v>21</v>
      </c>
      <c r="L32" s="19">
        <f t="shared" si="2"/>
        <v>21</v>
      </c>
      <c r="M32" s="8">
        <f t="shared" si="8"/>
        <v>0.89562008241143409</v>
      </c>
      <c r="N32" s="9">
        <f t="shared" si="9"/>
        <v>23927505</v>
      </c>
      <c r="O32" s="10">
        <f t="shared" si="6"/>
        <v>-2497551</v>
      </c>
      <c r="P32" s="11">
        <f t="shared" si="7"/>
        <v>-118931</v>
      </c>
      <c r="Q32" s="23">
        <f t="shared" si="3"/>
        <v>21429954</v>
      </c>
      <c r="R32" s="3" t="e">
        <f>VLOOKUP(B32,Buylist!B:B,1,FALSE)</f>
        <v>#N/A</v>
      </c>
      <c r="S32" s="3" t="e">
        <f>VLOOKUP(B32,Buylist!B:O,13,FALSE)</f>
        <v>#N/A</v>
      </c>
      <c r="T32" s="78">
        <v>31</v>
      </c>
      <c r="BE32" s="3"/>
      <c r="BF32" s="3" t="s">
        <v>14</v>
      </c>
      <c r="BG32" s="3" t="s">
        <v>42</v>
      </c>
    </row>
    <row r="33" spans="1:59">
      <c r="A33" s="13" t="s">
        <v>11288</v>
      </c>
      <c r="B33" s="63">
        <f>VLOOKUP(A33,TypeIDs!B:C,2,FALSE)</f>
        <v>23089</v>
      </c>
      <c r="C33" s="36">
        <v>503700</v>
      </c>
      <c r="D33" s="36">
        <f t="shared" si="0"/>
        <v>527014.65</v>
      </c>
      <c r="E33" s="35">
        <f>INDEX(MARKET_INPUT[Column1.price],MATCH(B33,MARKET_INPUT[Column1.type_id]))</f>
        <v>576100</v>
      </c>
      <c r="F33" s="35">
        <f t="shared" si="1"/>
        <v>550463.55000000005</v>
      </c>
      <c r="G33" s="18">
        <f>VLOOKUP(B33,TypeIDs!C:D,2,FALSE)</f>
        <v>1</v>
      </c>
      <c r="H33" s="13">
        <v>3</v>
      </c>
      <c r="I33" s="15">
        <f>IF(H33="",AverageVolume!A480,H33)</f>
        <v>3</v>
      </c>
      <c r="J33" s="17">
        <f t="shared" si="4"/>
        <v>313.21999999999997</v>
      </c>
      <c r="K33" s="20">
        <f t="shared" si="5"/>
        <v>21</v>
      </c>
      <c r="L33" s="19">
        <f t="shared" si="2"/>
        <v>21</v>
      </c>
      <c r="M33" s="8">
        <f t="shared" si="8"/>
        <v>1.0444938295358583</v>
      </c>
      <c r="N33" s="9">
        <f t="shared" si="9"/>
        <v>11067307.65</v>
      </c>
      <c r="O33" s="10">
        <f t="shared" si="6"/>
        <v>492426.90000000049</v>
      </c>
      <c r="P33" s="11">
        <f t="shared" si="7"/>
        <v>23448.900000000023</v>
      </c>
      <c r="Q33" s="23">
        <f t="shared" si="3"/>
        <v>11559734.550000001</v>
      </c>
      <c r="R33" s="3" t="e">
        <f>VLOOKUP(B33,Buylist!B:B,1,FALSE)</f>
        <v>#N/A</v>
      </c>
      <c r="S33" s="3" t="e">
        <f>VLOOKUP(B33,Buylist!B:O,13,FALSE)</f>
        <v>#N/A</v>
      </c>
      <c r="T33" s="78">
        <v>32</v>
      </c>
      <c r="BE33" s="3"/>
      <c r="BF33" s="3" t="s">
        <v>15</v>
      </c>
      <c r="BG33" s="3" t="s">
        <v>43</v>
      </c>
    </row>
    <row r="34" spans="1:59">
      <c r="A34" s="13" t="s">
        <v>11277</v>
      </c>
      <c r="B34" s="63">
        <f>VLOOKUP(A34,TypeIDs!B:C,2,FALSE)</f>
        <v>23071</v>
      </c>
      <c r="C34" s="36">
        <v>419900</v>
      </c>
      <c r="D34" s="36">
        <f t="shared" si="0"/>
        <v>439485.55</v>
      </c>
      <c r="E34" s="35">
        <f>INDEX(MARKET_INPUT[Column1.price],MATCH(B34,MARKET_INPUT[Column1.type_id]))</f>
        <v>360100</v>
      </c>
      <c r="F34" s="35">
        <f t="shared" si="1"/>
        <v>344075.55</v>
      </c>
      <c r="G34" s="18">
        <f>VLOOKUP(B34,TypeIDs!C:D,2,FALSE)</f>
        <v>1</v>
      </c>
      <c r="I34" s="15">
        <f>IF(H34="",AverageVolume!A495,H34)</f>
        <v>21.054166666666667</v>
      </c>
      <c r="J34" s="17">
        <f t="shared" si="4"/>
        <v>1833.2914166666667</v>
      </c>
      <c r="K34" s="20">
        <f t="shared" si="5"/>
        <v>147.37916666666666</v>
      </c>
      <c r="L34" s="19">
        <f t="shared" si="2"/>
        <v>147.37916666666666</v>
      </c>
      <c r="M34" s="8">
        <f t="shared" si="8"/>
        <v>0.78290526275551042</v>
      </c>
      <c r="N34" s="9">
        <f t="shared" si="9"/>
        <v>64771014.121041663</v>
      </c>
      <c r="O34" s="10">
        <f t="shared" si="6"/>
        <v>-14061446.291666666</v>
      </c>
      <c r="P34" s="11">
        <f t="shared" si="7"/>
        <v>-95410</v>
      </c>
      <c r="Q34" s="23">
        <f t="shared" si="3"/>
        <v>50709567.829374999</v>
      </c>
      <c r="R34" s="3" t="e">
        <f>VLOOKUP(B34,Buylist!B:B,1,FALSE)</f>
        <v>#N/A</v>
      </c>
      <c r="S34" s="3" t="e">
        <f>VLOOKUP(B34,Buylist!B:O,13,FALSE)</f>
        <v>#N/A</v>
      </c>
      <c r="T34" s="78">
        <v>33</v>
      </c>
      <c r="BE34" s="5"/>
    </row>
    <row r="35" spans="1:59">
      <c r="A35" s="13" t="s">
        <v>5082</v>
      </c>
      <c r="B35" s="63">
        <f>VLOOKUP(A35,TypeIDs!B:C,2,FALSE)</f>
        <v>12787</v>
      </c>
      <c r="C35" s="36">
        <v>359</v>
      </c>
      <c r="D35" s="36">
        <f t="shared" si="0"/>
        <v>397.47550000000001</v>
      </c>
      <c r="E35" s="35">
        <f>INDEX(MARKET_INPUT[Column1.price],MATCH(B35,MARKET_INPUT[Column1.type_id]))</f>
        <v>997</v>
      </c>
      <c r="F35" s="35">
        <f t="shared" si="1"/>
        <v>952.63350000000003</v>
      </c>
      <c r="G35" s="18">
        <f>VLOOKUP(B35,TypeIDs!C:D,2,FALSE)</f>
        <v>2.5000000000000001E-2</v>
      </c>
      <c r="H35" s="13">
        <v>2000</v>
      </c>
      <c r="I35" s="15">
        <f>IF(H35="",AverageVolume!A510,H35)</f>
        <v>2000</v>
      </c>
      <c r="J35" s="17">
        <f t="shared" si="4"/>
        <v>6143.65</v>
      </c>
      <c r="K35" s="20">
        <f t="shared" si="5"/>
        <v>14000</v>
      </c>
      <c r="L35" s="19">
        <f t="shared" si="2"/>
        <v>350</v>
      </c>
      <c r="M35" s="8">
        <f t="shared" si="8"/>
        <v>2.3967099858985019</v>
      </c>
      <c r="N35" s="9">
        <f t="shared" si="9"/>
        <v>5564657</v>
      </c>
      <c r="O35" s="10">
        <f t="shared" si="6"/>
        <v>7772212</v>
      </c>
      <c r="P35" s="11">
        <f t="shared" si="7"/>
        <v>22206.32</v>
      </c>
      <c r="Q35" s="23">
        <f t="shared" si="3"/>
        <v>13336869</v>
      </c>
      <c r="R35" s="3" t="e">
        <f>VLOOKUP(B35,Buylist!B:B,1,FALSE)</f>
        <v>#N/A</v>
      </c>
      <c r="S35" s="3" t="e">
        <f>VLOOKUP(B35,Buylist!B:O,13,FALSE)</f>
        <v>#N/A</v>
      </c>
      <c r="T35" s="78">
        <v>34</v>
      </c>
      <c r="BE35" s="110" t="s">
        <v>44004</v>
      </c>
      <c r="BF35" s="110"/>
      <c r="BG35" s="110"/>
    </row>
    <row r="36" spans="1:59">
      <c r="A36" s="13" t="s">
        <v>5080</v>
      </c>
      <c r="B36" s="63">
        <f>VLOOKUP(A36,TypeIDs!B:C,2,FALSE)</f>
        <v>12785</v>
      </c>
      <c r="C36" s="36">
        <v>158.5</v>
      </c>
      <c r="D36" s="36">
        <f t="shared" si="0"/>
        <v>176.80324999999999</v>
      </c>
      <c r="E36" s="35">
        <f>INDEX(MARKET_INPUT[Column1.price],MATCH(B36,MARKET_INPUT[Column1.type_id]))</f>
        <v>799</v>
      </c>
      <c r="F36" s="35">
        <f t="shared" si="1"/>
        <v>763.44450000000006</v>
      </c>
      <c r="G36" s="18">
        <f>VLOOKUP(B36,TypeIDs!C:D,2,FALSE)</f>
        <v>1.2500000000000001E-2</v>
      </c>
      <c r="I36" s="15">
        <f>IF(H36="",AverageVolume!A525,H36)</f>
        <v>5822.9375</v>
      </c>
      <c r="J36" s="17">
        <f t="shared" si="4"/>
        <v>17653.424618749999</v>
      </c>
      <c r="K36" s="20">
        <f t="shared" si="5"/>
        <v>40760.5625</v>
      </c>
      <c r="L36" s="19">
        <f t="shared" si="2"/>
        <v>509.50703125000007</v>
      </c>
      <c r="M36" s="8">
        <f t="shared" si="8"/>
        <v>4.3180456241613214</v>
      </c>
      <c r="N36" s="9">
        <f t="shared" si="9"/>
        <v>7206599.9218281247</v>
      </c>
      <c r="O36" s="10">
        <f t="shared" si="6"/>
        <v>23911827.335703131</v>
      </c>
      <c r="P36" s="11">
        <f t="shared" si="7"/>
        <v>46931.30000000001</v>
      </c>
      <c r="Q36" s="23">
        <f t="shared" si="3"/>
        <v>31118427.257531255</v>
      </c>
      <c r="R36" s="3">
        <f>VLOOKUP(B36,Buylist!B:B,1,FALSE)</f>
        <v>12785</v>
      </c>
      <c r="S36" s="3">
        <f>VLOOKUP(B36,Buylist!B:O,13,FALSE)</f>
        <v>0</v>
      </c>
      <c r="T36" s="78">
        <v>35</v>
      </c>
      <c r="BE36" s="3" t="s">
        <v>40276</v>
      </c>
      <c r="BF36" s="3" t="str">
        <f>CONCATENATE(BG2,BF4,BF3,join(BF3,B2:B91))</f>
        <v>http://api.evemarketer.com/ec/marketstat?usesystem=30000142&amp;typeid=2048&amp;typeid=28668&amp;typeid=44992&amp;typeid=47867&amp;typeid=49742&amp;typeid=32006&amp;typeid=32014&amp;typeid=41490&amp;typeid=42832&amp;typeid=42834&amp;typeid=42833&amp;typeid=42835&amp;typeid=42831&amp;typeid=42829&amp;typeid=42830&amp;typeid=42694&amp;typeid=42696&amp;typeid=42695&amp;typeid=42838&amp;typeid=42839&amp;typeid=42840&amp;typeid=47931&amp;typeid=47930&amp;typeid=47927&amp;typeid=47926&amp;typeid=12557&amp;typeid=12816&amp;typeid=12820&amp;typeid=12818&amp;typeid=12565&amp;typeid=23105&amp;typeid=23089&amp;typeid=23071&amp;typeid=12787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24535&amp;typeid=24539&amp;typeid=27377&amp;typeid=24486&amp;typeid=24490&amp;typeid=24488&amp;typeid=2679&amp;typeid=24493&amp;typeid=24492&amp;typeid=27405&amp;typeid=27419&amp;typeid=27401&amp;typeid=27413&amp;typeid=24511&amp;typeid=24509&amp;typeid=2629&amp;typeid=24517&amp;typeid=27447&amp;typeid=27435&amp;typeid=27453&amp;typeid=27441&amp;typeid=207&amp;typeid=24499&amp;typeid=2613&amp;typeid=24497&amp;typeid=24495&amp;typeid=27371&amp;typeid=27387&amp;typeid=27381&amp;typeid=27361&amp;typeid=2817&amp;typeid=24473&amp;typeid=24471&amp;typeid=27321&amp;typeid=27327&amp;typeid=24523&amp;typeid=24519&amp;typeid=24527&amp;typeid=27339&amp;typeid=27359</v>
      </c>
      <c r="BG36" s="3"/>
    </row>
    <row r="37" spans="1:59">
      <c r="A37" s="13" t="s">
        <v>5084</v>
      </c>
      <c r="B37" s="63">
        <f>VLOOKUP(A37,TypeIDs!B:C,2,FALSE)</f>
        <v>12789</v>
      </c>
      <c r="C37" s="36">
        <v>136.80000000000001</v>
      </c>
      <c r="D37" s="36">
        <f t="shared" si="0"/>
        <v>154.13760000000002</v>
      </c>
      <c r="E37" s="35">
        <f>INDEX(MARKET_INPUT[Column1.price],MATCH(B37,MARKET_INPUT[Column1.type_id]))</f>
        <v>597</v>
      </c>
      <c r="F37" s="35">
        <f t="shared" si="1"/>
        <v>570.43349999999998</v>
      </c>
      <c r="G37" s="18">
        <f>VLOOKUP(B37,TypeIDs!C:D,2,FALSE)</f>
        <v>1.2500000000000001E-2</v>
      </c>
      <c r="I37" s="15">
        <f>IF(H37="",AverageVolume!A540,H37)</f>
        <v>13742.072916666668</v>
      </c>
      <c r="J37" s="17">
        <f t="shared" si="4"/>
        <v>41602.226864999997</v>
      </c>
      <c r="K37" s="20">
        <f t="shared" si="5"/>
        <v>96194.510416666672</v>
      </c>
      <c r="L37" s="19">
        <f t="shared" si="2"/>
        <v>1202.4313802083334</v>
      </c>
      <c r="M37" s="8">
        <f t="shared" si="8"/>
        <v>3.700806941330343</v>
      </c>
      <c r="N37" s="9">
        <f t="shared" si="9"/>
        <v>14827190.968800003</v>
      </c>
      <c r="O37" s="10">
        <f t="shared" si="6"/>
        <v>40045380.28896562</v>
      </c>
      <c r="P37" s="11">
        <f t="shared" si="7"/>
        <v>33303.671999999991</v>
      </c>
      <c r="Q37" s="23">
        <f t="shared" si="3"/>
        <v>54872571.257765621</v>
      </c>
      <c r="R37" s="3">
        <f>VLOOKUP(B37,Buylist!B:B,1,FALSE)</f>
        <v>12789</v>
      </c>
      <c r="S37" s="3">
        <f>VLOOKUP(B37,Buylist!B:O,13,FALSE)</f>
        <v>0</v>
      </c>
      <c r="T37" s="78">
        <v>36</v>
      </c>
      <c r="BE37" s="3" t="s">
        <v>40449</v>
      </c>
      <c r="BF37" s="3" t="str">
        <f>CONCATENATE(BG2,BF4,BF3,join(BF3,B92:B177))</f>
        <v>http://api.evemarketer.com/ec/marketstat?usesystem=30000142&amp;typeid=27345&amp;typeid=56748&amp;typeid=22778&amp;typeid=30028&amp;typeid=30013&amp;typeid=30486&amp;typeid=30488&amp;typeid=12767&amp;typeid=12771&amp;typeid=12775&amp;typeid=12773&amp;typeid=12777&amp;typeid=12625&amp;typeid=12608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29009&amp;typeid=29007&amp;typeid=29001&amp;typeid=33681&amp;typeid=2193&amp;typeid=2478&amp;typeid=2446&amp;typeid=2195&amp;typeid=2436&amp;typeid=31870&amp;typeid=2203&amp;typeid=2454&amp;typeid=2486&amp;typeid=2205&amp;typeid=2456&amp;typeid=2466&amp;typeid=2488&amp;typeid=31864&amp;typeid=31888&amp;typeid=2173&amp;typeid=2185&amp;typeid=2175&amp;typeid=21640&amp;typeid=21638&amp;typeid=31866&amp;typeid=28213&amp;typeid=31868&amp;typeid=23707&amp;typeid=23705&amp;typeid=10246&amp;typeid=10250&amp;typeid=32787&amp;typeid=25896&amp;typeid=25894&amp;typeid=31047&amp;typeid=31011&amp;typeid=33894&amp;typeid=31055&amp;typeid=31053&amp;typeid=31017&amp;typeid=31059&amp;typeid=33890&amp;typeid=31051&amp;typeid=33892&amp;typeid=31057&amp;typeid=31119&amp;typeid=31161&amp;typeid=31155&amp;typeid=31179&amp;typeid=31125&amp;typeid=31167</v>
      </c>
      <c r="BG37" s="3"/>
    </row>
    <row r="38" spans="1:59">
      <c r="A38" s="13" t="s">
        <v>5012</v>
      </c>
      <c r="B38" s="63">
        <f>VLOOKUP(A38,TypeIDs!B:C,2,FALSE)</f>
        <v>12614</v>
      </c>
      <c r="C38" s="36">
        <v>60.43</v>
      </c>
      <c r="D38" s="36">
        <f t="shared" si="0"/>
        <v>65.369135</v>
      </c>
      <c r="E38" s="35">
        <f>INDEX(MARKET_INPUT[Column1.price],MATCH(B38,MARKET_INPUT[Column1.type_id]))</f>
        <v>199.2</v>
      </c>
      <c r="F38" s="35">
        <f t="shared" si="1"/>
        <v>190.3356</v>
      </c>
      <c r="G38" s="18">
        <f>VLOOKUP(B38,TypeIDs!C:D,2,FALSE)</f>
        <v>2.5000000000000001E-3</v>
      </c>
      <c r="I38" s="15">
        <f>IF(H38="",AverageVolume!A555,H38)</f>
        <v>10120.658333333333</v>
      </c>
      <c r="J38" s="17">
        <f t="shared" si="4"/>
        <v>30484.298276616664</v>
      </c>
      <c r="K38" s="20">
        <f t="shared" si="5"/>
        <v>70844.608333333337</v>
      </c>
      <c r="L38" s="19">
        <f t="shared" si="2"/>
        <v>177.11152083333332</v>
      </c>
      <c r="M38" s="8">
        <f t="shared" si="8"/>
        <v>2.9117044305389692</v>
      </c>
      <c r="N38" s="9">
        <f t="shared" si="9"/>
        <v>4631050.7661637915</v>
      </c>
      <c r="O38" s="10">
        <f t="shared" si="6"/>
        <v>8853200.267726209</v>
      </c>
      <c r="P38" s="11">
        <f t="shared" si="7"/>
        <v>49986.585999999996</v>
      </c>
      <c r="Q38" s="23">
        <f t="shared" si="3"/>
        <v>13484251.033890001</v>
      </c>
      <c r="R38" s="3">
        <f>VLOOKUP(B38,Buylist!B:B,1,FALSE)</f>
        <v>12614</v>
      </c>
      <c r="S38" s="3">
        <f>VLOOKUP(B38,Buylist!B:O,13,FALSE)</f>
        <v>0</v>
      </c>
      <c r="T38" s="78">
        <v>37</v>
      </c>
      <c r="BE38" s="3" t="s">
        <v>40450</v>
      </c>
      <c r="BF38" s="3" t="str">
        <f>CONCATENATE(BG2,BF4,BF3,join(BF3,B178:B262))</f>
        <v>http://api.evemarketer.com/ec/marketstat?usesystem=30000142&amp;typeid=31185&amp;typeid=31173&amp;typeid=31117&amp;typeid=31153&amp;typeid=31177&amp;typeid=31165&amp;typeid=31171&amp;typeid=31183&amp;typeid=32043&amp;typeid=25948&amp;typeid=26374&amp;typeid=31360&amp;typeid=31372&amp;typeid=43896&amp;typeid=4395&amp;typeid=31408&amp;typeid=31366&amp;typeid=31378&amp;typeid=4399&amp;typeid=31358&amp;typeid=26929&amp;typeid=31364&amp;typeid=31600&amp;typeid=31610&amp;typeid=32819&amp;typeid=32817&amp;typeid=31085&amp;typeid=31091&amp;typeid=31083&amp;typeid=31213&amp;typeid=26088&amp;typeid=31790&amp;typeid=31718&amp;typeid=31754&amp;typeid=31796&amp;typeid=31812&amp;typeid=31724&amp;typeid=31760&amp;typeid=31788&amp;typeid=31716&amp;typeid=31794&amp;typeid=31722&amp;typeid=31276&amp;typeid=4393&amp;typeid=23527&amp;typeid=24395&amp;typeid=4405&amp;typeid=24427&amp;typeid=24417&amp;typeid=33824&amp;typeid=24438&amp;typeid=33828&amp;typeid=22782&amp;typeid=41057&amp;typeid=4027&amp;typeid=4025&amp;typeid=527&amp;typeid=17559&amp;typeid=19814&amp;typeid=19806&amp;typeid=5405&amp;typeid=3244&amp;typeid=5443&amp;typeid=5445&amp;typeid=448&amp;typeid=1182&amp;typeid=11370&amp;typeid=11578&amp;typeid=11577&amp;typeid=3888&amp;typeid=6160&amp;typeid=1952&amp;typeid=41191&amp;typeid=24348&amp;typeid=4250&amp;typeid=11563&amp;typeid=4254&amp;typeid=4871&amp;typeid=3504&amp;typeid=41218&amp;typeid=3496&amp;typeid=4833&amp;typeid=2024&amp;typeid=3568&amp;typeid=1248</v>
      </c>
      <c r="BG38" s="3"/>
    </row>
    <row r="39" spans="1:59">
      <c r="A39" s="13" t="s">
        <v>5010</v>
      </c>
      <c r="B39" s="63">
        <f>VLOOKUP(A39,TypeIDs!B:C,2,FALSE)</f>
        <v>12612</v>
      </c>
      <c r="C39" s="36">
        <v>47.88</v>
      </c>
      <c r="D39" s="36">
        <f t="shared" si="0"/>
        <v>52.260660000000001</v>
      </c>
      <c r="E39" s="35">
        <f>INDEX(MARKET_INPUT[Column1.price],MATCH(B39,MARKET_INPUT[Column1.type_id]))</f>
        <v>39.99</v>
      </c>
      <c r="F39" s="35">
        <f t="shared" si="1"/>
        <v>38.210445</v>
      </c>
      <c r="G39" s="18">
        <f>VLOOKUP(B39,TypeIDs!C:D,2,FALSE)</f>
        <v>2.5000000000000001E-3</v>
      </c>
      <c r="I39" s="15">
        <f>IF(H39="",AverageVolume!A570,H39)</f>
        <v>12397.558333333334</v>
      </c>
      <c r="J39" s="17">
        <f t="shared" si="4"/>
        <v>37311.399018600001</v>
      </c>
      <c r="K39" s="20">
        <f t="shared" si="5"/>
        <v>86782.90833333334</v>
      </c>
      <c r="L39" s="19">
        <f t="shared" si="2"/>
        <v>216.95727083333335</v>
      </c>
      <c r="M39" s="8">
        <f t="shared" si="8"/>
        <v>0.73115121393415239</v>
      </c>
      <c r="N39" s="9">
        <f t="shared" si="9"/>
        <v>4535332.0662195003</v>
      </c>
      <c r="O39" s="10">
        <f t="shared" si="6"/>
        <v>-1219318.5204086252</v>
      </c>
      <c r="P39" s="11">
        <f t="shared" si="7"/>
        <v>-5620.0860000000002</v>
      </c>
      <c r="Q39" s="23">
        <f t="shared" si="3"/>
        <v>3316013.545810875</v>
      </c>
      <c r="R39" s="3" t="e">
        <f>VLOOKUP(B39,Buylist!B:B,1,FALSE)</f>
        <v>#N/A</v>
      </c>
      <c r="S39" s="3" t="e">
        <f>VLOOKUP(B39,Buylist!B:O,13,FALSE)</f>
        <v>#N/A</v>
      </c>
      <c r="T39" s="78">
        <v>38</v>
      </c>
      <c r="BE39" s="3" t="s">
        <v>41764</v>
      </c>
      <c r="BF39" s="3" t="str">
        <f>CONCATENATE(BG2,BF4,BF3,join(BF3,B263:B342))</f>
        <v>http://api.evemarketer.com/ec/marketstat?usesystem=30000142&amp;typeid=1447&amp;typeid=2032&amp;typeid=12271&amp;typeid=12267&amp;typeid=13003&amp;typeid=13001&amp;typeid=1541&amp;typeid=31952&amp;typeid=1355&amp;typeid=25861&amp;typeid=30836&amp;typeid=4403&amp;typeid=20353&amp;typeid=31900&amp;typeid=20351&amp;typeid=33101&amp;typeid=3530&amp;typeid=33076&amp;typeid=1306&amp;typeid=2046&amp;typeid=47255&amp;typeid=5839&amp;typeid=47257&amp;typeid=2048&amp;typeid=11269&amp;typeid=15729&amp;typeid=1319&amp;typeid=2605&amp;typeid=1335&amp;typeid=5955&amp;typeid=35657&amp;typeid=6005&amp;typeid=35656&amp;typeid=6001&amp;typeid=12068&amp;typeid=12058&amp;typeid=438&amp;typeid=15766&amp;typeid=4383&amp;typeid=33915&amp;typeid=5975&amp;typeid=35660&amp;typeid=35659&amp;typeid=5971&amp;typeid=35658&amp;typeid=5973&amp;typeid=440&amp;typeid=1405&amp;typeid=58919&amp;typeid=58972&amp;typeid=1236&amp;typeid=10998&amp;typeid=11640&amp;typeid=22175&amp;typeid=17938&amp;typeid=18639&amp;typeid=28758&amp;typeid=28756&amp;typeid=33180&amp;typeid=24443&amp;typeid=32780&amp;typeid=10888&amp;typeid=10858&amp;typeid=32772&amp;typeid=8529&amp;typeid=3841&amp;typeid=31930&amp;typeid=31932&amp;typeid=3829&amp;typeid=8517&amp;typeid=3831&amp;typeid=31926&amp;typeid=31928&amp;typeid=8521&amp;typeid=380&amp;typeid=31922&amp;typeid=31924&amp;typeid=2301&amp;typeid=578&amp;typeid=9632</v>
      </c>
      <c r="BG39" s="3"/>
    </row>
    <row r="40" spans="1:59">
      <c r="A40" s="13" t="s">
        <v>5096</v>
      </c>
      <c r="B40" s="63">
        <f>VLOOKUP(A40,TypeIDs!B:C,2,FALSE)</f>
        <v>12801</v>
      </c>
      <c r="C40" s="36">
        <v>145</v>
      </c>
      <c r="D40" s="36">
        <f t="shared" si="0"/>
        <v>162.70249999999999</v>
      </c>
      <c r="E40" s="35">
        <f>INDEX(MARKET_INPUT[Column1.price],MATCH(B40,MARKET_INPUT[Column1.type_id]))</f>
        <v>200</v>
      </c>
      <c r="F40" s="35">
        <f t="shared" si="1"/>
        <v>191.1</v>
      </c>
      <c r="G40" s="18">
        <f>VLOOKUP(B40,TypeIDs!C:D,2,FALSE)</f>
        <v>1.2500000000000001E-2</v>
      </c>
      <c r="I40" s="15">
        <f>IF(H40="",AverageVolume!A585,H40)</f>
        <v>5948.3928571428569</v>
      </c>
      <c r="J40" s="17">
        <f t="shared" si="4"/>
        <v>18017.706964285717</v>
      </c>
      <c r="K40" s="20">
        <f t="shared" si="5"/>
        <v>41638.75</v>
      </c>
      <c r="L40" s="19">
        <f t="shared" si="2"/>
        <v>520.484375</v>
      </c>
      <c r="M40" s="8">
        <f t="shared" si="8"/>
        <v>1.1745363470137213</v>
      </c>
      <c r="N40" s="9">
        <f t="shared" si="9"/>
        <v>6774728.7218749998</v>
      </c>
      <c r="O40" s="10">
        <f t="shared" si="6"/>
        <v>1182436.4031250004</v>
      </c>
      <c r="P40" s="11">
        <f t="shared" si="7"/>
        <v>2271.8000000000006</v>
      </c>
      <c r="Q40" s="23">
        <f t="shared" si="3"/>
        <v>7957165.125</v>
      </c>
      <c r="R40" s="3">
        <f>VLOOKUP(B40,Buylist!B:B,1,FALSE)</f>
        <v>12801</v>
      </c>
      <c r="S40" s="3">
        <f>VLOOKUP(B40,Buylist!B:O,13,FALSE)</f>
        <v>0</v>
      </c>
      <c r="T40" s="78">
        <v>39</v>
      </c>
      <c r="BE40" s="3" t="s">
        <v>41765</v>
      </c>
      <c r="BF40" s="3" t="str">
        <f>CONCATENATE(BG2,BF4,BF3,join(BF3,B343:B400))</f>
        <v>http://api.evemarketer.com/ec/marketstat?usesystem=30000142&amp;typeid=54291&amp;typeid=2281&amp;typeid=4349&amp;typeid=9580&amp;typeid=2553&amp;typeid=2539&amp;typeid=3130&amp;typeid=3138&amp;typeid=3146&amp;typeid=3162&amp;typeid=3178&amp;typeid=3082&amp;typeid=19739&amp;typeid=25715&amp;typeid=8105&amp;typeid=2410&amp;typeid=2404&amp;typeid=33450&amp;typeid=1877&amp;typeid=10631&amp;typeid=8117&amp;typeid=2420&amp;typeid=47914&amp;typeid=2969&amp;typeid=2977&amp;typeid=2897&amp;typeid=2913&amp;typeid=8863&amp;typeid=2873&amp;typeid=2881&amp;typeid=2889&amp;typeid=22291&amp;typeid=15681&amp;typeid=47911&amp;typeid=519&amp;typeid=15806&amp;typeid=2364&amp;typeid=10190&amp;typeid=35790&amp;typeid=1978&amp;typeid=1999&amp;typeid=9950&amp;typeid=15479&amp;typeid=15463&amp;typeid=3898&amp;typeid=15466&amp;typeid=15460&amp;typeid=46002&amp;typeid=46004&amp;typeid=46005</v>
      </c>
      <c r="BG40" s="3"/>
    </row>
    <row r="41" spans="1:59">
      <c r="A41" s="13" t="s">
        <v>5100</v>
      </c>
      <c r="B41" s="63">
        <f>VLOOKUP(A41,TypeIDs!B:C,2,FALSE)</f>
        <v>12805</v>
      </c>
      <c r="C41" s="36">
        <v>170</v>
      </c>
      <c r="D41" s="36">
        <f t="shared" si="0"/>
        <v>188.815</v>
      </c>
      <c r="E41" s="35">
        <f>INDEX(MARKET_INPUT[Column1.price],MATCH(B41,MARKET_INPUT[Column1.type_id]))</f>
        <v>150</v>
      </c>
      <c r="F41" s="35">
        <f t="shared" si="1"/>
        <v>143.32499999999999</v>
      </c>
      <c r="G41" s="18">
        <f>VLOOKUP(B41,TypeIDs!C:D,2,FALSE)</f>
        <v>1.2500000000000001E-2</v>
      </c>
      <c r="I41" s="15">
        <f>IF(H41="",AverageVolume!A600,H41)</f>
        <v>4612.6666666666661</v>
      </c>
      <c r="J41" s="17">
        <f t="shared" si="4"/>
        <v>13994.855666666665</v>
      </c>
      <c r="K41" s="20">
        <f t="shared" si="5"/>
        <v>32288.666666666664</v>
      </c>
      <c r="L41" s="19">
        <f t="shared" si="2"/>
        <v>403.60833333333335</v>
      </c>
      <c r="M41" s="8">
        <f t="shared" si="8"/>
        <v>0.75907634457008177</v>
      </c>
      <c r="N41" s="9">
        <f t="shared" si="9"/>
        <v>6096584.5966666657</v>
      </c>
      <c r="O41" s="10">
        <f t="shared" si="6"/>
        <v>-1468811.4466666668</v>
      </c>
      <c r="P41" s="11">
        <f t="shared" si="7"/>
        <v>-3639.2000000000007</v>
      </c>
      <c r="Q41" s="23">
        <f t="shared" si="3"/>
        <v>4627773.1499999985</v>
      </c>
      <c r="R41" s="3" t="e">
        <f>VLOOKUP(B41,Buylist!B:B,1,FALSE)</f>
        <v>#N/A</v>
      </c>
      <c r="S41" s="3" t="e">
        <f>VLOOKUP(B41,Buylist!B:O,13,FALSE)</f>
        <v>#N/A</v>
      </c>
      <c r="T41" s="78">
        <v>40</v>
      </c>
      <c r="BE41" s="3" t="s">
        <v>40277</v>
      </c>
      <c r="BF41" s="3" t="str">
        <f>CONCATENATE(BF2,BF5,BF3,join(BF3,B2:B3))</f>
        <v>http://api.evemarketer.com/ec/marketstat?regionlimit=10000021&amp;typeid=2048&amp;typeid=28668</v>
      </c>
      <c r="BG41" s="3"/>
    </row>
    <row r="42" spans="1:59">
      <c r="A42" s="13" t="s">
        <v>5016</v>
      </c>
      <c r="B42" s="63">
        <f>VLOOKUP(A42,TypeIDs!B:C,2,FALSE)</f>
        <v>12618</v>
      </c>
      <c r="C42" s="36">
        <v>49.97</v>
      </c>
      <c r="D42" s="36">
        <f t="shared" si="0"/>
        <v>54.443664999999996</v>
      </c>
      <c r="E42" s="35">
        <f>INDEX(MARKET_INPUT[Column1.price],MATCH(B42,MARKET_INPUT[Column1.type_id]))</f>
        <v>90</v>
      </c>
      <c r="F42" s="35">
        <f t="shared" si="1"/>
        <v>85.995000000000005</v>
      </c>
      <c r="G42" s="18">
        <f>VLOOKUP(B42,TypeIDs!C:D,2,FALSE)</f>
        <v>2.5000000000000001E-3</v>
      </c>
      <c r="I42" s="15">
        <f>IF(H42="",AverageVolume!A615,H42)</f>
        <v>2863.1076388888887</v>
      </c>
      <c r="J42" s="17">
        <f t="shared" si="4"/>
        <v>8617.9418144097217</v>
      </c>
      <c r="K42" s="20">
        <f t="shared" si="5"/>
        <v>20041.753472222219</v>
      </c>
      <c r="L42" s="19">
        <f t="shared" si="2"/>
        <v>50.10438368055555</v>
      </c>
      <c r="M42" s="8">
        <f t="shared" si="8"/>
        <v>1.5795226129614899</v>
      </c>
      <c r="N42" s="9">
        <f t="shared" si="9"/>
        <v>1091146.5120542531</v>
      </c>
      <c r="O42" s="10">
        <f t="shared" si="6"/>
        <v>632344.07778949663</v>
      </c>
      <c r="P42" s="11">
        <f t="shared" si="7"/>
        <v>12620.534000000003</v>
      </c>
      <c r="Q42" s="23">
        <f t="shared" si="3"/>
        <v>1723490.5898437498</v>
      </c>
      <c r="R42" s="3" t="e">
        <f>VLOOKUP(B42,Buylist!B:B,1,FALSE)</f>
        <v>#N/A</v>
      </c>
      <c r="S42" s="3" t="e">
        <f>VLOOKUP(B42,Buylist!B:O,13,FALSE)</f>
        <v>#N/A</v>
      </c>
      <c r="T42" s="78">
        <v>41</v>
      </c>
      <c r="BE42" s="3" t="s">
        <v>40451</v>
      </c>
      <c r="BF42" s="3"/>
      <c r="BG42" s="3"/>
    </row>
    <row r="43" spans="1:59">
      <c r="A43" s="13" t="s">
        <v>10344</v>
      </c>
      <c r="B43" s="63">
        <f>VLOOKUP(A43,TypeIDs!B:C,2,FALSE)</f>
        <v>21740</v>
      </c>
      <c r="C43" s="36">
        <v>1099</v>
      </c>
      <c r="D43" s="36">
        <f t="shared" si="0"/>
        <v>1170.4055000000001</v>
      </c>
      <c r="E43" s="35">
        <f>INDEX(MARKET_INPUT[Column1.price],MATCH(B43,MARKET_INPUT[Column1.type_id]))</f>
        <v>1321</v>
      </c>
      <c r="F43" s="35">
        <f t="shared" si="1"/>
        <v>1262.2155</v>
      </c>
      <c r="G43" s="18">
        <f>VLOOKUP(B43,TypeIDs!C:D,2,FALSE)</f>
        <v>2.5000000000000001E-2</v>
      </c>
      <c r="H43" s="13">
        <v>0</v>
      </c>
      <c r="I43" s="15">
        <f>IF(H43="",AverageVolume!A630,H43)</f>
        <v>0</v>
      </c>
      <c r="J43" s="17" t="e">
        <f t="shared" si="4"/>
        <v>#DIV/0!</v>
      </c>
      <c r="K43" s="20">
        <f t="shared" si="5"/>
        <v>0</v>
      </c>
      <c r="L43" s="19">
        <f t="shared" si="2"/>
        <v>0</v>
      </c>
      <c r="M43" s="8">
        <f t="shared" si="8"/>
        <v>1.0784428986364127</v>
      </c>
      <c r="N43" s="9">
        <f t="shared" si="9"/>
        <v>0</v>
      </c>
      <c r="O43" s="10">
        <f t="shared" si="6"/>
        <v>0</v>
      </c>
      <c r="P43" s="11">
        <f t="shared" si="7"/>
        <v>3672.3999999999978</v>
      </c>
      <c r="Q43" s="23">
        <f t="shared" si="3"/>
        <v>0</v>
      </c>
      <c r="R43" s="3" t="e">
        <f>VLOOKUP(B43,Buylist!B:B,1,FALSE)</f>
        <v>#N/A</v>
      </c>
      <c r="S43" s="3" t="e">
        <f>VLOOKUP(B43,Buylist!B:O,13,FALSE)</f>
        <v>#N/A</v>
      </c>
      <c r="T43" s="78">
        <v>42</v>
      </c>
      <c r="BE43" s="3" t="s">
        <v>40452</v>
      </c>
      <c r="BF43" s="3"/>
      <c r="BG43" s="3"/>
    </row>
    <row r="44" spans="1:59">
      <c r="A44" s="13" t="s">
        <v>11246</v>
      </c>
      <c r="B44" s="63">
        <f>VLOOKUP(A44,TypeIDs!B:C,2,FALSE)</f>
        <v>23025</v>
      </c>
      <c r="C44" s="36">
        <v>716</v>
      </c>
      <c r="D44" s="36">
        <f t="shared" si="0"/>
        <v>759.11199999999997</v>
      </c>
      <c r="E44" s="35">
        <f>INDEX(MARKET_INPUT[Column1.price],MATCH(B44,MARKET_INPUT[Column1.type_id]))</f>
        <v>600</v>
      </c>
      <c r="F44" s="35">
        <f t="shared" si="1"/>
        <v>573.29999999999995</v>
      </c>
      <c r="G44" s="18">
        <f>VLOOKUP(B44,TypeIDs!C:D,2,FALSE)</f>
        <v>1.2500000000000001E-2</v>
      </c>
      <c r="I44" s="15">
        <f>IF(H44="",AverageVolume!A645,H44)</f>
        <v>8952.6958333333332</v>
      </c>
      <c r="J44" s="17">
        <f t="shared" si="4"/>
        <v>28140.138543333334</v>
      </c>
      <c r="K44" s="20">
        <f t="shared" si="5"/>
        <v>62668.870833333334</v>
      </c>
      <c r="L44" s="19">
        <f t="shared" si="2"/>
        <v>783.36088541666663</v>
      </c>
      <c r="M44" s="8">
        <f t="shared" si="8"/>
        <v>0.75522452549821373</v>
      </c>
      <c r="N44" s="9">
        <f t="shared" si="9"/>
        <v>47572691.876033328</v>
      </c>
      <c r="O44" s="10">
        <f t="shared" si="6"/>
        <v>-11644628.227283334</v>
      </c>
      <c r="P44" s="11">
        <f t="shared" si="7"/>
        <v>-14864.960000000001</v>
      </c>
      <c r="Q44" s="23">
        <f t="shared" si="3"/>
        <v>35928063.648749992</v>
      </c>
      <c r="R44" s="3" t="e">
        <f>VLOOKUP(B44,Buylist!B:B,1,FALSE)</f>
        <v>#N/A</v>
      </c>
      <c r="S44" s="3" t="e">
        <f>VLOOKUP(B44,Buylist!B:O,13,FALSE)</f>
        <v>#N/A</v>
      </c>
      <c r="T44" s="78">
        <v>43</v>
      </c>
      <c r="BE44" s="3" t="s">
        <v>40278</v>
      </c>
      <c r="BF44" s="3" t="str">
        <f t="shared" ref="BF44:BF51" si="10">_xlfn.WEBSERVICE(BF36)</f>
        <v>&lt;?xml version="1.0" encoding="UTF-8"?&gt;
&lt;exec_api version="2.0" method="marketstat_xml"&gt;&lt;marketstat&gt;&lt;type id="2048"&gt;&lt;buy&gt;&lt;volume&gt;8090&lt;/volume&gt;&lt;avg&gt;388777.76&lt;/avg&gt;&lt;stddev&gt;91863.00&lt;/stddev&gt;&lt;median&gt;400000.00&lt;/median&gt;&lt;percentile&gt;412525.00&lt;/percentile&gt;&lt;max&gt;413000.00&lt;/max&gt;&lt;min&gt;200000.00&lt;/min&gt;&lt;/buy&gt;&lt;sell&gt;&lt;volume&gt;5028&lt;/volume&gt;&lt;avg&gt;471721.16&lt;/avg&gt;&lt;stddev&gt;283335.88&lt;/stddev&gt;&lt;median&gt;466000.00&lt;/median&gt;&lt;percentile&gt;455000.00&lt;/percentile&gt;&lt;max&gt;1829000.00&lt;/max&gt;&lt;min&gt;455000.00&lt;/min&gt;&lt;/sell&gt;&lt;/type&gt;&lt;type id="28668"&gt;&lt;buy&gt;&lt;volume&gt;442497&lt;/volume&gt;&lt;avg&gt;18975.23&lt;/avg&gt;&lt;stddev&gt;2113.41&lt;/stddev&gt;&lt;median&gt;19310.00&lt;/median&gt;&lt;percentile&gt;19350.63&lt;/percentile&gt;&lt;max&gt;19400.00&lt;/max&gt;&lt;min&gt;12900.00&lt;/min&gt;&lt;/buy&gt;&lt;sell&gt;&lt;volume&gt;2475781&lt;/volume&gt;&lt;avg&gt;21882.13&lt;/avg&gt;&lt;stddev&gt;1358.38&lt;/stddev&gt;&lt;median&gt;21585.00&lt;/median&gt;&lt;percentile&gt;21210.00&lt;/percentile&gt;&lt;max&gt;30000.00&lt;/max&gt;&lt;min&gt;21200.00&lt;/min&gt;&lt;/sell&gt;&lt;/type&gt;&lt;type id="44992"&gt;&lt;buy&gt;&lt;volume&gt;250928&lt;/volume&gt;&lt;avg&gt;2512619.83&lt;/avg&gt;&lt;stddev&gt;641690.86&lt;/stddev&gt;&lt;median&gt;2707000.00&lt;/median&gt;&lt;percentile&gt;2748114.49&lt;/percentile&gt;&lt;max&gt;2753000.00&lt;/max&gt;&lt;min&gt;29210.00&lt;/min&gt;&lt;/buy&gt;&lt;sell&gt;&lt;volume&gt;448436&lt;/volume&gt;&lt;avg&gt;3008542.39&lt;/avg&gt;&lt;stddev&gt;623679.21&lt;/stddev&gt;&lt;median&gt;2993000.00&lt;/median&gt;&lt;percentile&gt;2915542.91&lt;/percentile&gt;&lt;max&gt;9000000.00&lt;/max&gt;&lt;min&gt;2753000.00&lt;/min&gt;&lt;/sell&gt;&lt;/type&gt;&lt;type id="47867"&gt;&lt;buy&gt;&lt;volume&gt;907&lt;/volume&gt;&lt;avg&gt;14115.30&lt;/avg&gt;&lt;stddev&gt;9509.60&lt;/stddev&gt;&lt;median&gt;8001.00&lt;/median&gt;&lt;percentile&gt;25011.23&lt;/percentile&gt;&lt;max&gt;25030.00&lt;/max&gt;&lt;min&gt;5101.00&lt;/min&gt;&lt;/buy&gt;&lt;sell&gt;&lt;volume&gt;18083&lt;/volume&gt;&lt;avg&gt;149765.66&lt;/avg&gt;&lt;stddev&gt;33515.87&lt;/stddev&gt;&lt;median&gt;157700.00&lt;/median&gt;&lt;percentile&gt;98879.25&lt;/percentile&gt;&lt;max&gt;200000.00&lt;/max&gt;&lt;min&gt;97490.00&lt;/min&gt;&lt;/sell&gt;&lt;/type&gt;&lt;type id="49742"&gt;&lt;buy&gt;&lt;volume&gt;585&lt;/volume&gt;&lt;avg&gt;24374.36&lt;/avg&gt;&lt;stddev&gt;8418.19&lt;/stddev&gt;&lt;median&gt;30070.00&lt;/median&gt;&lt;percentile&gt;30449.23&lt;/percentile&gt;&lt;max&gt;35000.00&lt;/max&gt;&lt;min&gt;13100.00&lt;/min&gt;&lt;/buy&gt;&lt;sell&gt;&lt;volume&gt;14092&lt;/volume&gt;&lt;avg&gt;251032.71&lt;/avg&gt;&lt;stddev&gt;99305.77&lt;/stddev&gt;&lt;median&gt;225800.00&lt;/median&gt;&lt;percentile&gt;97889.11&lt;/percentile&gt;&lt;max&gt;449000.00&lt;/max&gt;&lt;min&gt;97860.00&lt;/min&gt;&lt;/sell&gt;&lt;/type&gt;&lt;type id="32006"&gt;&lt;buy&gt;&lt;volume&gt;26450&lt;/volume&gt;&lt;avg&gt;88524.59&lt;/avg&gt;&lt;stddev&gt;12032.95&lt;/stddev&gt;&lt;median&gt;75105.00&lt;/median&gt;&lt;percentile&gt;98913.33&lt;/percentile&gt;&lt;max&gt;98920.00&lt;/max&gt;&lt;min&gt;59430.00&lt;/min&gt;&lt;/buy&gt;&lt;sell&gt;&lt;volume&gt;227785&lt;/volume&gt;&lt;avg&gt;123748.60&lt;/avg&gt;&lt;stddev&gt;32808.54&lt;/stddev&gt;&lt;median&gt;120000.00&lt;/median&gt;&lt;percentile&gt;114711.56&lt;/percentile&gt;&lt;max&gt;250000.00&lt;/max&gt;&lt;min&gt;114400.00&lt;/min&gt;&lt;/sell&gt;&lt;/type&gt;&lt;type id="32014"&gt;&lt;buy&gt;&lt;volume&gt;25450&lt;/volume&gt;&lt;avg&gt;186726.92&lt;/avg&gt;&lt;stddev&gt;24011.51&lt;/stddev&gt;&lt;median&gt;187100.00&lt;/median&gt;&lt;percentile&gt;190933.33&lt;/percentile&gt;&lt;max&gt;191600.00&lt;/max&gt;&lt;min&gt;120000.00&lt;/min&gt;&lt;/buy&gt;&lt;sell&gt;&lt;volume&gt;90909&lt;/volume&gt;&lt;avg&gt;227335.00&lt;/avg&gt;&lt;stddev&gt;17588.45&lt;/stddev&gt;&lt;median&gt;220000.00&lt;/median&gt;&lt;percentile&gt;213361.93&lt;/percentile&gt;&lt;max&gt;276000.00&lt;/max&gt;&lt;min&gt;213200.00&lt;/min&gt;&lt;/sell&gt;&lt;/type&gt;&lt;type id="41490"&gt;&lt;buy&gt;&lt;volume&gt;7730&lt;/volume&gt;&lt;avg&gt;744048.12&lt;/avg&gt;&lt;stddev&gt;25661.20&lt;/stddev&gt;&lt;median&gt;737500.00&lt;/median&gt;&lt;percentile&gt;781258.82&lt;/percentile&gt;&lt;max&gt;781500.00&lt;/max&gt;&lt;min&gt;700000.00&lt;/min&gt;&lt;/buy&gt;&lt;sell&gt;&lt;volume&gt;36502&lt;/volume&gt;&lt;avg&gt;926376.24&lt;/avg&gt;&lt;stddev&gt;68621.83&lt;/stddev&gt;&lt;median&gt;900000.00&lt;/median&gt;&lt;percentile&gt;868611.48&lt;/percentile&gt;&lt;max&gt;1130000.00&lt;/max&gt;&lt;min&gt;868500.00&lt;/min&gt;&lt;/sell&gt;&lt;/type&gt;&lt;type id="42832"&gt;&lt;buy&gt;&lt;volume&gt;1269744&lt;/volume&gt;&lt;avg&gt;395.16&lt;/avg&gt;&lt;stddev&gt;32.56&lt;/stddev&gt;&lt;median&gt;416.50&lt;/median&gt;&lt;percentile&gt;428.47&lt;/percentile&gt;&lt;max&gt;428.70&lt;/max&gt;&lt;min&gt;324.20&lt;/min&gt;&lt;/buy&gt;&lt;sell&gt;&lt;volume&gt;2658185&lt;/volume&gt;&lt;avg&gt;738.75&lt;/avg&gt;&lt;stddev&gt;128.21&lt;/stddev&gt;&lt;median&gt;708.00&lt;/median&gt;&lt;percentile&gt;669.77&lt;/percentile&gt;&lt;max&gt;1398.00&lt;/max&gt;&lt;min&gt;668.80&lt;/min&gt;&lt;/sell&gt;&lt;/type&gt;&lt;type id="42834"&gt;&lt;buy&gt;&lt;volume&gt;1522741&lt;/volume&gt;&lt;avg&gt;341.55&lt;/avg&gt;&lt;stddev&gt;67.76&lt;/stddev&gt;&lt;median&gt;355.20&lt;/median&gt;&lt;percentile&gt;400.57&lt;/percentile&gt;&lt;max&gt;402.10&lt;/max&gt;&lt;min&gt;187.00&lt;/min&gt;&lt;/buy&gt;&lt;sell&gt;&lt;volume&gt;3275782&lt;/volume&gt;&lt;avg&gt;567.91&lt;/avg&gt;&lt;stddev&gt;85.34&lt;/stddev&gt;&lt;median&gt;579.00&lt;/median&gt;&lt;percentile&gt;519.13&lt;/percentile&gt;&lt;max&gt;908.80&lt;/max&gt;&lt;min&gt;519.00&lt;/min&gt;&lt;/sell&gt;&lt;/type&gt;&lt;type id="42833"&gt;&lt;buy&gt;&lt;volume&gt;1720465&lt;/volume&gt;&lt;avg&gt;326.41&lt;/avg&gt;&lt;stddev&gt;107.00&lt;/stddev&gt;&lt;median&gt;369.20&lt;/median&gt;&lt;percentile&gt;431.27&lt;/percentile&gt;&lt;max&gt;431.50&lt;/max&gt;&lt;min&gt;100.00&lt;/min&gt;&lt;/buy&gt;&lt;sell&gt;&lt;volume&gt;3470309&lt;/volume&gt;&lt;avg&gt;625.58&lt;/avg&gt;&lt;stddev&gt;19.15&lt;/stddev&gt;&lt;median&gt;626.20&lt;/median&gt;&lt;percentile&gt;600.08&lt;/percentile&gt;&lt;max&gt;665.90&lt;/max&gt;&lt;min&gt;598.30&lt;/min&gt;&lt;/sell&gt;&lt;/type&gt;&lt;type id="42835"&gt;&lt;buy&gt;&lt;volume&gt;160000&lt;/volume&gt;&lt;avg&gt;445.00&lt;/avg&gt;&lt;stddev&gt;0.00&lt;/stddev&gt;&lt;median&gt;445.00&lt;/median&gt;&lt;percentile&gt;445.00&lt;/percentile&gt;&lt;max&gt;445.00&lt;/max&gt;&lt;min&gt;445.00&lt;/min&gt;&lt;/buy&gt;&lt;sell&gt;&lt;volume&gt;1789386&lt;/volume&gt;&lt;avg&gt;633.44&lt;/avg&gt;&lt;stddev&gt;119.25&lt;/stddev&gt;&lt;median&gt;642.90&lt;/median&gt;&lt;percentile&gt;499.55&lt;/percentile&gt;&lt;max&gt;988.80&lt;/max&gt;&lt;min&gt;499.30&lt;/min&gt;&lt;/sell&gt;&lt;/type&gt;&lt;type id="42831"&gt;&lt;buy&gt;&lt;volume&gt;1405000&lt;/volume&gt;&lt;avg&gt;140.91&lt;/avg&gt;&lt;stddev&gt;2.09&lt;/stddev&gt;&lt;median&gt;142.10&lt;/median&gt;&lt;percentile&gt;142.10&lt;/percentile&gt;&lt;max&gt;142.10&lt;/max&gt;&lt;min&gt;137.00&lt;/min&gt;&lt;/buy&gt;&lt;sell&gt;&lt;volume&gt;5084084&lt;/volume&gt;&lt;avg&gt;306.62&lt;/avg&gt;&lt;stddev&gt;78.32&lt;/stddev&gt;&lt;median&gt;368.95&lt;/median&gt;&lt;percentile&gt;237.90&lt;/percentile&gt;&lt;max&gt;430.30&lt;/max&gt;&lt;min&gt;237.90&lt;/min&gt;&lt;/sell&gt;&lt;/type&gt;&lt;type id="42829"&gt;&lt;buy&gt;&lt;volume&gt;2655000&lt;/volume&gt;&lt;avg&gt;263.05&lt;/avg&gt;&lt;stddev&gt;30.71&lt;/stddev&gt;&lt;median&gt;270.20&lt;/median&gt;&lt;percentile&gt;270.20&lt;/percentile&gt;&lt;max&gt;270.20&lt;/max&gt;&lt;min&gt;200.00&lt;/min&gt;&lt;/buy&gt;&lt;sell&gt;&lt;volume&gt;5815241&lt;/volume&gt;&lt;avg&gt;400.80&lt;/avg&gt;&lt;stddev&gt;101.89&lt;/stddev&gt;&lt;median&gt;384.10&lt;/median&gt;&lt;percentile&gt;353.40&lt;/percentile&gt;&lt;max&gt;711.00&lt;/max&gt;&lt;min&gt;353.40&lt;/min&gt;&lt;/sell&gt;&lt;/type&gt;&lt;type id="42830"&gt;&lt;buy&gt;&lt;volume&gt;3306411&lt;/volume&gt;&lt;avg&gt;146.83&lt;/avg&gt;&lt;stddev&gt;13.63&lt;/stddev&gt;&lt;median&gt;149.90&lt;/median&gt;&lt;percentile&gt;157.05&lt;/percentile&gt;&lt;max&gt;157.10&lt;/max&gt;&lt;min&gt;120.00&lt;/min&gt;&lt;/buy&gt;&lt;sell&gt;&lt;volume&gt;2978018&lt;/volume&gt;&lt;avg&gt;309.95&lt;/avg&gt;&lt;stddev&gt;79.99&lt;/stddev&gt;&lt;median&gt;288.90&lt;/median&gt;&lt;percentile&gt;222.30&lt;/percentile&gt;&lt;max&gt;449.70&lt;/max&gt;&lt;min&gt;222.30&lt;/min&gt;&lt;/sell&gt;&lt;/type&gt;&lt;type id="42694"&gt;&lt;buy&gt;&lt;volume&gt;371598&lt;/volume&gt;&lt;avg&gt;303.19&lt;/avg&gt;&lt;stddev&gt;20.42&lt;/stddev&gt;&lt;median&gt;307.45&lt;/median&gt;&lt;percentile&gt;308.20&lt;/percentile&gt;&lt;max&gt;308.20&lt;/max&gt;&lt;min&gt;260.00&lt;/min&gt;&lt;/buy&gt;&lt;sell&gt;&lt;volume&gt;2101299&lt;/volume&gt;&lt;avg&gt;432.19&lt;/avg&gt;&lt;stddev&gt;105.80&lt;/stddev&gt;&lt;median&gt;394.65&lt;/median&gt;&lt;percentile&gt;394.47&lt;/percentile&gt;&lt;max&gt;809.90&lt;/max&gt;&lt;min&gt;393.90&lt;/min&gt;&lt;/sell&gt;&lt;/type&gt;&lt;type id="42696"&gt;&lt;buy&gt;&lt;volume&gt;560000&lt;/volume&gt;&lt;avg&gt;282.46&lt;/avg&gt;&lt;stddev&gt;41.26&lt;/stddev&gt;&lt;median&gt;283.70&lt;/median&gt;&lt;percentile&gt;292.10&lt;/percentile&gt;&lt;max&gt;292.10&lt;/max&gt;&lt;min&gt;150.00&lt;/min&gt;&lt;/buy&gt;&lt;sell&gt;&lt;volume&gt;5198085&lt;/volume&gt;&lt;avg&gt;533.41&lt;/avg&gt;&lt;stddev&gt;127.74&lt;/stddev&gt;&lt;median&gt;543.50&lt;/median&gt;&lt;percentile&gt;399.87&lt;/percentile&gt;&lt;max&gt;927.80&lt;/max&gt;&lt;min&gt;398.90&lt;/min&gt;&lt;/sell&gt;&lt;/type&gt;&lt;type id="42695"&gt;&lt;buy&gt;&lt;volume&gt;2009297&lt;/volume&gt;&lt;avg&gt;283.63&lt;/avg&gt;&lt;stddev&gt;114.92&lt;/stddev&gt;&lt;median&gt;362.30&lt;/median&gt;&lt;percentile&gt;420.95&lt;/percentile&gt;&lt;max&gt;422.10&lt;/max&gt;&lt;min&gt;97.03&lt;/min&gt;&lt;/buy&gt;&lt;sell&gt;&lt;volume&gt;5009290&lt;/volume&gt;&lt;avg&gt;552.69&lt;/avg&gt;&lt;stddev&gt;65.00&lt;/stddev&gt;&lt;median&gt;567.50&lt;/median&gt;&lt;percentile&gt;462.75&lt;/percentile&gt;&lt;max&gt;654.90&lt;/max&gt;&lt;min&gt;462.70&lt;/min&gt;&lt;/sell&gt;&lt;/type&gt;&lt;type id="42838"&gt;&lt;buy&gt;&lt;volume&gt;1073841&lt;/volume&gt;&lt;avg&gt;345.53&lt;/avg&gt;&lt;stddev&gt;24.87&lt;/stddev&gt;&lt;median&gt;349.30&lt;/median&gt;&lt;percentile&gt;371.14&lt;/percentile&gt;&lt;max&gt;371.20&lt;/max&gt;&lt;min&gt;300.30&lt;/min&gt;&lt;/buy&gt;&lt;sell&gt;&lt;volume&gt;1390886&lt;/volume&gt;&lt;avg&gt;638.83&lt;/avg&gt;&lt;stddev&gt;123.31&lt;/stddev&gt;&lt;median&gt;648.25&lt;/median&gt;&lt;percentile&gt;547.80&lt;/percentile&gt;&lt;max&gt;856.60&lt;/max&gt;&lt;min&gt;547.80&lt;/min&gt;&lt;/sell&gt;&lt;/type&gt;&lt;type id="42839"&gt;&lt;buy&gt;&lt;volume&gt;1049567&lt;/volume&gt;&lt;avg&gt;252.89&lt;/avg&gt;&lt;stddev&gt;62.03&lt;/stddev&gt;&lt;median&gt;303.90&lt;/median&gt;&lt;percentile&gt;307.00&lt;/percentile&gt;&lt;max&gt;307.00&lt;/max&gt;&lt;min&gt;170.60&lt;/min&gt;&lt;/buy&gt;&lt;sell&gt;&lt;volume&gt;2878011&lt;/volume&gt;&lt;avg&gt;649.54&lt;/avg&gt;&lt;stddev&gt;91.98&lt;/stddev&gt;&lt;median&gt;648.70&lt;/median&gt;&lt;percentile&gt;480.00&lt;/percentile&gt;&lt;max&gt;797.60&lt;/max&gt;&lt;min&gt;480.00&lt;/min&gt;&lt;/sell&gt;&lt;/type&gt;&lt;type id="42840"&gt;&lt;buy&gt;&lt;volume&gt;1523997&lt;/volume&gt;&lt;avg&gt;300.40&lt;/avg&gt;&lt;stddev&gt;109.96&lt;/stddev&gt;&lt;median&gt;210.50&lt;/median&gt;&lt;percentile&gt;418.65&lt;/percentile&gt;&lt;max&gt;418.90&lt;/max&gt;&lt;min&gt;174.00&lt;/min&gt;&lt;/buy&gt;&lt;sell&gt;&lt;volume&gt;839599&lt;/volume&gt;&lt;avg&gt;600.20&lt;/avg&gt;&lt;stddev&gt;200.65&lt;/stddev&gt;&lt;median&gt;549.90&lt;/median&gt;&lt;percentile&gt;450.00&lt;/percentile&gt;&lt;max&gt;939.70&lt;/max&gt;&lt;min&gt;450.00&lt;/min&gt;&lt;/sell&gt;&lt;/type&gt;&lt;type id="47931"&gt;&lt;buy&gt;&lt;volume&gt;882000&lt;/volume&gt;&lt;avg&gt;1256.16&lt;/avg&gt;&lt;stddev&gt;84.05&lt;/stddev&gt;&lt;median&gt;1224.00&lt;/median&gt;&lt;percentile&gt;1313.00&lt;/percentile&gt;&lt;max&gt;1313.00&lt;/max&gt;&lt;min&gt;1100.00&lt;/min&gt;&lt;/buy&gt;&lt;sell&gt;&lt;volume&gt;1860564&lt;/volume&gt;&lt;avg&gt;1528.07&lt;/avg&gt;&lt;stddev&gt;146.58&lt;/stddev&gt;&lt;median&gt;1514.00&lt;/median&gt;&lt;percentile&gt;1431.50&lt;/percentile&gt;&lt;max&gt;1998.00&lt;/max&gt;&lt;min&gt;1431.00&lt;/min&gt;&lt;/sell&gt;&lt;/type&gt;&lt;type id="47930"&gt;&lt;buy&gt;&lt;volume&gt;795000&lt;/volume&gt;&lt;avg&gt;1328.20&lt;/avg&gt;&lt;stddev&gt;8.57&lt;/stddev&gt;&lt;median&gt;1324.00&lt;/median&gt;&lt;percentile&gt;1334.00&lt;/percentile&gt;&lt;max&gt;1334.00&lt;/max&gt;&lt;min&gt;1312.00&lt;/min&gt;&lt;/buy&gt;&lt;sell&gt;&lt;volume&gt;1939526&lt;/volume&gt;&lt;avg&gt;1663.99&lt;/avg&gt;&lt;stddev&gt;149.33&lt;/stddev&gt;&lt;median&gt;1626.00&lt;/median&gt;&lt;percentile&gt;1496.76&lt;/percentile&gt;&lt;max&gt;2187.00&lt;/max&gt;&lt;min&gt;1496.00&lt;/min&gt;&lt;/sell&gt;&lt;/type&gt;&lt;type id="47927"&gt;&lt;buy&gt;&lt;volume&gt;250000&lt;/volume&gt;&lt;avg&gt;679.96&lt;/avg&gt;&lt;stddev&gt;106.95&lt;/stddev&gt;&lt;median&gt;754.00&lt;/median&gt;&lt;percentile&gt;754.10&lt;/percentile&gt;&lt;max&gt;754.10&lt;/max&gt;&lt;min&gt;568.80&lt;/min&gt;&lt;/buy&gt;&lt;sell&gt;&lt;volume&gt;3492876&lt;/volume&gt;&lt;avg&gt;1053.66&lt;/avg&gt;&lt;stddev&gt;170.57&lt;/stddev&gt;&lt;median&gt;945.40&lt;/median&gt;&lt;percentile&gt;939.38&lt;/percentile&gt;&lt;max&gt;1485.00&lt;/max&gt;&lt;min&gt;816.10&lt;/min&gt;&lt;/sell&gt;&lt;/type&gt;&lt;type id="47926"&gt;&lt;buy&gt;&lt;volume&gt;809500&lt;/volume&gt;&lt;avg&gt;783.33&lt;/avg&gt;&lt;stddev&gt;27.19&lt;/stddev&gt;&lt;median&gt;801.65&lt;/median&gt;&lt;percentile&gt;803.90&lt;/percentile&gt;&lt;max&gt;803.90&lt;/max&gt;&lt;min&gt;742.00&lt;/min&gt;&lt;/buy&gt;&lt;sell&gt;&lt;volume&gt;3349953&lt;/volume&gt;&lt;avg&gt;1014.97&lt;/avg&gt;&lt;stddev&gt;221.50&lt;/stddev&gt;&lt;median&gt;899.40&lt;/median&gt;&lt;percentile&gt;880.63&lt;/percentile&gt;&lt;max&gt;1622.00&lt;/max&gt;&lt;min&gt;880.50&lt;/min&gt;&lt;/sell&gt;&lt;/type&gt;&lt;type id="12557"&gt;&lt;buy&gt;&lt;volume&gt;470&lt;/volume&gt;&lt;avg&gt;61183.83&lt;/avg&gt;&lt;stddev&gt;16022.46&lt;/stddev&gt;&lt;median&gt;48935.00&lt;/median&gt;&lt;percentile&gt;80720.00&lt;/percentile&gt;&lt;max&gt;80720.00&lt;/max&gt;&lt;min&gt;47340.00&lt;/min&gt;&lt;/buy&gt;&lt;sell&gt;&lt;volume&gt;7747&lt;/volume&gt;&lt;avg&gt;130716.54&lt;/avg&gt;&lt;stddev&gt;22949.65&lt;/stddev&gt;&lt;median&gt;114000.00&lt;/median&gt;&lt;percentile&gt;99262.05&lt;/percentile&gt;&lt;max&gt;200000.00&lt;/max&gt;&lt;min&gt;99230.00&lt;/min&gt;&lt;/sell&gt;&lt;/type&gt;&lt;type id="12816"&gt;&lt;buy&gt;&lt;volume&gt;2245&lt;/volume&gt;&lt;avg&gt;471426.95&lt;/avg&gt;&lt;stddev&gt;1905.02&lt;/stddev&gt;&lt;median&gt;471300.00&lt;/median&gt;&lt;percentile&gt;472676.92&lt;/percentile&gt;&lt;max&gt;472700.00&lt;/max&gt;&lt;min&gt;467000.00&lt;/min&gt;&lt;/buy&gt;&lt;sell&gt;&lt;volume&gt;16851&lt;/volume&gt;&lt;avg&gt;572794.45&lt;/avg&gt;&lt;stddev&gt;44621.08&lt;/stddev&gt;&lt;median&gt;549000.00&lt;/median&gt;&lt;percentile&gt;538700.00&lt;/percentile&gt;&lt;max&gt;680000.00&lt;/max&gt;&lt;min&gt;538700.00&lt;/min&gt;&lt;/sell&gt;&lt;/type&gt;&lt;type id="12820"&gt;&lt;buy&gt;&lt;volume&gt;2374&lt;/volume&gt;&lt;avg&gt;510553.66&lt;/avg&gt;&lt;stddev&gt;35330.71&lt;/stddev&gt;&lt;median&gt;513800.00&lt;/median&gt;&lt;percentile&gt;520004.21&lt;/percentile&gt;&lt;max&gt;520100.00&lt;/max&gt;&lt;min&gt;416000.00&lt;/min&gt;&lt;/buy&gt;&lt;sell&gt;&lt;volume&gt;15277&lt;/volume&gt;&lt;avg&gt;614963.85&lt;/avg&gt;&lt;stddev&gt;37555.93&lt;/stddev&gt;&lt;median&gt;600000.00&lt;/median&gt;&lt;percentile&gt;582069.39&lt;/percentile&gt;&lt;max&gt;779000.00&lt;/max&gt;&lt;min&gt;581700.00&lt;/min&gt;&lt;/sell&gt;&lt;/type&gt;&lt;type id="12818"&gt;&lt;buy&gt;&lt;volume&gt;450&lt;/volume&gt;&lt;avg&gt;97033.33&lt;/avg&gt;&lt;stddev&gt;120985.97&lt;/stddev&gt;&lt;median&gt;40000.00&lt;/median&gt;&lt;percentile&gt;211100.00&lt;/percentile&gt;&lt;max&gt;211100.00&lt;/max&gt;&lt;min&gt;40000.00&lt;/min&gt;&lt;/buy&gt;&lt;sell&gt;&lt;volume&gt;12522&lt;/volume&gt;&lt;avg&gt;299484.84&lt;/avg&gt;&lt;stddev&gt;78000.77&lt;/stddev&gt;&lt;median&gt;315700.00&lt;/median&gt;&lt;percentile&gt;244000.00&lt;/percentile&gt;&lt;max&gt;589800.00&lt;/max&gt;&lt;min&gt;244000.00&lt;/min&gt;&lt;/sell&gt;&lt;/type&gt;&lt;type id="12565"&gt;&lt;buy&gt;&lt;volume&gt;9085&lt;/volume&gt;&lt;avg&gt;64737.73&lt;/avg&gt;&lt;stddev&gt;2585.74&lt;/stddev&gt;&lt;median&gt;64850.00&lt;/median&gt;&lt;percentile&gt;65524.84&lt;/percentile&gt;&lt;max&gt;65540.00&lt;/max&gt;&lt;min&gt;57030.00&lt;/min&gt;&lt;/buy&gt;&lt;sell&gt;&lt;volume&gt;22775&lt;/volume&gt;&lt;avg&gt;125604.87&lt;/avg&gt;&lt;stddev&gt;33740.58&lt;/stddev&gt;&lt;median&gt;110200.00&lt;/median&gt;&lt;percentile&gt;93260.00&lt;/percentile&gt;&lt;max&gt;191900.00&lt;/max&gt;&lt;min&gt;93260.00&lt;/min&gt;&lt;/sell&gt;&lt;/type&gt;&lt;type id="23105"&gt;&lt;buy&gt;&lt;volume&gt;2545&lt;/volume&gt;&lt;avg&gt;737956.97&lt;/avg&gt;&lt;stddev&gt;67006.64&lt;/stddev&gt;&lt;median&gt;750000.00&lt;/median&gt;&lt;percentile&gt;802522.84&lt;/percentile&gt;&lt;max&gt;802700.00&lt;/max&gt;&lt;min&gt;610300.00&lt;/min&gt;&lt;/buy&gt;&lt;sell&gt;&lt;volume&gt;2007&lt;/volume&gt;&lt;avg&gt;1095272.55&lt;/avg&gt;&lt;stddev&gt;3437.76&lt;/stddev&gt;&lt;median&gt;1096000.00&lt;/median&gt;&lt;percentile&gt;1090000.00&lt;/percentile&gt;&lt;max&gt;1100000.00&lt;/max&gt;&lt;min&gt;1090000.00&lt;/min&gt;&lt;/sell&gt;&lt;/type&gt;&lt;type id="23089"&gt;&lt;buy&gt;&lt;volume&gt;1690&lt;/volume&gt;&lt;avg&gt;401813.49&lt;/avg&gt;&lt;stddev&gt;6680.27&lt;/stddev&gt;&lt;median&gt;398450.00&lt;/median&gt;&lt;percentile&gt;408700.00&lt;/percentile&gt;&lt;max&gt;408700.00&lt;/max&gt;&lt;min&gt;390200.00&lt;/min&gt;&lt;/buy&gt;&lt;sell&gt;&lt;volume&gt;12665&lt;/volume&gt;&lt;avg&gt;517026.51&lt;/avg&gt;&lt;stddev&gt;17786.57&lt;/stddev&gt;&lt;median&gt;509000.00&lt;/median&gt;&lt;percentile&gt;503813.94&lt;/percentile&gt;&lt;max&gt;558300.00&lt;/max&gt;&lt;min&gt;503700.00&lt;/min&gt;&lt;/sell&gt;&lt;/type&gt;&lt;type id="23071"&gt;&lt;buy&gt;&lt;volume&gt;10689&lt;/volume&gt;&lt;avg&gt;248882.30&lt;/avg&gt;&lt;stddev&gt;10649.56&lt;/stddev&gt;&lt;median&gt;257300.00&lt;/median&gt;&lt;percentile&gt;260600.00&lt;/percentile&gt;&lt;max&gt;260600.00&lt;/max&gt;&lt;min&gt;223100.00&lt;/min&gt;&lt;/buy&gt;&lt;sell&gt;&lt;volume&gt;1626&lt;/volume&gt;&lt;avg&gt;662622.08&lt;/avg&gt;&lt;stddev&gt;557563.93&lt;/stddev&gt;&lt;median&gt;789000.00&lt;/median&gt;&lt;percentile&gt;419900.00&lt;/percentile&gt;&lt;max&gt;1900000.00&lt;/max&gt;&lt;min&gt;419900.00&lt;/min&gt;&lt;/sell&gt;&lt;/type&gt;&lt;type id="12787"&gt;&lt;buy&gt;&lt;volume&gt;4712622&lt;/volume&gt;&lt;avg&gt;315.75&lt;/avg&gt;&lt;stddev&gt;6.21&lt;/stddev&gt;&lt;median&gt;315.55&lt;/median&gt;&lt;percentile&gt;320.10&lt;/percentile&gt;&lt;max&gt;320.10&lt;/max&gt;&lt;min&gt;300.00&lt;/min&gt;&lt;/buy&gt;&lt;sell&gt;&lt;volume&gt;15211920&lt;/volume&gt;&lt;avg&gt;386.68&lt;/avg&gt;&lt;stddev&gt;30.63&lt;/stddev&gt;&lt;median&gt;382.15&lt;/median&gt;&lt;percentile&gt;359.00&lt;/percentile&gt;&lt;max&gt;507.70&lt;/max&gt;&lt;min&gt;359.00&lt;/min&gt;&lt;/sell&gt;&lt;/type&gt;&lt;type id="12785"&gt;&lt;buy&gt;&lt;volume&gt;7281412&lt;/volume&gt;&lt;avg&gt;134.35&lt;/avg&gt;&lt;stddev&gt;13.21&lt;/stddev&gt;&lt;median&gt;140.10&lt;/median&gt;&lt;percentile&gt;140.10&lt;/percentile&gt;&lt;max&gt;140.20&lt;/max&gt;&lt;min&gt;110.10&lt;/min&gt;&lt;/buy&gt;&lt;sell&gt;&lt;volume&gt;14158346&lt;/volume&gt;&lt;avg&gt;184.05&lt;/avg&gt;&lt;stddev&gt;27.52&lt;/stddev&gt;&lt;median&gt;168.70&lt;/median&gt;&lt;percentile&gt;158.60&lt;/percentile&gt;&lt;max&gt;239.80&lt;/max&gt;&lt;min&gt;158.50&lt;/min&gt;&lt;/sell&gt;&lt;/type&gt;&lt;type id="12789"&gt;&lt;buy&gt;&lt;volume&gt;1475000&lt;/volume&gt;&lt;avg&gt;114.84&lt;/avg&gt;&lt;stddev&gt;3.14&lt;/stddev&gt;&lt;median&gt;112.80&lt;/median&gt;&lt;percentile&gt;120.20&lt;/percentile&gt;&lt;max&gt;120.20&lt;/max&gt;&lt;min&gt;112.80&lt;/min&gt;&lt;/buy&gt;&lt;sell&gt;&lt;volume&gt;17983861&lt;/volume&gt;&lt;avg&gt;163.18&lt;/avg&gt;&lt;stddev&gt;38.37&lt;/stddev&gt;&lt;median&gt;149.00&lt;/median&gt;&lt;percentile&gt;137.21&lt;/percentile&gt;&lt;max&gt;260.90&lt;/max&gt;&lt;min&gt;136.80&lt;/min&gt;&lt;/sell&gt;&lt;/type&gt;&lt;type id="12614"&gt;&lt;buy&gt;&lt;volume&gt;13041757&lt;/volume&gt;&lt;avg&gt;41.28&lt;/avg&gt;&lt;stddev&gt;3.29&lt;/stddev&gt;&lt;median&gt;44.34&lt;/median&gt;&lt;percentile&gt;44.56&lt;/percentile&gt;&lt;max&gt;44.65&lt;/max&gt;&lt;min&gt;34.07&lt;/min&gt;&lt;/buy&gt;&lt;sell&gt;&lt;volume&gt;23118608&lt;/volume&gt;&lt;avg&gt;67.98&lt;/avg&gt;&lt;stddev&gt;6.95&lt;/stddev&gt;&lt;median&gt;60.50&lt;/median&gt;&lt;percentile&gt;60.45&lt;/percentile&gt;&lt;max&gt;79.46&lt;/max&gt;&lt;min&gt;60.43&lt;/min&gt;&lt;/sell&gt;&lt;/type&gt;&lt;type id="12612"&gt;&lt;buy&gt;&lt;volume&gt;1300000&lt;/volume&gt;&lt;avg&gt;36.85&lt;/avg&gt;&lt;stddev&gt;4.29&lt;/stddev&gt;&lt;median&gt;35.00&lt;/median&gt;&lt;percentile&gt;44.69&lt;/percentile&gt;&lt;max&gt;44.69&lt;/max&gt;&lt;min&gt;35.00&lt;/min&gt;&lt;/buy&gt;&lt;sell&gt;&lt;volume&gt;34745225&lt;/volume&gt;&lt;avg&gt;52.69&lt;/avg&gt;&lt;stddev&gt;6.06&lt;/stddev&gt;&lt;median&gt;51.00&lt;/median&gt;&lt;percentile&gt;47.89&lt;/percentile&gt;&lt;max&gt;79.31&lt;/max&gt;&lt;min&gt;47.88&lt;/min&gt;&lt;/sell&gt;&lt;/type&gt;&lt;type id="12801"&gt;&lt;buy&gt;&lt;volume&gt;605000&lt;/volume&gt;&lt;avg&gt;122.95&lt;/avg&gt;&lt;stddev&gt;19.64&lt;/stddev&gt;&lt;median&gt;125.00&lt;/median&gt;&lt;percentile&gt;125.30&lt;/percentile&gt;&lt;max&gt;125.30&lt;/max&gt;&lt;min&gt;80.43&lt;/min&gt;&lt;/buy&gt;&lt;sell&gt;&lt;volume&gt;17230219&lt;/volume&gt;&lt;avg&gt;167.23&lt;/avg&gt;&lt;stddev&gt;60.55&lt;/stddev&gt;&lt;median&gt;148.50&lt;/median&gt;&lt;percentile&gt;145.51&lt;/percentile&gt;&lt;max&gt;356.10&lt;/max&gt;&lt;min&gt;145.00&lt;/min&gt;&lt;/sell&gt;&lt;/type&gt;&lt;type id="12805"&gt;&lt;buy&gt;&lt;volume&gt;325000&lt;/volume&gt;&lt;avg&gt;120.20&lt;/avg&gt;&lt;stddev&gt;56.15&lt;/stddev&gt;&lt;median&gt;149.70&lt;/median&gt;&lt;percentile&gt;150.80&lt;/percentile&gt;&lt;max&gt;150.80&lt;/max&gt;&lt;min&gt;53.00&lt;/min&gt;&lt;/buy&gt;&lt;sell&gt;&lt;volume&gt;30340067&lt;/volume&gt;&lt;avg&gt;198.61&lt;/avg&gt;&lt;stddev&gt;30.58&lt;/stddev&gt;&lt;median&gt;176.20&lt;/median&gt;&lt;percentile&gt;174.89&lt;/percentile&gt;&lt;max&gt;248.80&lt;/max&gt;&lt;min&gt;170.00&lt;/min&gt;&lt;/sell&gt;&lt;/type&gt;&lt;type id="12618"&gt;&lt;buy&gt;&lt;volume&gt;7228814&lt;/volume&gt;&lt;avg&gt;32.43&lt;/avg&gt;&lt;stddev&gt;8.68&lt;/stddev&gt;&lt;median&gt;27.22&lt;/median&gt;&lt;percentile&gt;45.00&lt;/percentile&gt;&lt;max&gt;45.00&lt;/max&gt;&lt;min&gt;20.52&lt;/min&gt;&lt;/buy&gt;&lt;sell&gt;&lt;volume&gt;8124621&lt;/volume&gt;&lt;avg&gt;52.05&lt;/avg&gt;&lt;stddev&gt;6.96&lt;/stddev&gt;&lt;median&gt;52.14&lt;/median&gt;&lt;percentile&gt;49.98&lt;/percentile&gt;&lt;max&gt;80.00&lt;/max&gt;&lt;min&gt;49.97&lt;/min&gt;&lt;/sell&gt;&lt;/type&gt;&lt;type id="21740"&gt;&lt;buy&gt;&lt;volume&gt;3623878&lt;/volume&gt;&lt;avg&gt;955.96&lt;/avg&gt;&lt;stddev&gt;45.00&lt;/stddev&gt;&lt;median&gt;950.20&lt;/median&gt;&lt;percentile&gt;989.70&lt;/percentile&gt;&lt;max&gt;989.70&lt;/max&gt;&lt;min&gt;854.50&lt;/min&gt;&lt;/buy&gt;&lt;sell&gt;&lt;volume&gt;2081372&lt;/volume&gt;&lt;avg&gt;1215.70&lt;/avg&gt;&lt;stddev&gt;119.44&lt;/stddev&gt;&lt;median&gt;1215.50&lt;/median&gt;&lt;percentile&gt;1099.00&lt;/percentile&gt;&lt;max&gt;1463.00&lt;/max&gt;&lt;min&gt;1099.00&lt;/min&gt;&lt;/sell&gt;&lt;/type&gt;&lt;type id="23025"&gt;&lt;buy&gt;&lt;volume&gt;3001155&lt;/volume&gt;&lt;avg&gt;592.70&lt;/avg&gt;&lt;stddev&gt;25.66&lt;/stddev&gt;&lt;median&gt;598.10&lt;/median&gt;&lt;percentile&gt;601.13&lt;/percentile&gt;&lt;max&gt;601.20&lt;/max&gt;&lt;min&gt;500.50&lt;/min&gt;&lt;/buy&gt;&lt;sell&gt;&lt;volume&gt;8743290&lt;/volume&gt;&lt;avg&gt;798.68&lt;/avg&gt;&lt;stddev&gt;84.56&lt;/stddev&gt;&lt;median&gt;795.90&lt;/median&gt;&lt;percentile&gt;716.78&lt;/percentile&gt;&lt;max&gt;1068.00&lt;/max&gt;&lt;min&gt;716.00&lt;/min&gt;&lt;/sell&gt;&lt;/type&gt;&lt;type id="23035"&gt;&lt;buy&gt;&lt;volume&gt;2297254&lt;/volume&gt;&lt;avg&gt;586.61&lt;/avg&gt;&lt;stddev&gt;67.16&lt;/stddev&gt;&lt;median&gt;594.30&lt;/median&gt;&lt;percentile&gt;601.50&lt;/percentile&gt;&lt;max&gt;601.50&lt;/max&gt;&lt;min&gt;351.30&lt;/min&gt;&lt;/buy&gt;&lt;sell&gt;&lt;volume&gt;2124775&lt;/volume&gt;&lt;avg&gt;830.18&lt;/avg&gt;&lt;stddev&gt;200.42&lt;/stddev&gt;&lt;median&gt;792.80&lt;/median&gt;&lt;percentile&gt;789.87&lt;/percentile&gt;&lt;max&gt;1758.00&lt;/max&gt;&lt;min&gt;789.80&lt;/min&gt;&lt;/sell&gt;&lt;/type&gt;&lt;type id="23039"&gt;&lt;buy&gt;&lt;volume&gt;1804265&lt;/volume&gt;&lt;avg&gt;539.97&lt;/avg&gt;&lt;stddev&gt;54.00&lt;/stddev&gt;&lt;median&gt;550.00&lt;/median&gt;&lt;percentile&gt;552.30&lt;/percentile&gt;&lt;max&gt;552.30&lt;/max&gt;&lt;min&gt;450.50&lt;/min&gt;&lt;/buy&gt;&lt;sell&gt;&lt;volume&gt;4306310&lt;/volume&gt;&lt;avg&gt;821.51&lt;/avg&gt;&lt;stddev&gt;214.44&lt;/stddev&gt;&lt;median&gt;738.05&lt;/median&gt;&lt;percentile&gt;734.60&lt;/percentile&gt;&lt;max&gt;1500.00&lt;/max&gt;&lt;min&gt;734.60&lt;/min&gt;&lt;/sell&gt;&lt;/type&gt;&lt;type id="23033"&gt;&lt;buy&gt;&lt;volume&gt;774195&lt;/volume&gt;&lt;avg&gt;552.17&lt;/avg&gt;&lt;stddev&gt;10.40&lt;/stddev&gt;&lt;median&gt;557.50&lt;/median&gt;&lt;percentile&gt;558.60&lt;/percentile&gt;&lt;max&gt;558.60&lt;/max&gt;&lt;min&gt;536.30&lt;/min&gt;&lt;/buy&gt;&lt;sell&gt;&lt;volume&gt;2614665&lt;/volume&gt;&lt;avg&gt;751.65&lt;/avg&gt;&lt;stddev&gt;0.50&lt;/stddev&gt;&lt;median&gt;752.20&lt;/median&gt;&lt;percentile&gt;750.80&lt;/percentile&gt;&lt;max&gt;752.30&lt;/max&gt;&lt;min&gt;750.80&lt;/min&gt;&lt;/sell&gt;&lt;/type&gt;&lt;type id="23031"&gt;&lt;buy&gt;&lt;volume&gt;1962501&lt;/volume&gt;&lt;avg&gt;623.70&lt;/avg&gt;&lt;stddev&gt;11.25&lt;/stddev&gt;&lt;median&gt;627.80&lt;/median&gt;&lt;percentile&gt;628.70&lt;/percentile&gt;&lt;max&gt;628.70&lt;/max&gt;&lt;min&gt;600.00&lt;/min&gt;&lt;/buy&gt;&lt;sell&gt;&lt;volume&gt;1655351&lt;/volume&gt;&lt;avg&gt;851.89&lt;/avg&gt;&lt;stddev&gt;104.85&lt;/stddev&gt;&lt;median&gt;825.00&lt;/median&gt;&lt;percentile&gt;799.70&lt;/percentile&gt;&lt;max&gt;1098.00&lt;/max&gt;&lt;min&gt;799.70&lt;/min&gt;&lt;/sell&gt;&lt;/type&gt;&lt;type id="23037"&gt;&lt;buy&gt;&lt;volume&gt;1000000&lt;/volume&gt;&lt;avg&gt;587.29&lt;/avg&gt;&lt;stddev&gt;93.74&lt;/stddev&gt;&lt;median&gt;600.00&lt;/median&gt;&lt;percentile&gt;600.21&lt;/percentile&gt;&lt;max&gt;600.40&lt;/max&gt;&lt;min&gt;428.50&lt;/min&gt;&lt;/buy&gt;&lt;sell&gt;&lt;volume&gt;2339721&lt;/volume&gt;&lt;avg&gt;803.11&lt;/avg&gt;&lt;stddev&gt;67.98&lt;/stddev&gt;&lt;median&gt;790.70&lt;/median&gt;&lt;percentile&gt;720.00&lt;/percentile&gt;&lt;max&gt;942.00&lt;/max&gt;&lt;min&gt;720.00&lt;/min&gt;&lt;/sell&gt;&lt;/type&gt;&lt;type id="22977"&gt;&lt;buy&gt;&lt;volume&gt;1680000&lt;/volume&gt;&lt;avg&gt;592.35&lt;/avg&gt;&lt;stddev&gt;50.49&lt;/stddev&gt;&lt;median&gt;600.00&lt;/median&gt;&lt;percentile&gt;627.81&lt;/percentile&gt;&lt;max&gt;628.10&lt;/max&gt;&lt;min&gt;515.10&lt;/min&gt;&lt;/buy&gt;&lt;sell&gt;&lt;volume&gt;2852586&lt;/volume&gt;&lt;avg&gt;780.22&lt;/avg&gt;&lt;stddev&gt;39.33&lt;/stddev&gt;&lt;median&gt;793.45&lt;/median&gt;&lt;percentile&gt;748.90&lt;/percentile&gt;&lt;max&gt;898.80&lt;/max&gt;&lt;min&gt;748.90&lt;/min&gt;&lt;/sell&gt;&lt;/type&gt;&lt;type id="23009"&gt;&lt;buy&gt;&lt;volume&gt;8880000&lt;/volume&gt;&lt;avg&gt;408.78&lt;/avg&gt;&lt;stddev&gt;27.08&lt;/stddev&gt;&lt;median&gt;402.55&lt;/median&gt;&lt;percentile&gt;430.71&lt;/percentile&gt;&lt;max&gt;431.00&lt;/max&gt;&lt;min&gt;350.00&lt;/min&gt;&lt;/buy&gt;&lt;sell&gt;&lt;volume&gt;15537340&lt;/volume&gt;&lt;avg&gt;505.28&lt;/avg&gt;&lt;stddev&gt;65.39&lt;/stddev&gt;&lt;median&gt;469.30&lt;/median&gt;&lt;percentile&gt;459.67&lt;/percentile&gt;&lt;max&gt;742.50&lt;/max&gt;&lt;min&gt;453.90&lt;/min&gt;&lt;/sell&gt;&lt;/type&gt;&lt;type id="24535"&gt;&lt;buy&gt;&lt;volume&gt;1333500&lt;/volume&gt;&lt;avg&gt;599.10&lt;/avg&gt;&lt;stddev&gt;27.28&lt;/stddev&gt;&lt;median&gt;577.45&lt;/median&gt;&lt;percentile&gt;610.10&lt;/percentile&gt;&lt;max&gt;610.10&lt;/max&gt;&lt;min&gt;553.00&lt;/min&gt;&lt;/buy&gt;&lt;sell&gt;&lt;volume&gt;5314719&lt;/volume&gt;&lt;avg&gt;701.14&lt;/avg&gt;&lt;stddev&gt;26.79&lt;/stddev&gt;&lt;median&gt;694.40&lt;/median&gt;&lt;percentile&gt;684.03&lt;/percentile&gt;&lt;max&gt;749.00&lt;/max&gt;&lt;min&gt;683.80&lt;/min&gt;&lt;/sell&gt;&lt;/type&gt;&lt;type id="24539"&gt;&lt;buy&gt;&lt;volume&gt;633500&lt;/volume&gt;&lt;avg&gt;420.22&lt;/avg&gt;&lt;stddev&gt;8.08&lt;/stddev&gt;&lt;median&gt;425.00&lt;/median&gt;&lt;percentile&gt;425.60&lt;/percentile&gt;&lt;max&gt;425.60&lt;/max&gt;&lt;min&gt;410.00&lt;/min&gt;&lt;/buy&gt;&lt;sell&gt;&lt;volume&gt;2802253&lt;/volume&gt;&lt;avg&gt;762.80&lt;/avg&gt;&lt;stddev&gt;172.66&lt;/stddev&gt;&lt;median&gt;767.35&lt;/median&gt;&lt;percentile&gt;611.75&lt;/percentile&gt;&lt;max&gt;1094.00&lt;/max&gt;&lt;min&gt;611.60&lt;/min&gt;&lt;/sell&gt;&lt;/type&gt;&lt;type id="27377"&gt;&lt;buy&gt;&lt;volume&gt;407500&lt;/volume&gt;&lt;avg&gt;1645.82&lt;/avg&gt;&lt;stddev&gt;146.40&lt;/stddev&gt;&lt;median&gt;1671.00&lt;/median&gt;&lt;percentile&gt;1710.82&lt;/percentile&gt;&lt;max&gt;1760.00&lt;/max&gt;&lt;min&gt;1350.00&lt;/min&gt;&lt;/buy&gt;&lt;sell&gt;&lt;volume&gt;1981212&lt;/volume&gt;&lt;avg&gt;2088.32&lt;/avg&gt;&lt;stddev&gt;119.85&lt;/stddev&gt;&lt;median&gt;2059.50&lt;/median&gt;&lt;percentile&gt;2053.56&lt;/percentile&gt;&lt;max&gt;2472.00&lt;/max&gt;&lt;min&gt;2053.00&lt;/min&gt;&lt;/sell&gt;&lt;/type&gt;&lt;type id="24486"&gt;&lt;buy&gt;&lt;volume&gt;2888443&lt;/volume&gt;&lt;avg&gt;94.99&lt;/avg&gt;&lt;stddev&gt;20.88&lt;/stddev&gt;&lt;median&gt;83.94&lt;/median&gt;&lt;percentile&gt;100.00&lt;/percentile&gt;&lt;max&gt;100.00&lt;/max&gt;&lt;min&gt;50.02&lt;/min&gt;&lt;/buy&gt;&lt;sell&gt;&lt;volume&gt;14933644&lt;/volume&gt;&lt;avg&gt;140.72&lt;/avg&gt;&lt;stddev&gt;29.43&lt;/stddev&gt;&lt;median&gt;154.10&lt;/median&gt;&lt;percentile&gt;108.75&lt;/percentile&gt;&lt;max&gt;238.30&lt;/max&gt;&lt;min&gt;108.70&lt;/min&gt;&lt;/sell&gt;&lt;/type&gt;&lt;type id="24490"&gt;&lt;buy&gt;&lt;volume&gt;1326111&lt;/volume&gt;&lt;avg&gt;92.90&lt;/avg&gt;&lt;stddev&gt;14.44&lt;/stddev&gt;&lt;median&gt;85.59&lt;/median&gt;&lt;percentile&gt;100.00&lt;/percentile&gt;&lt;max&gt;100.00&lt;/max&gt;&lt;min&gt;71.03&lt;/min&gt;&lt;/buy&gt;&lt;sell&gt;&lt;volume&gt;22400873&lt;/volume&gt;&lt;avg&gt;142.33&lt;/avg&gt;&lt;stddev&gt;64.70&lt;/stddev&gt;&lt;median&gt;130.70&lt;/median&gt;&lt;percentile&gt;109.00&lt;/percentile&gt;&lt;max&gt;379.00&lt;/max&gt;&lt;min&gt;109.00&lt;/min&gt;&lt;/sell&gt;&lt;/type&gt;&lt;type id="24488"&gt;&lt;buy&gt;&lt;volume&gt;1025054&lt;/volume&gt;&lt;avg&gt;44.41&lt;/avg&gt;&lt;stddev&gt;21.27&lt;/stddev&gt;&lt;median&gt;66.78&lt;/median&gt;&lt;percentile&gt;67.82&lt;/percentile&gt;&lt;max&gt;67.82&lt;/max&gt;&lt;min&gt;20.00&lt;/min&gt;&lt;/buy&gt;&lt;sell&gt;&lt;volume&gt;8374937&lt;/volume&gt;&lt;avg&gt;106.31&lt;/avg&gt;&lt;stddev&gt;16.44&lt;/stddev&gt;&lt;median&gt;99.24&lt;/median&gt;&lt;percentile&gt;95.95&lt;/percentile&gt;&lt;max&gt;144.60&lt;/max&gt;&lt;min&gt;95.95&lt;/min&gt;&lt;/sell&gt;&lt;/type&gt;&lt;type id="2679"&gt;&lt;buy&gt;&lt;volume&gt;12510273&lt;/volume&gt;&lt;avg&gt;99.93&lt;/avg&gt;&lt;stddev&gt;8.92&lt;/stddev&gt;&lt;median&gt;104.20&lt;/median&gt;&lt;percentile&gt;112.03&lt;/percentile&gt;&lt;max&gt;112.10&lt;/max&gt;&lt;min&gt;85.00&lt;/min&gt;&lt;/buy&gt;&lt;sell&gt;&lt;volume&gt;30256576&lt;/volume&gt;&lt;avg&gt;148.40&lt;/avg&gt;&lt;stddev&gt;11.85&lt;/stddev&gt;&lt;median&gt;143.80&lt;/median&gt;&lt;percentile&gt;134.67&lt;/percentile&gt;&lt;max&gt;190.00&lt;/max&gt;&lt;min&gt;125.00&lt;/min&gt;&lt;/sell&gt;&lt;/type&gt;&lt;type id="24493"&gt;&lt;buy&gt;&lt;volume&gt;952893&lt;/volume&gt;&lt;avg&gt;73.33&lt;/avg&gt;&lt;stddev&gt;0.54&lt;/stddev&gt;&lt;median&gt;73.31&lt;/median&gt;&lt;percentile&gt;73.78&lt;/percentile&gt;&lt;max&gt;73.78&lt;/max&gt;&lt;min&gt;72.83&lt;/min&gt;&lt;/buy&gt;&lt;sell&gt;&lt;volume&gt;5298973&lt;/volume&gt;&lt;avg&gt;143.63&lt;/avg&gt;&lt;stddev&gt;72.19&lt;/stddev&gt;&lt;median&gt;127.20&lt;/median&gt;&lt;percentile&gt;96.30&lt;/percentile&gt;&lt;max&gt;288.70&lt;/max&gt;&lt;min&gt;96.30&lt;/min&gt;&lt;/sell&gt;&lt;/type&gt;&lt;type id="24492"&gt;&lt;buy&gt;&lt;volume&gt;4510000&lt;/volume&gt;&lt;avg&gt;95.38&lt;/avg&gt;&lt;stddev&gt;11.20&lt;/stddev&gt;&lt;median&gt;100.00&lt;/median&gt;&lt;percentile&gt;107.90&lt;/percentile&gt;&lt;max&gt;107.90&lt;/max&gt;&lt;min&gt;79.00&lt;/min&gt;&lt;/buy&gt;&lt;sell&gt;&lt;volume&gt;17853963&lt;/volume&gt;&lt;avg&gt;133.50&lt;/avg&gt;&lt;stddev&gt;43.92&lt;/stddev&gt;&lt;median&gt;124.80&lt;/median&gt;&lt;percentile&gt;106.90&lt;/percentile&gt;&lt;max&gt;313.60&lt;/max&gt;&lt;min&gt;106.90&lt;/min&gt;&lt;/sell&gt;&lt;/type&gt;&lt;type id="27405"&gt;&lt;buy&gt;&lt;volume&gt;375000&lt;/volume&gt;&lt;avg&gt;1059.31&lt;/avg&gt;&lt;stddev&gt;159.07&lt;/stddev&gt;&lt;median&gt;1069.00&lt;/median&gt;&lt;percentile&gt;1081.00&lt;/percentile&gt;&lt;max&gt;1081.00&lt;/max&gt;&lt;min&gt;703.00&lt;/min&gt;&lt;/buy&gt;&lt;sell&gt;&lt;volume&gt;1873553&lt;/volume&gt;&lt;avg&gt;1256.06&lt;/avg&gt;&lt;stddev&gt;92.70&lt;/stddev&gt;&lt;median&gt;1215.00&lt;/median&gt;&lt;percentile&gt;1200.00&lt;/percentile&gt;&lt;max&gt;1427.00&lt;/max&gt;&lt;min&gt;1200.00&lt;/min&gt;&lt;/sell&gt;&lt;/type&gt;&lt;type id="27419"&gt;&lt;buy&gt;&lt;volume&gt;1030000&lt;/volume&gt;&lt;avg&gt;1098.95&lt;/avg&gt;&lt;stddev&gt;25.46&lt;/stddev&gt;&lt;median&gt;1082.00&lt;/median&gt;&lt;percentile&gt;1100.00&lt;/percentile&gt;&lt;max&gt;1100.00&lt;/max&gt;&lt;min&gt;1064.00&lt;/min&gt;&lt;/buy&gt;&lt;sell&gt;&lt;volume&gt;4581963&lt;/volume&gt;&lt;avg&gt;1289.49&lt;/avg&gt;&lt;stddev&gt;164.53&lt;/stddev&gt;&lt;median&gt;1230.00&lt;/median&gt;&lt;percentile&gt;1199.91&lt;/percentile&gt;&lt;max&gt;1648.00&lt;/max&gt;&lt;min&gt;1198.00&lt;/min&gt;&lt;/sell&gt;&lt;/type&gt;&lt;type id="27401"&gt;&lt;buy&gt;&lt;volume&gt;417831&lt;/volume&gt;&lt;avg&gt;667.94&lt;/avg&gt;&lt;stddev&gt;280.72&lt;/stddev&gt;&lt;median&gt;651.00&lt;/median&gt;&lt;percentile&gt;667.94&lt;/percentile&gt;&lt;max&gt;1048.00&lt;/max&gt;&lt;min&gt;651.00&lt;/min&gt;&lt;/buy&gt;&lt;sell&gt;&lt;volume&gt;3258125&lt;/volume&gt;&lt;avg&gt;1267.14&lt;/avg&gt;&lt;stddev&gt;96.56&lt;/stddev&gt;&lt;median&gt;1271.00&lt;/median&gt;&lt;percentile&gt;1199.00&lt;/percentile&gt;&lt;max&gt;1479.00&lt;/max&gt;&lt;min&gt;1199.00&lt;/min&gt;&lt;/sell&gt;&lt;/type&gt;&lt;type id="27413"&gt;&lt;buy&gt;&lt;volume&gt;1990000&lt;/volume&gt;&lt;avg&gt;1095.94&lt;/avg&gt;&lt;stddev&gt;64.10&lt;/stddev&gt;&lt;median&gt;1041.00&lt;/median&gt;&lt;percentile&gt;1108.00&lt;/percentile&gt;&lt;max&gt;1108.00&lt;/max&gt;&lt;min&gt;981.00&lt;/min&gt;&lt;/buy&gt;&lt;sell&gt;&lt;volume&gt;2277100&lt;/volume&gt;&lt;avg&gt;1363.15&lt;/avg&gt;&lt;stddev&gt;102.93&lt;/stddev&gt;&lt;median&gt;1309.50&lt;/median&gt;&lt;percentile&gt;1293.38&lt;/percentile&gt;&lt;max&gt;1620.00&lt;/max&gt;&lt;min&gt;1293.00&lt;/min&gt;&lt;/sell&gt;&lt;/type&gt;&lt;type id="24511"&gt;&lt;buy&gt;&lt;volume&gt;2970423&lt;/volume&gt;&lt;avg&gt;130.71&lt;/avg&gt;&lt;stddev&gt;32.23&lt;/stddev&gt;&lt;median&gt;135.55&lt;/median&gt;&lt;percentile&gt;138.12&lt;/percentile&gt;&lt;max&gt;138.40&lt;/max&gt;&lt;min&gt;41.91&lt;/min&gt;&lt;/buy&gt;&lt;sell&gt;&lt;volume&gt;17486279&lt;/volume&gt;&lt;avg&gt;447.59&lt;/avg&gt;&lt;stddev&gt;34.19&lt;/stddev&gt;&lt;median&gt;441.35&lt;/median&gt;&lt;percentile&gt;403.76&lt;/percentile&gt;&lt;max&gt;539.00&lt;/max&gt;&lt;min&gt;395.00&lt;/min&gt;&lt;/sell&gt;&lt;/type&gt;&lt;type id="24509"&gt;&lt;buy&gt;&lt;volume&gt;4652500&lt;/volume&gt;&lt;avg&gt;405.81&lt;/avg&gt;&lt;stddev&gt;14.93&lt;/stddev&gt;&lt;median&gt;407.70&lt;/median&gt;&lt;percentile&gt;407.92&lt;/percentile&gt;&lt;max&gt;410.10&lt;/max&gt;&lt;min&gt;373.00&lt;/min&gt;&lt;/buy&gt;&lt;sell&gt;&lt;volume&gt;10370508&lt;/volume&gt;&lt;avg&gt;497.07&lt;/avg&gt;&lt;stddev&gt;118.37&lt;/stddev&gt;&lt;median&gt;475.60&lt;/median&gt;&lt;percentile&gt;435.00&lt;/percentile&gt;&lt;max&gt;1100.00&lt;/max&gt;&lt;min&gt;435.00&lt;/min&gt;&lt;/sell&gt;&lt;/type&gt;&lt;type id="2629"&gt;&lt;buy&gt;&lt;volume&gt;4586951&lt;/volume&gt;&lt;avg&gt;372.16&lt;/avg&gt;&lt;stddev&gt;31.58&lt;/stddev&gt;&lt;median&gt;394.10&lt;/median&gt;&lt;percentile&gt;394.80&lt;/percentile&gt;&lt;max&gt;394.80&lt;/max&gt;&lt;min&gt;320.00&lt;/min&gt;&lt;/buy&gt;&lt;sell&gt;&lt;volume&gt;25634182&lt;/volume&gt;&lt;avg&gt;475.85&lt;/avg&gt;&lt;stddev&gt;10.61&lt;/stddev&gt;&lt;median&gt;476.40&lt;/median&gt;&lt;percentile&gt;455.00&lt;/percentile&gt;&lt;max&gt;500.00&lt;/max&gt;&lt;min&gt;455.00&lt;/min&gt;&lt;/sell&gt;&lt;/type&gt;&lt;type id="24517"&gt;&lt;buy&gt;&lt;volume&gt;1000000&lt;/volume&gt;&lt;avg&gt;400.00&lt;/avg&gt;&lt;stddev&gt;0.00&lt;/stddev&gt;&lt;median&gt;400.00&lt;/median&gt;&lt;percentile&gt;400.00&lt;/percentile&gt;&lt;max&gt;400.00&lt;/max&gt;&lt;min&gt;400.00&lt;/min&gt;&lt;/buy&gt;&lt;sell&gt;&lt;volume&gt;10108568&lt;/volume&gt;&lt;avg&gt;692.76&lt;/avg&gt;&lt;stddev&gt;414.57&lt;/stddev&gt;&lt;median&gt;534.15&lt;/median&gt;&lt;percentile&gt;432.98&lt;/percentile&gt;&lt;max&gt;1944.00&lt;/max&gt;&lt;min&gt;432.90&lt;/min&gt;&lt;/sell&gt;&lt;/type&gt;&lt;type id="27447"&gt;&lt;buy&gt;&lt;volume&gt;2349999&lt;/volume&gt;&lt;avg&gt;1087.96&lt;/avg&gt;&lt;stddev&gt;70.22&lt;/stddev&gt;&lt;median&gt;1100.00&lt;/median&gt;&lt;percentile&gt;1147.00&lt;/percentile&gt;&lt;max&gt;1151.00&lt;/max&gt;&lt;min&gt;970.00&lt;/min&gt;&lt;/buy&gt;&lt;sell&gt;&lt;volume&gt;3146203&lt;/volume&gt;&lt;avg&gt;1410.76&lt;/avg&gt;&lt;stddev&gt;90.88&lt;/stddev&gt;&lt;median&gt;1332.00&lt;/median&gt;&lt;percentile&gt;1307.75&lt;/percentile&gt;&lt;max&gt;1681.00&lt;/max&gt;&lt;min&gt;1307.00&lt;/min&gt;&lt;/sell&gt;&lt;/type&gt;&lt;type id="27435"&gt;&lt;buy&gt;&lt;volume&gt;1838094&lt;/volume&gt;&lt;avg&gt;1035.41&lt;/avg&gt;&lt;stddev&gt;69.47&lt;/stddev&gt;&lt;median&gt;1077.50&lt;/median&gt;&lt;percentile&gt;1107.00&lt;/percentile&gt;&lt;max&gt;1107.00&lt;/max&gt;&lt;min&gt;944.40&lt;/min&gt;&lt;/buy&gt;&lt;sell&gt;&lt;volume&gt;3737536&lt;/volume&gt;&lt;avg&gt;1537.94&lt;/avg&gt;&lt;stddev&gt;129.54&lt;/stddev&gt;&lt;median&gt;1477.00&lt;/median&gt;&lt;percentile&gt;1310.00&lt;/percentile&gt;&lt;max&gt;1750.00&lt;/max&gt;&lt;min&gt;1310.00&lt;/min&gt;&lt;/sell&gt;&lt;/type&gt;&lt;type id="27453"&gt;&lt;buy&gt;&lt;volume&gt;3190999&lt;/volume&gt;&lt;avg&gt;986.06&lt;/avg&gt;&lt;stddev&gt;86.93&lt;/stddev&gt;&lt;median&gt;1030.00&lt;/median&gt;&lt;percentile&gt;1048.00&lt;/percentile&gt;&lt;max&gt;1048.00&lt;/max&gt;&lt;min&gt;800.00&lt;/min&gt;&lt;/buy&gt;&lt;sell&gt;&lt;volume&gt;1858040&lt;/volume&gt;&lt;avg&gt;1391.97&lt;/avg&gt;&lt;stddev&gt;145.82&lt;/stddev&gt;&lt;median&gt;1421.00&lt;/median&gt;&lt;percentile&gt;1209.00&lt;/percentile&gt;&lt;max&gt;1682.00&lt;/max&gt;&lt;min&gt;1209.00&lt;/min&gt;&lt;/sell&gt;&lt;/type&gt;&lt;type id="27441"&gt;&lt;buy&gt;&lt;volume&gt;2561111&lt;/volume&gt;&lt;avg&gt;742.99&lt;/avg&gt;&lt;stddev&gt;171.89&lt;/stddev&gt;&lt;median&gt;708.30&lt;/median&gt;&lt;percentile&gt;1053.22&lt;/percentile&gt;&lt;max&gt;1056.00&lt;/max&gt;&lt;min&gt;701.40&lt;/min&gt;&lt;/buy&gt;&lt;sell&gt;&lt;volume&gt;8797077&lt;/volume&gt;&lt;avg&gt;1342.93&lt;/avg&gt;&lt;stddev&gt;213.75&lt;/stddev&gt;&lt;median&gt;1303.00&lt;/median&gt;&lt;percentile&gt;1196.45&lt;/percentile&gt;&lt;max&gt;1999.00&lt;/max&gt;&lt;min&gt;1195.00&lt;/min&gt;&lt;/sell&gt;&lt;/type&gt;&lt;type id="207"&gt;&lt;buy&gt;&lt;volume&gt;3570000&lt;/volume&gt;&lt;avg&gt;86.67&lt;/avg&gt;&lt;stddev&gt;1.63&lt;/stddev&gt;&lt;median&gt;88.08&lt;/median&gt;&lt;percentile&gt;88.34&lt;/percentile&gt;&lt;max&gt;88.34&lt;/max&gt;&lt;min&gt;85.00&lt;/min&gt;&lt;/buy&gt;&lt;sell&gt;&lt;volume&gt;8579802&lt;/volume&gt;&lt;avg&gt;158.42&lt;/avg&gt;&lt;stddev&gt;70.27&lt;/stddev&gt;&lt;median&gt;150.15&lt;/median&gt;&lt;percentile&gt;101.22&lt;/percentile&gt;&lt;max&gt;377.00&lt;/max&gt;&lt;min&gt;100.80&lt;/min&gt;&lt;/sell&gt;&lt;/type&gt;&lt;type id="24499"&gt;&lt;buy&gt;&lt;volume&gt;13148312&lt;/volume&gt;&lt;avg&gt;75.03&lt;/avg&gt;&lt;stddev&gt;17.25&lt;/stddev&gt;&lt;median&gt;80.01&lt;/median&gt;&lt;percentile&gt;87.18&lt;/percentile&gt;&lt;max&gt;87.20&lt;/max&gt;&lt;min&gt;19.99&lt;/min&gt;&lt;/buy&gt;&lt;sell&gt;&lt;volume&gt;15582636&lt;/volume&gt;&lt;avg&gt;125.70&lt;/avg&gt;&lt;stddev&gt;27.71&lt;/stddev&gt;&lt;median&gt;116.05&lt;/median&gt;&lt;percentile&gt;106.07&lt;/percentile&gt;&lt;max&gt;220.00&lt;/max&gt;&lt;min&gt;105.90&lt;/min&gt;&lt;/sell&gt;&lt;/type&gt;&lt;type id="2613"&gt;&lt;buy&gt;&lt;volume&gt;1798443&lt;/volume&gt;&lt;avg&gt;62.59&lt;/avg&gt;&lt;stddev&gt;5.19&lt;/stddev&gt;&lt;median&gt;62.90&lt;/median&gt;&lt;percentile&gt;62.93&lt;/percentile&gt;&lt;max&gt;62.94&lt;/max&gt;&lt;min&gt;46.89&lt;/min&gt;&lt;/buy&gt;&lt;sell&gt;&lt;volume&gt;15292279&lt;/volume&gt;&lt;avg&gt;97.58&lt;/avg&gt;&lt;stddev&gt;16.35&lt;/stddev&gt;&lt;median&gt;89.32&lt;/median&gt;&lt;percentile&gt;85.00&lt;/percentile&gt;&lt;max&gt;132.60&lt;/max&gt;&lt;min&gt;85.00&lt;/min&gt;&lt;/sell&gt;&lt;/type&gt;&lt;type id="24497"&gt;&lt;buy&gt;&lt;volume&gt;497433&lt;/volume&gt;&lt;avg&gt;52.60&lt;/avg&gt;&lt;stddev&gt;7.46&lt;/stddev&gt;&lt;median&gt;56.70&lt;/median&gt;&lt;percentile&gt;56.89&lt;/percentile&gt;&lt;max&gt;56.89&lt;/max&gt;&lt;min&gt;42.29&lt;/min&gt;&lt;/buy&gt;&lt;sell&gt;&lt;volume&gt;32470363&lt;/volume&gt;&lt;avg&gt;99.48&lt;/avg&gt;&lt;stddev&gt;16.27&lt;/stddev&gt;&lt;median&gt;93.16&lt;/median&gt;&lt;percentile&gt;87.88&lt;/percentile&gt;&lt;max&gt;153.90&lt;/max&gt;&lt;min&gt;87.82&lt;/min&gt;&lt;/sell&gt;&lt;/type&gt;&lt;type id="24495"&gt;&lt;buy&gt;&lt;volume&gt;3354366&lt;/volume&gt;&lt;avg&gt;64.16&lt;/avg&gt;&lt;stddev&gt;9.59&lt;/stddev&gt;&lt;median&gt;63.00&lt;/median&gt;&lt;percentile&gt;72.00&lt;/percentile&gt;&lt;max&gt;72.00&lt;/max&gt;&lt;min&gt;50.00&lt;/min&gt;&lt;/buy&gt;&lt;sell&gt;&lt;volume&gt;47043174&lt;/volume&gt;&lt;avg&gt;85.13&lt;/avg&gt;&lt;stddev&gt;10.08&lt;/stddev&gt;&lt;median&gt;83.00&lt;/median&gt;&lt;percentile&gt;80.76&lt;/percentile&gt;&lt;max&gt;120.70&lt;/max&gt;&lt;min&gt;80.74&lt;/min&gt;&lt;/sell&gt;&lt;/type&gt;&lt;type id="27371"&gt;&lt;buy&gt;&lt;volume&gt;2831654&lt;/volume&gt;&lt;avg&gt;818.05&lt;/avg&gt;&lt;stddev&gt;19.74&lt;/stddev&gt;&lt;median&gt;806.75&lt;/median&gt;&lt;percentile&gt;841.20&lt;/percentile&gt;&lt;max&gt;841.20&lt;/max&gt;&lt;min&gt;781.10&lt;/min&gt;&lt;/buy&gt;&lt;sell&gt;&lt;volume&gt;5523494&lt;/volume&gt;&lt;avg&gt;1080.61&lt;/avg&gt;&lt;stddev&gt;117.41&lt;/stddev&gt;&lt;median&gt;1131.00&lt;/median&gt;&lt;percentile&gt;939.17&lt;/percentile&gt;&lt;max&gt;1236.00&lt;/max&gt;&lt;min&gt;935.00&lt;/min&gt;&lt;/sell&gt;&lt;/type&gt;&lt;type id="27387"&gt;&lt;buy&gt;&lt;volume&gt;2795000&lt;/volume&gt;&lt;avg&gt;831.22&lt;/avg&gt;&lt;stddev&gt;28.08&lt;/stddev&gt;&lt;median&gt;833.15&lt;/median&gt;&lt;percentile&gt;867.60&lt;/percentile&gt;&lt;max&gt;868.20&lt;/max&gt;&lt;min&gt;779.70&lt;/min&gt;&lt;/buy&gt;&lt;sell&gt;&lt;volume&gt;6313859&lt;/volume&gt;&lt;avg&gt;1076.49&lt;/avg&gt;&lt;stddev&gt;98.67&lt;/stddev&gt;&lt;median&gt;1062.95&lt;/median&gt;&lt;percentile&gt;989.95&lt;/percentile&gt;&lt;max&gt;1243.00&lt;/max&gt;&lt;min&gt;989.70&lt;/min&gt;&lt;/sell&gt;&lt;/type&gt;&lt;type id="27381"&gt;&lt;buy&gt;&lt;volume&gt;3272000&lt;/volume&gt;&lt;avg&gt;814.01&lt;/avg&gt;&lt;stddev&gt;29.45&lt;/stddev&gt;&lt;median&gt;818.70&lt;/median&gt;&lt;percentile&gt;838.73&lt;/percentile&gt;&lt;max&gt;839.20&lt;/max&gt;&lt;min&gt;736.50&lt;/min&gt;&lt;/buy&gt;&lt;sell&gt;&lt;volume&gt;14972649&lt;/volume&gt;&lt;avg&gt;1012.56&lt;/avg&gt;&lt;stddev&gt;106.91&lt;/stddev&gt;&lt;median&gt;900.00&lt;/median&gt;&lt;percentile&gt;900.00&lt;/percentile&gt;&lt;max&gt;1233.00&lt;/max&gt;&lt;min&gt;900.00&lt;/min&gt;&lt;/sell&gt;&lt;/type&gt;&lt;type id="27361"&gt;&lt;buy&gt;&lt;volume&gt;2188760&lt;/volume&gt;&lt;avg&gt;823.39&lt;/avg&gt;&lt;stddev&gt;16.21&lt;/stddev&gt;&lt;median&gt;830.30&lt;/median&gt;&lt;percentile&gt;853.75&lt;/percentile&gt;&lt;max&gt;854.20&lt;/max&gt;&lt;min&gt;800.00&lt;/min&gt;&lt;/buy&gt;&lt;sell&gt;&lt;volume&gt;9343643&lt;/volume&gt;&lt;avg&gt;1009.92&lt;/avg&gt;&lt;stddev&gt;107.44&lt;/stddev&gt;&lt;median&gt;949.50&lt;/median&gt;&lt;percentile&gt;924.00&lt;/percentile&gt;&lt;max&gt;1210.00&lt;/max&gt;&lt;min&gt;924.00&lt;/min&gt;&lt;/sell&gt;&lt;/type&gt;&lt;type id="2817"&gt;&lt;buy&gt;&lt;volume&gt;4294244&lt;/volume&gt;&lt;avg&gt;66.23&lt;/avg&gt;&lt;stddev&gt;12.65&lt;/stddev&gt;&lt;median&gt;60.01&lt;/median&gt;&lt;percentile&gt;70.18&lt;/percentile&gt;&lt;max&gt;70.20&lt;/max&gt;&lt;min&gt;42.20&lt;/min&gt;&lt;/buy&gt;&lt;sell&gt;&lt;volume&gt;17672774&lt;/volume&gt;&lt;avg&gt;93.90&lt;/avg&gt;&lt;stddev&gt;61.08&lt;/stddev&gt;&lt;median&gt;89.99&lt;/median&gt;&lt;percentile&gt;87.84&lt;/percentile&gt;&lt;max&gt;275.80&lt;/max&gt;&lt;min&gt;87.82&lt;/min&gt;&lt;/sell&gt;&lt;/type&gt;&lt;type id="24473"&gt;&lt;buy&gt;&lt;volume&gt;3875000&lt;/volume&gt;&lt;avg&gt;58.32&lt;/avg&gt;&lt;stddev&gt;18.53&lt;/stddev&gt;&lt;median&gt;50.00&lt;/median&gt;&lt;percentile&gt;72.67&lt;/percentile&gt;&lt;max&gt;72.68&lt;/max&gt;&lt;min&gt;22.05&lt;/min&gt;&lt;/buy&gt;&lt;sell&gt;&lt;volume&gt;5192026&lt;/volume&gt;&lt;avg&gt;107.47&lt;/avg&gt;&lt;stddev&gt;30.67&lt;/stddev&gt;&lt;median&gt;93.99&lt;/median&gt;&lt;percentile&gt;83.99&lt;/percentile&gt;&lt;max&gt;198.10&lt;/max&gt;&lt;min&gt;83.98&lt;/min&gt;&lt;/sell&gt;&lt;/type&gt;&lt;type id="24471"&gt;&lt;buy&gt;&lt;volume&gt;2700000&lt;/volume&gt;&lt;avg&gt;68.56&lt;/avg&gt;&lt;stddev&gt;11.25&lt;/stddev&gt;&lt;median&gt;70.00&lt;/median&gt;&lt;percentile&gt;70.00&lt;/percentile&gt;&lt;max&gt;70.00&lt;/max&gt;&lt;min&gt;50.06&lt;/min&gt;&lt;/buy&gt;&lt;sell&gt;&lt;volume&gt;9634445&lt;/volume&gt;&lt;avg&gt;84.63&lt;/avg&gt;&lt;stddev&gt;32.86&lt;/stddev&gt;&lt;median&gt;83.66&lt;/median&gt;&lt;percentile&gt;76.94&lt;/percentile&gt;&lt;max&gt;249.80&lt;/max&gt;&lt;min&gt;76.90&lt;/min&gt;&lt;/sell&gt;&lt;/type&gt;&lt;type id="27321"&gt;&lt;buy&gt;&lt;volume&gt;1360000&lt;/volume&gt;&lt;avg&gt;572.78&lt;/avg&gt;&lt;stddev&gt;76.63&lt;/stddev&gt;&lt;median&gt;567.95&lt;/median&gt;&lt;percentile&gt;615.30&lt;/percentile&gt;&lt;max&gt;615.30&lt;/max&gt;&lt;min&gt;431.70&lt;/min&gt;&lt;/buy&gt;&lt;sell&gt;&lt;volume&gt;2849122&lt;/volume&gt;&lt;avg&gt;730.79&lt;/avg&gt;&lt;stddev&gt;54.70&lt;/stddev&gt;&lt;median&gt;687.00&lt;/median&gt;&lt;percentile&gt;679.20&lt;/percentile&gt;&lt;max&gt;856.80&lt;/max&gt;&lt;min&gt;679.20&lt;/min&gt;&lt;/sell&gt;&lt;/type&gt;&lt;type id="27327"&gt;&lt;buy&gt;&lt;volume&gt;1471000&lt;/volume&gt;&lt;avg&gt;627.28&lt;/avg&gt;&lt;stddev&gt;5.32&lt;/stddev&gt;&lt;median&gt;625.00&lt;/median&gt;&lt;percentile&gt;637.21&lt;/percentile&gt;&lt;max&gt;637.40&lt;/max&gt;&lt;min&gt;625.00&lt;/min&gt;&lt;/buy&gt;&lt;sell&gt;&lt;volume&gt;1767042&lt;/volume&gt;&lt;avg&gt;756.50&lt;/avg&gt;&lt;stddev&gt;102.45&lt;/stddev&gt;&lt;median&gt;732.50&lt;/median&gt;&lt;percentile&gt;732.30&lt;/percentile&gt;&lt;max&gt;976.90&lt;/max&gt;&lt;min&gt;732.30&lt;/min&gt;&lt;/sell&gt;&lt;/type&gt;&lt;type id="24523"&gt;&lt;buy&gt;&lt;volume&gt;630000&lt;/volume&gt;&lt;avg&gt;1487.95&lt;/avg&gt;&lt;stddev&gt;219.17&lt;/stddev&gt;&lt;median&gt;1507.00&lt;/median&gt;&lt;percentile&gt;1508.00&lt;/percentile&gt;&lt;max&gt;1508.00&lt;/max&gt;&lt;min&gt;1011.00&lt;/min&gt;&lt;/buy&gt;&lt;sell&gt;&lt;volume&gt;5753931&lt;/volume&gt;&lt;avg&gt;1704.24&lt;/avg&gt;&lt;stddev&gt;183.19&lt;/stddev&gt;&lt;median&gt;1627.50&lt;/median&gt;&lt;percentile&gt;1613.13&lt;/percentile&gt;&lt;max&gt;2499.00&lt;/max&gt;&lt;min&gt;1612.00&lt;/min&gt;&lt;/sell&gt;&lt;/type&gt;&lt;type id="24519"&gt;&lt;buy&gt;&lt;volume&gt;987000&lt;/volume&gt;&lt;avg&gt;1363.02&lt;/avg&gt;&lt;stddev&gt;71.68&lt;/stddev&gt;&lt;median&gt;1307.50&lt;/median&gt;&lt;percentile&gt;1470.00&lt;/percentile&gt;&lt;max&gt;1470.00&lt;/max&gt;&lt;min&gt;1280.00&lt;/min&gt;&lt;/buy&gt;&lt;sell&gt;&lt;volume&gt;4781146&lt;/volume&gt;&lt;avg&gt;1685.38&lt;/avg&gt;&lt;stddev&gt;75.28&lt;/stddev&gt;&lt;median&gt;1687.50&lt;/median&gt;&lt;percentile&gt;1626.80&lt;/percentile&gt;&lt;max&gt;1888.00&lt;/max&gt;&lt;min&gt;1623.00&lt;/min&gt;&lt;/sell&gt;&lt;/type&gt;&lt;type id="24527"&gt;&lt;buy&gt;&lt;volume&gt;199000&lt;/volume&gt;&lt;avg&gt;1172.75&lt;/avg&gt;&lt;stddev&gt;161.25&lt;/stddev&gt;&lt;median&gt;1275.00&lt;/median&gt;&lt;percentile&gt;1285.00&lt;/percentile&gt;&lt;max&gt;1285.00&lt;/max&gt;&lt;min&gt;930.00&lt;/min&gt;&lt;/buy&gt;&lt;sell&gt;&lt;volume&gt;2260556&lt;/volume&gt;&lt;avg&gt;1731.47&lt;/avg&gt;&lt;stddev&gt;281.87&lt;/stddev&gt;&lt;median&gt;1620.00&lt;/median&gt;&lt;percentile&gt;1569.75&lt;/percentile&gt;&lt;max&gt;2358.00&lt;/max&gt;&lt;min&gt;1568.00&lt;/min&gt;&lt;/sell&gt;&lt;/type&gt;&lt;type id="27339"&gt;&lt;buy&gt;&lt;volume&gt;683492&lt;/volume&gt;&lt;avg&gt;2155.37&lt;/avg&gt;&lt;stddev&gt;162.70&lt;/stddev&gt;&lt;median&gt;2270.50&lt;/median&gt;&lt;percentile&gt;2300.00&lt;/percentile&gt;&lt;max&gt;2300.00&lt;/max&gt;&lt;min&gt;1921.00&lt;/min&gt;&lt;/buy&gt;&lt;sell&gt;&lt;volume&gt;2234828&lt;/volume&gt;&lt;avg&gt;2984.57&lt;/avg&gt;&lt;stddev&gt;757.96&lt;/stddev&gt;&lt;median&gt;2845.00&lt;/median&gt;&lt;percentile&gt;2543.47&lt;/percentile&gt;&lt;max&gt;5375.00&lt;/max&gt;&lt;min&gt;2542.00&lt;/min&gt;&lt;/sell&gt;&lt;/type&gt;&lt;type id="27359"&gt;&lt;buy&gt;&lt;volume&gt;746006&lt;/volume&gt;&lt;avg&gt;2286.41&lt;/avg&gt;&lt;stddev&gt;232.47&lt;/stddev&gt;&lt;median&gt;2329.00&lt;/median&gt;&lt;percentile&gt;2385.00&lt;/percentile&gt;&lt;max&gt;2385.00&lt;/max&gt;&lt;min&gt;1726.00&lt;/min&gt;&lt;/buy&gt;&lt;sell&gt;&lt;volume&gt;441586&lt;/volume&gt;&lt;avg&gt;2880.12&lt;/avg&gt;&lt;stddev&gt;58.24&lt;/stddev&gt;&lt;median&gt;2874.00&lt;/median&gt;&lt;percentile&gt;2842.72&lt;/percentile&gt;&lt;max&gt;3007.00&lt;/max&gt;&lt;min&gt;2842.00&lt;/min&gt;&lt;/sell&gt;&lt;/type&gt;&lt;/marketstat&gt;&lt;/exec_api&gt;</v>
      </c>
      <c r="BG44" s="3"/>
    </row>
    <row r="45" spans="1:59">
      <c r="A45" s="13" t="s">
        <v>11251</v>
      </c>
      <c r="B45" s="63">
        <f>VLOOKUP(A45,TypeIDs!B:C,2,FALSE)</f>
        <v>23035</v>
      </c>
      <c r="C45" s="36">
        <v>789.8</v>
      </c>
      <c r="D45" s="36">
        <f t="shared" si="0"/>
        <v>836.1961</v>
      </c>
      <c r="E45" s="35">
        <f>INDEX(MARKET_INPUT[Column1.price],MATCH(B45,MARKET_INPUT[Column1.type_id]))</f>
        <v>599</v>
      </c>
      <c r="F45" s="35">
        <f t="shared" si="1"/>
        <v>572.34450000000004</v>
      </c>
      <c r="G45" s="18">
        <f>VLOOKUP(B45,TypeIDs!C:D,2,FALSE)</f>
        <v>1.2500000000000001E-2</v>
      </c>
      <c r="H45" s="13">
        <v>100</v>
      </c>
      <c r="I45" s="15">
        <f>IF(H45="",AverageVolume!A660,H45)</f>
        <v>100</v>
      </c>
      <c r="J45" s="17">
        <f t="shared" si="4"/>
        <v>315.82100000000003</v>
      </c>
      <c r="K45" s="20">
        <f t="shared" si="5"/>
        <v>700</v>
      </c>
      <c r="L45" s="19">
        <f t="shared" si="2"/>
        <v>8.75</v>
      </c>
      <c r="M45" s="8">
        <f t="shared" si="8"/>
        <v>0.68446205381728042</v>
      </c>
      <c r="N45" s="9">
        <f t="shared" si="9"/>
        <v>585337.27</v>
      </c>
      <c r="O45" s="10">
        <f t="shared" si="6"/>
        <v>-184696.11999999997</v>
      </c>
      <c r="P45" s="11">
        <f t="shared" si="7"/>
        <v>-21108.127999999997</v>
      </c>
      <c r="Q45" s="23">
        <f t="shared" si="3"/>
        <v>400641.15</v>
      </c>
      <c r="R45" s="3" t="e">
        <f>VLOOKUP(B45,Buylist!B:B,1,FALSE)</f>
        <v>#N/A</v>
      </c>
      <c r="S45" s="3" t="e">
        <f>VLOOKUP(B45,Buylist!B:O,13,FALSE)</f>
        <v>#N/A</v>
      </c>
      <c r="T45" s="78">
        <v>44</v>
      </c>
      <c r="BE45" s="3" t="s">
        <v>40453</v>
      </c>
      <c r="BF45" s="3" t="str">
        <f t="shared" si="10"/>
        <v>&lt;?xml version="1.0" encoding="UTF-8"?&gt;
&lt;exec_api version="2.0" method="marketstat_xml"&gt;&lt;marketstat&gt;&lt;type id="27345"&gt;&lt;buy&gt;&lt;volume&gt;490000&lt;/volume&gt;&lt;avg&gt;1942.35&lt;/avg&gt;&lt;stddev&gt;309.64&lt;/stddev&gt;&lt;median&gt;2200.00&lt;/median&gt;&lt;percentile&gt;2200.00&lt;/percentile&gt;&lt;max&gt;2200.00&lt;/max&gt;&lt;min&gt;1499.00&lt;/min&gt;&lt;/buy&gt;&lt;sell&gt;&lt;volume&gt;1235497&lt;/volume&gt;&lt;avg&gt;2911.44&lt;/avg&gt;&lt;stddev&gt;851.54&lt;/stddev&gt;&lt;median&gt;2587.00&lt;/median&gt;&lt;percentile&gt;2490.00&lt;/percentile&gt;&lt;max&gt;5483.00&lt;/max&gt;&lt;min&gt;2490.00&lt;/min&gt;&lt;/sell&gt;&lt;/type&gt;&lt;type id="56748"&gt;&lt;buy&gt;&lt;volume&gt;6040&lt;/volume&gt;&lt;avg&gt;60946.13&lt;/avg&gt;&lt;stddev&gt;7441.33&lt;/stddev&gt;&lt;median&gt;52600.00&lt;/median&gt;&lt;percentile&gt;68524.71&lt;/percentile&gt;&lt;max&gt;68600.00&lt;/max&gt;&lt;min&gt;45200.00&lt;/min&gt;&lt;/buy&gt;&lt;sell&gt;&lt;volume&gt;18854&lt;/volume&gt;&lt;avg&gt;81474.93&lt;/avg&gt;&lt;stddev&gt;22733.17&lt;/stddev&gt;&lt;median&gt;74995.00&lt;/median&gt;&lt;percentile&gt;69990.00&lt;/percentile&gt;&lt;max&gt;174700.00&lt;/max&gt;&lt;min&gt;69990.00&lt;/min&gt;&lt;/sell&gt;&lt;/type&gt;&lt;type id="22778"&gt;&lt;buy&gt;&lt;volume&gt;31646&lt;/volume&gt;&lt;avg&gt;49536.57&lt;/avg&gt;&lt;stddev&gt;8340.50&lt;/stddev&gt;&lt;median&gt;58870.00&lt;/median&gt;&lt;percentile&gt;59570.00&lt;/percentile&gt;&lt;max&gt;59570.00&lt;/max&gt;&lt;min&gt;30000.00&lt;/min&gt;&lt;/buy&gt;&lt;sell&gt;&lt;volume&gt;310373&lt;/volume&gt;&lt;avg&gt;104654.42&lt;/avg&gt;&lt;stddev&gt;34112.43&lt;/stddev&gt;&lt;median&gt;88730.00&lt;/median&gt;&lt;percentile&gt;69942.60&lt;/percentile&gt;&lt;max&gt;224200.00&lt;/max&gt;&lt;min&gt;68500.00&lt;/min&gt;&lt;/sell&gt;&lt;/type&gt;&lt;type id="30028"&gt;&lt;buy&gt;&lt;volume&gt;26200&lt;/volume&gt;&lt;avg&gt;12325.38&lt;/avg&gt;&lt;stddev&gt;3819.34&lt;/stddev&gt;&lt;median&gt;12170.00&lt;/median&gt;&lt;percentile&gt;12335.98&lt;/percentile&gt;&lt;max&gt;20240.00&lt;/max&gt;&lt;min&gt;10440.00&lt;/min&gt;&lt;/buy&gt;&lt;sell&gt;&lt;volume&gt;176077&lt;/volume&gt;&lt;avg&gt;32504.16&lt;/avg&gt;&lt;stddev&gt;8339.51&lt;/stddev&gt;&lt;median&gt;37495.00&lt;/median&gt;&lt;percentile&gt;21992.04&lt;/percentile&gt;&lt;max&gt;70000.00&lt;/max&gt;&lt;min&gt;21970.00&lt;/min&gt;&lt;/sell&gt;&lt;/type&gt;&lt;type id="30013"&gt;&lt;buy&gt;&lt;volume&gt;154500&lt;/volume&gt;&lt;avg&gt;9114.72&lt;/avg&gt;&lt;stddev&gt;626.83&lt;/stddev&gt;&lt;median&gt;9502.00&lt;/median&gt;&lt;percentile&gt;9610.03&lt;/percentile&gt;&lt;max&gt;9700.00&lt;/max&gt;&lt;min&gt;8000.00&lt;/min&gt;&lt;/buy&gt;&lt;sell&gt;&lt;volume&gt;133974&lt;/volume&gt;&lt;avg&gt;12268.34&lt;/avg&gt;&lt;stddev&gt;2900.10&lt;/stddev&gt;&lt;median&gt;12320.00&lt;/median&gt;&lt;percentile&gt;11786.14&lt;/percentile&gt;&lt;max&gt;27600.00&lt;/max&gt;&lt;min&gt;11670.00&lt;/min&gt;&lt;/sell&gt;&lt;/type&gt;&lt;type id="30486"&gt;&lt;buy&gt;&lt;volume&gt;8085&lt;/volume&gt;&lt;avg&gt;368443.54&lt;/avg&gt;&lt;stddev&gt;12070.18&lt;/stddev&gt;&lt;median&gt;367300.00&lt;/median&gt;&lt;percentile&gt;383500.00&lt;/percentile&gt;&lt;max&gt;383500.00&lt;/max&gt;&lt;min&gt;350000.00&lt;/min&gt;&lt;/buy&gt;&lt;sell&gt;&lt;volume&gt;38840&lt;/volume&gt;&lt;avg&gt;433579.86&lt;/avg&gt;&lt;stddev&gt;27673.09&lt;/stddev&gt;&lt;median&gt;423400.00&lt;/median&gt;&lt;percentile&gt;416994.58&lt;/percentile&gt;&lt;max&gt;524900.00&lt;/max&gt;&lt;min&gt;416900.00&lt;/min&gt;&lt;/sell&gt;&lt;/type&gt;&lt;type id="30488"&gt;&lt;buy&gt;&lt;volume&gt;13582&lt;/volume&gt;&lt;avg&gt;304212.95&lt;/avg&gt;&lt;stddev&gt;46786.55&lt;/stddev&gt;&lt;median&gt;334150.00&lt;/median&gt;&lt;percentile&gt;360684.79&lt;/percentile&gt;&lt;max&gt;361100.00&lt;/max&gt;&lt;min&gt;150000.00&lt;/min&gt;&lt;/buy&gt;&lt;sell&gt;&lt;volume&gt;31227&lt;/volume&gt;&lt;avg&gt;398711.48&lt;/avg&gt;&lt;stddev&gt;16880.81&lt;/stddev&gt;&lt;median&gt;396400.00&lt;/median&gt;&lt;percentile&gt;389206.82&lt;/percentile&gt;&lt;max&gt;455800.00&lt;/max&gt;&lt;min&gt;389000.00&lt;/min&gt;&lt;/sell&gt;&lt;/type&gt;&lt;type id="12767"&gt;&lt;buy&gt;&lt;volume&gt;2316365&lt;/volume&gt;&lt;avg&gt;366.91&lt;/avg&gt;&lt;stddev&gt;5.35&lt;/stddev&gt;&lt;median&gt;364.65&lt;/median&gt;&lt;percentile&gt;371.60&lt;/percentile&gt;&lt;max&gt;371.60&lt;/max&gt;&lt;min&gt;356.90&lt;/min&gt;&lt;/buy&gt;&lt;sell&gt;&lt;volume&gt;7210931&lt;/volume&gt;&lt;avg&gt;454.89&lt;/avg&gt;&lt;stddev&gt;54.70&lt;/stddev&gt;&lt;median&gt;439.90&lt;/median&gt;&lt;percentile&gt;438.82&lt;/percentile&gt;&lt;max&gt;591.80&lt;/max&gt;&lt;min&gt;438.80&lt;/min&gt;&lt;/sell&gt;&lt;/type&gt;&lt;type id="12771"&gt;&lt;buy&gt;&lt;volume&gt;492983&lt;/volume&gt;&lt;avg&gt;321.44&lt;/avg&gt;&lt;stddev&gt;11.21&lt;/stddev&gt;&lt;median&gt;319.60&lt;/median&gt;&lt;percentile&gt;328.40&lt;/percentile&gt;&lt;max&gt;328.40&lt;/max&gt;&lt;min&gt;307.30&lt;/min&gt;&lt;/buy&gt;&lt;sell&gt;&lt;volume&gt;8584559&lt;/volume&gt;&lt;avg&gt;373.48&lt;/avg&gt;&lt;stddev&gt;10.99&lt;/stddev&gt;&lt;median&gt;369.45&lt;/median&gt;&lt;percentile&gt;357.60&lt;/percentile&gt;&lt;max&gt;396.00&lt;/max&gt;&lt;min&gt;357.60&lt;/min&gt;&lt;/sell&gt;&lt;/type&gt;&lt;type id="12775"&gt;&lt;buy&gt;&lt;volume&gt;1600000&lt;/volume&gt;&lt;avg&gt;450.46&lt;/avg&gt;&lt;stddev&gt;0.76&lt;/stddev&gt;&lt;median&gt;450.00&lt;/median&gt;&lt;percentile&gt;451.40&lt;/percentile&gt;&lt;max&gt;451.40&lt;/max&gt;&lt;min&gt;450.00&lt;/min&gt;&lt;/buy&gt;&lt;sell&gt;&lt;volume&gt;10409759&lt;/volume&gt;&lt;avg&gt;603.67&lt;/avg&gt;&lt;stddev&gt;260.13&lt;/stddev&gt;&lt;median&gt;540.00&lt;/median&gt;&lt;percentile&gt;510.80&lt;/percentile&gt;&lt;max&gt;1486.00&lt;/max&gt;&lt;min&gt;510.60&lt;/min&gt;&lt;/sell&gt;&lt;/type&gt;&lt;type id="12773"&gt;&lt;buy&gt;&lt;volume&gt;1474000&lt;/volume&gt;&lt;avg&gt;265.70&lt;/avg&gt;&lt;stddev&gt;26.88&lt;/stddev&gt;&lt;median&gt;250.00&lt;/median&gt;&lt;percentile&gt;300.31&lt;/percentile&gt;&lt;max&gt;300.40&lt;/max&gt;&lt;min&gt;250.00&lt;/min&gt;&lt;/buy&gt;&lt;sell&gt;&lt;volume&gt;13223423&lt;/volume&gt;&lt;avg&gt;383.89&lt;/avg&gt;&lt;stddev&gt;42.46&lt;/stddev&gt;&lt;median&gt;369.80&lt;/median&gt;&lt;percentile&gt;345.12&lt;/percentile&gt;&lt;max&gt;469.90&lt;/max&gt;&lt;min&gt;343.90&lt;/min&gt;&lt;/sell&gt;&lt;/type&gt;&lt;type id="12777"&gt;&lt;buy&gt;&lt;volume&gt;6220000&lt;/volume&gt;&lt;avg&gt;195.28&lt;/avg&gt;&lt;stddev&gt;29.11&lt;/stddev&gt;&lt;median&gt;202.30&lt;/median&gt;&lt;percentile&gt;202.40&lt;/percentile&gt;&lt;max&gt;202.40&lt;/max&gt;&lt;min&gt;110.00&lt;/min&gt;&lt;/buy&gt;&lt;sell&gt;&lt;volume&gt;9180812&lt;/volume&gt;&lt;avg&gt;279.15&lt;/avg&gt;&lt;stddev&gt;105.53&lt;/stddev&gt;&lt;median&gt;266.80&lt;/median&gt;&lt;percentile&gt;227.78&lt;/percentile&gt;&lt;max&gt;523.00&lt;/max&gt;&lt;min&gt;227.60&lt;/min&gt;&lt;/sell&gt;&lt;/type&gt;&lt;type id="12625"&gt;&lt;buy&gt;&lt;volume&gt;1630000&lt;/volume&gt;&lt;avg&gt;40.98&lt;/avg&gt;&lt;stddev&gt;10.21&lt;/stddev&gt;&lt;median&gt;45.27&lt;/median&gt;&lt;percentile&gt;45.29&lt;/percentile&gt;&lt;max&gt;45.29&lt;/max&gt;&lt;min&gt;22.34&lt;/min&gt;&lt;/buy&gt;&lt;sell&gt;&lt;volume&gt;32693301&lt;/volume&gt;&lt;avg&gt;70.80&lt;/avg&gt;&lt;stddev&gt;14.44&lt;/stddev&gt;&lt;median&gt;73.50&lt;/median&gt;&lt;percentile&gt;56.94&lt;/percentile&gt;&lt;max&gt;97.38&lt;/max&gt;&lt;min&gt;56.87&lt;/min&gt;&lt;/sell&gt;&lt;/type&gt;&lt;type id="12608"&gt;&lt;buy&gt;&lt;volume&gt;11031346&lt;/volume&gt;&lt;avg&gt;46.39&lt;/avg&gt;&lt;stddev&gt;2.75&lt;/stddev&gt;&lt;median&gt;46.33&lt;/median&gt;&lt;percentile&gt;48.95&lt;/percentile&gt;&lt;max&gt;48.95&lt;/max&gt;&lt;min&gt;38.00&lt;/min&gt;&lt;/buy&gt;&lt;sell&gt;&lt;volume&gt;33191663&lt;/volume&gt;&lt;avg&gt;95.70&lt;/avg&gt;&lt;stddev&gt;29.69&lt;/stddev&gt;&lt;median&gt;96.47&lt;/median&gt;&lt;percentile&gt;64.87&lt;/percentile&gt;&lt;max&gt;155.20&lt;/max&gt;&lt;min&gt;64.87&lt;/min&gt;&lt;/sell&gt;&lt;/type&gt;&lt;type id="21894"&gt;&lt;buy&gt;&lt;volume&gt;970000&lt;/volume&gt;&lt;avg&gt;1052.08&lt;/avg&gt;&lt;stddev&gt;30.95&lt;/stddev&gt;&lt;median&gt;1066.00&lt;/median&gt;&lt;percentile&gt;1082.00&lt;/percentile&gt;&lt;max&gt;1082.00&lt;/max&gt;&lt;min&gt;1008.00&lt;/min&gt;&lt;/buy&gt;&lt;sell&gt;&lt;volume&gt;2879996&lt;/volume&gt;&lt;avg&gt;1412.52&lt;/avg&gt;&lt;stddev&gt;261.37&lt;/stddev&gt;&lt;median&gt;1294.00&lt;/median&gt;&lt;percentile&gt;1225.00&lt;/percentile&gt;&lt;max&gt;1970.00&lt;/max&gt;&lt;min&gt;1225.00&lt;/min&gt;&lt;/sell&gt;&lt;/type&gt;&lt;type id="21918"&gt;&lt;buy&gt;&lt;volume&gt;1975000&lt;/volume&gt;&lt;avg&gt;1037.91&lt;/avg&gt;&lt;stddev&gt;61.18&lt;/stddev&gt;&lt;median&gt;1017.00&lt;/median&gt;&lt;percentile&gt;1082.00&lt;/percentile&gt;&lt;max&gt;1082.00&lt;/max&gt;&lt;min&gt;911.00&lt;/min&gt;&lt;/buy&gt;&lt;sell&gt;&lt;volume&gt;15345626&lt;/volume&gt;&lt;avg&gt;1223.59&lt;/avg&gt;&lt;stddev&gt;98.71&lt;/stddev&gt;&lt;median&gt;1233.50&lt;/median&gt;&lt;percentile&gt;1219.00&lt;/percentile&gt;&lt;max&gt;1499.00&lt;/max&gt;&lt;min&gt;1219.00&lt;/min&gt;&lt;/sell&gt;&lt;/type&gt;&lt;type id="28326"&gt;&lt;buy&gt;&lt;volume&gt;715254&lt;/volume&gt;&lt;avg&gt;473.95&lt;/avg&gt;&lt;stddev&gt;193.40&lt;/stddev&gt;&lt;median&gt;500.50&lt;/median&gt;&lt;percentile&gt;605.60&lt;/percentile&gt;&lt;max&gt;605.60&lt;/max&gt;&lt;min&gt;151.00&lt;/min&gt;&lt;/buy&gt;&lt;sell&gt;&lt;volume&gt;2472156&lt;/volume&gt;&lt;avg&gt;1481.66&lt;/avg&gt;&lt;stddev&gt;356.21&lt;/stddev&gt;&lt;median&gt;1867.00&lt;/median&gt;&lt;percentile&gt;990.56&lt;/percentile&gt;&lt;max&gt;1999.00&lt;/max&gt;&lt;min&gt;900.00&lt;/min&gt;&lt;/sell&gt;&lt;/type&gt;&lt;type id="28334"&gt;&lt;buy&gt;&lt;volume&gt;7027254&lt;/volume&gt;&lt;avg&gt;652.09&lt;/avg&gt;&lt;stddev&gt;62.10&lt;/stddev&gt;&lt;median&gt;635.55&lt;/median&gt;&lt;percentile&gt;735.33&lt;/percentile&gt;&lt;max&gt;735.60&lt;/max&gt;&lt;min&gt;515.70&lt;/min&gt;&lt;/buy&gt;&lt;sell&gt;&lt;volume&gt;3832604&lt;/volume&gt;&lt;avg&gt;982.53&lt;/avg&gt;&lt;stddev&gt;386.70&lt;/stddev&gt;&lt;median&gt;819.30&lt;/median&gt;&lt;percentile&gt;815.00&lt;/percentile&gt;&lt;max&gt;1996.00&lt;/max&gt;&lt;min&gt;814.90&lt;/min&gt;&lt;/sell&gt;&lt;/type&gt;&lt;type id="21896"&gt;&lt;buy&gt;&lt;volume&gt;3252020&lt;/volume&gt;&lt;avg&gt;700.64&lt;/avg&gt;&lt;stddev&gt;0.48&lt;/stddev&gt;&lt;median&gt;700.80&lt;/median&gt;&lt;percentile&gt;701.13&lt;/percentile&gt;&lt;max&gt;701.20&lt;/max&gt;&lt;min&gt;700.00&lt;/min&gt;&lt;/buy&gt;&lt;sell&gt;&lt;volume&gt;13484315&lt;/volume&gt;&lt;avg&gt;936.43&lt;/avg&gt;&lt;stddev&gt;204.17&lt;/stddev&gt;&lt;median&gt;900.00&lt;/median&gt;&lt;percentile&gt;795.00&lt;/percentile&gt;&lt;max&gt;1480.00&lt;/max&gt;&lt;min&gt;795.00&lt;/min&gt;&lt;/sell&gt;&lt;/type&gt;&lt;type id="21904"&gt;&lt;buy&gt;&lt;volume&gt;4913152&lt;/volume&gt;&lt;avg&gt;640.68&lt;/avg&gt;&lt;stddev&gt;90.23&lt;/stddev&gt;&lt;median&gt;655.30&lt;/median&gt;&lt;percentile&gt;687.04&lt;/percentile&gt;&lt;max&gt;687.10&lt;/max&gt;&lt;min&gt;351.00&lt;/min&gt;&lt;/buy&gt;&lt;sell&gt;&lt;volume&gt;2946244&lt;/volume&gt;&lt;avg&gt;898.31&lt;/avg&gt;&lt;stddev&gt;62.34&lt;/stddev&gt;&lt;median&gt;925.00&lt;/median&gt;&lt;percentile&gt;773.33&lt;/percentile&gt;&lt;max&gt;1028.00&lt;/max&gt;&lt;min&gt;770.00&lt;/min&gt;&lt;/sell&gt;&lt;/type&gt;&lt;type id="21912"&gt;&lt;buy&gt;&lt;volume&gt;695000&lt;/volume&gt;&lt;avg&gt;555.78&lt;/avg&gt;&lt;stddev&gt;7.14&lt;/stddev&gt;&lt;median&gt;550.20&lt;/median&gt;&lt;percentile&gt;565.54&lt;/percentile&gt;&lt;max&gt;565.60&lt;/max&gt;&lt;min&gt;550.00&lt;/min&gt;&lt;/buy&gt;&lt;sell&gt;&lt;volume&gt;2804497&lt;/volume&gt;&lt;avg&gt;924.72&lt;/avg&gt;&lt;stddev&gt;96.89&lt;/stddev&gt;&lt;median&gt;890.00&lt;/median&gt;&lt;percentile&gt;841.90&lt;/percentile&gt;&lt;max&gt;1101.00&lt;/max&gt;&lt;min&gt;841.90&lt;/min&gt;&lt;/sell&gt;&lt;/type&gt;&lt;type id="21922"&gt;&lt;buy&gt;&lt;volume&gt;3503099&lt;/volume&gt;&lt;avg&gt;689.28&lt;/avg&gt;&lt;stddev&gt;21.08&lt;/stddev&gt;&lt;median&gt;701.00&lt;/median&gt;&lt;percentile&gt;703.80&lt;/percentile&gt;&lt;max&gt;703.80&lt;/max&gt;&lt;min&gt;631.80&lt;/min&gt;&lt;/buy&gt;&lt;sell&gt;&lt;volume&gt;2561004&lt;/volume&gt;&lt;avg&gt;1278.34&lt;/avg&gt;&lt;stddev&gt;203.61&lt;/stddev&gt;&lt;median&gt;1381.00&lt;/median&gt;&lt;percentile&gt;886.20&lt;/percentile&gt;&lt;max&gt;1499.00&lt;/max&gt;&lt;min&gt;886.20&lt;/min&gt;&lt;/sell&gt;&lt;/type&gt;&lt;type id="21928"&gt;&lt;buy&gt;&lt;volume&gt;1398180&lt;/volume&gt;&lt;avg&gt;643.01&lt;/avg&gt;&lt;stddev&gt;73.57&lt;/stddev&gt;&lt;median&gt;651.70&lt;/median&gt;&lt;percentile&gt;706.30&lt;/percentile&gt;&lt;max&gt;706.30&lt;/max&gt;&lt;min&gt;457.40&lt;/min&gt;&lt;/buy&gt;&lt;sell&gt;&lt;volume&gt;1800434&lt;/volume&gt;&lt;avg&gt;1014.44&lt;/avg&gt;&lt;stddev&gt;67.58&lt;/stddev&gt;&lt;median&gt;1034.00&lt;/median&gt;&lt;percentile&gt;964.09&lt;/percentile&gt;&lt;max&gt;1200.00&lt;/max&gt;&lt;min&gt;964.00&lt;/min&gt;&lt;/sell&gt;&lt;/type&gt;&lt;type id="21937"&gt;&lt;buy&gt;&lt;volume&gt;7389792&lt;/volume&gt;&lt;avg&gt;687.93&lt;/avg&gt;&lt;stddev&gt;67.14&lt;/stddev&gt;&lt;median&gt;733.70&lt;/median&gt;&lt;percentile&gt;737.82&lt;/percentile&gt;&lt;max&gt;737.90&lt;/max&gt;&lt;min&gt;552.80&lt;/min&gt;&lt;/buy&gt;&lt;sell&gt;&lt;volume&gt;924553&lt;/volume&gt;&lt;avg&gt;1275.91&lt;/avg&gt;&lt;stddev&gt;8.03&lt;/stddev&gt;&lt;median&gt;1275.00&lt;/median&gt;&lt;percentile&gt;1273.95&lt;/percentile&gt;&lt;max&gt;1299.00&lt;/max&gt;&lt;min&gt;1273.00&lt;/min&gt;&lt;/sell&gt;&lt;/type&gt;&lt;type id="28336"&gt;&lt;buy&gt;&lt;volume&gt;605000&lt;/volume&gt;&lt;avg&gt;312.37&lt;/avg&gt;&lt;stddev&gt;3.57&lt;/stddev&gt;&lt;median&gt;311.10&lt;/median&gt;&lt;percentile&gt;317.60&lt;/percentile&gt;&lt;max&gt;317.60&lt;/max&gt;&lt;min&gt;310.00&lt;/min&gt;&lt;/buy&gt;&lt;sell&gt;&lt;volume&gt;3655440&lt;/volume&gt;&lt;avg&gt;607.18&lt;/avg&gt;&lt;stddev&gt;249.10&lt;/stddev&gt;&lt;median&gt;519.10&lt;/median&gt;&lt;percentile&gt;497.87&lt;/percentile&gt;&lt;max&gt;1283.00&lt;/max&gt;&lt;min&gt;494.40&lt;/min&gt;&lt;/sell&gt;&lt;/type&gt;&lt;type id="21898"&gt;&lt;buy&gt;&lt;volume&gt;7138300&lt;/volume&gt;&lt;avg&gt;471.03&lt;/avg&gt;&lt;stddev&gt;28.03&lt;/stddev&gt;&lt;median&gt;443.40&lt;/median&gt;&lt;percentile&gt;521.30&lt;/percentile&gt;&lt;max&gt;521.30&lt;/max&gt;&lt;min&gt;443.40&lt;/min&gt;&lt;/buy&gt;&lt;sell&gt;&lt;volume&gt;11030714&lt;/volume&gt;&lt;avg&gt;599.96&lt;/avg&gt;&lt;stddev&gt;27.59&lt;/stddev&gt;&lt;median&gt;600.00&lt;/median&gt;&lt;percentile&gt;599.96&lt;/percentile&gt;&lt;max&gt;600.00&lt;/max&gt;&lt;min&gt;521.40&lt;/min&gt;&lt;/sell&gt;&lt;/type&gt;&lt;type id="21906"&gt;&lt;buy&gt;&lt;volume&gt;3453000&lt;/volume&gt;&lt;avg&gt;401.29&lt;/avg&gt;&lt;stddev&gt;42.59&lt;/stddev&gt;&lt;median&gt;402.80&lt;/median&gt;&lt;percentile&gt;416.87&lt;/percentile&gt;&lt;max&gt;418.40&lt;/max&gt;&lt;min&gt;281.00&lt;/min&gt;&lt;/buy&gt;&lt;sell&gt;&lt;volume&gt;12943980&lt;/volume&gt;&lt;avg&gt;655.26&lt;/avg&gt;&lt;stddev&gt;181.12&lt;/stddev&gt;&lt;median&gt;624.70&lt;/median&gt;&lt;percentile&gt;513.40&lt;/percentile&gt;&lt;max&gt;1111.00&lt;/max&gt;&lt;min&gt;513.40&lt;/min&gt;&lt;/sell&gt;&lt;/type&gt;&lt;type id="21924"&gt;&lt;buy&gt;&lt;volume&gt;1635000&lt;/volume&gt;&lt;avg&gt;404.07&lt;/avg&gt;&lt;stddev&gt;31.27&lt;/stddev&gt;&lt;median&gt;403.30&lt;/median&gt;&lt;percentile&gt;411.06&lt;/percentile&gt;&lt;max&gt;411.10&lt;/max&gt;&lt;min&gt;307.30&lt;/min&gt;&lt;/buy&gt;&lt;sell&gt;&lt;volume&gt;4159884&lt;/volume&gt;&lt;avg&gt;586.29&lt;/avg&gt;&lt;stddev&gt;171.34&lt;/stddev&gt;&lt;median&gt;475.90&lt;/median&gt;&lt;percentile&gt;464.00&lt;/percentile&gt;&lt;max&gt;999.60&lt;/max&gt;&lt;min&gt;464.00&lt;/min&gt;&lt;/sell&gt;&lt;/type&gt;&lt;type id="193"&gt;&lt;buy&gt;&lt;volume&gt;9371000&lt;/volume&gt;&lt;avg&gt;90.61&lt;/avg&gt;&lt;stddev&gt;7.65&lt;/stddev&gt;&lt;median&gt;94.00&lt;/median&gt;&lt;percentile&gt;95.55&lt;/percentile&gt;&lt;max&gt;95.65&lt;/max&gt;&lt;min&gt;69.25&lt;/min&gt;&lt;/buy&gt;&lt;sell&gt;&lt;volume&gt;10262992&lt;/volume&gt;&lt;avg&gt;178.26&lt;/avg&gt;&lt;stddev&gt;73.63&lt;/stddev&gt;&lt;median&gt;163.50&lt;/median&gt;&lt;percentile&gt;119.80&lt;/percentile&gt;&lt;max&gt;500.00&lt;/max&gt;&lt;min&gt;119.80&lt;/min&gt;&lt;/sell&gt;&lt;/type&gt;&lt;type id="41155"&gt;&lt;buy&gt;&lt;volume&gt;18569&lt;/volume&gt;&lt;avg&gt;4133.00&lt;/avg&gt;&lt;stddev&gt;1145.74&lt;/stddev&gt;&lt;median&gt;3282.50&lt;/median&gt;&lt;percentile&gt;5812.33&lt;/percentile&gt;&lt;max&gt;5813.00&lt;/max&gt;&lt;min&gt;3137.00&lt;/min&gt;&lt;/buy&gt;&lt;sell&gt;&lt;volume&gt;25041&lt;/volume&gt;&lt;avg&gt;16387.34&lt;/avg&gt;&lt;stddev&gt;4745.24&lt;/stddev&gt;&lt;median&gt;13830.00&lt;/median&gt;&lt;percentile&gt;12056.09&lt;/percentile&gt;&lt;max&gt;27970.00&lt;/max&gt;&lt;min&gt;11840.00&lt;/min&gt;&lt;/sell&gt;&lt;/type&gt;&lt;type id="35795"&gt;&lt;buy&gt;&lt;volume&gt;21263&lt;/volume&gt;&lt;avg&gt;4812.20&lt;/avg&gt;&lt;stddev&gt;507.06&lt;/stddev&gt;&lt;median&gt;5152.00&lt;/median&gt;&lt;percentile&gt;5154.44&lt;/percentile&gt;&lt;max&gt;5156.00&lt;/max&gt;&lt;min&gt;3944.00&lt;/min&gt;&lt;/buy&gt;&lt;sell&gt;&lt;volume&gt;12499&lt;/volume&gt;&lt;avg&gt;17195.63&lt;/avg&gt;&lt;stddev&gt;4362.07&lt;/stddev&gt;&lt;median&gt;15000.00&lt;/median&gt;&lt;percentile&gt;13799.09&lt;/percentile&gt;&lt;max&gt;25000.00&lt;/max&gt;&lt;min&gt;13790.00&lt;/min&gt;&lt;/sell&gt;&lt;/type&gt;&lt;type id="35794"&gt;&lt;buy&gt;&lt;volume&gt;6099&lt;/volume&gt;&lt;avg&gt;7757.97&lt;/avg&gt;&lt;stddev&gt;81.02&lt;/stddev&gt;&lt;median&gt;7787.50&lt;/median&gt;&lt;percentile&gt;7813.00&lt;/percentile&gt;&lt;max&gt;7813.00&lt;/max&gt;&lt;min&gt;7570.00&lt;/min&gt;&lt;/buy&gt;&lt;sell&gt;&lt;volume&gt;27554&lt;/volume&gt;&lt;avg&gt;11982.41&lt;/avg&gt;&lt;stddev&gt;43.67&lt;/stddev&gt;&lt;median&gt;12000.00&lt;/median&gt;&lt;percentile&gt;11900.00&lt;/percentile&gt;&lt;max&gt;12000.00&lt;/max&gt;&lt;min&gt;11900.00&lt;/min&gt;&lt;/sell&gt;&lt;/type&gt;&lt;type id="29005"&gt;&lt;buy&gt;&lt;volume&gt;4586&lt;/volume&gt;&lt;avg&gt;4015.02&lt;/avg&gt;&lt;stddev&gt;485.10&lt;/stddev&gt;&lt;median&gt;4257.00&lt;/median&gt;&lt;percentile&gt;4257.00&lt;/percentile&gt;&lt;max&gt;4257.00&lt;/max&gt;&lt;min&gt;3268.00&lt;/min&gt;&lt;/buy&gt;&lt;sell&gt;&lt;volume&gt;3708&lt;/volume&gt;&lt;avg&gt;299262.08&lt;/avg&gt;&lt;stddev&gt;125020.22&lt;/stddev&gt;&lt;median&gt;426000.00&lt;/median&gt;&lt;percentile&gt;100000.00&lt;/percentile&gt;&lt;max&gt;448900.00&lt;/max&gt;&lt;min&gt;100000.00&lt;/min&gt;&lt;/sell&gt;&lt;/type&gt;&lt;type id="28999"&gt;&lt;buy&gt;&lt;volume&gt;36542&lt;/volume&gt;&lt;avg&gt;5418.26&lt;/avg&gt;&lt;stddev&gt;134.09&lt;/stddev&gt;&lt;median&gt;5411.50&lt;/median&gt;&lt;percentile&gt;5567.50&lt;/percentile&gt;&lt;max&gt;5568.00&lt;/max&gt;&lt;min&gt;5207.00&lt;/min&gt;&lt;/buy&gt;&lt;sell&gt;&lt;volume&gt;25976&lt;/volume&gt;&lt;avg&gt;38857.57&lt;/avg&gt;&lt;stddev&gt;24757.48&lt;/stddev&gt;&lt;median&gt;17990.00&lt;/median&gt;&lt;percentile&gt;11576.61&lt;/percentile&gt;&lt;max&gt;77400.00&lt;/max&gt;&lt;min&gt;11570.00&lt;/min&gt;&lt;/sell&gt;&lt;/type&gt;&lt;type id="29011"&gt;&lt;buy&gt;&lt;volume&gt;30482&lt;/volume&gt;&lt;avg&gt;5386.27&lt;/avg&gt;&lt;stddev&gt;898.18&lt;/stddev&gt;&lt;median&gt;5514.50&lt;/median&gt;&lt;percentile&gt;5522.87&lt;/percentile&gt;&lt;max&gt;5613.00&lt;/max&gt;&lt;min&gt;2500.00&lt;/min&gt;&lt;/buy&gt;&lt;sell&gt;&lt;volume&gt;52976&lt;/volume&gt;&lt;avg&gt;13731.98&lt;/avg&gt;&lt;stddev&gt;28177.95&lt;/stddev&gt;&lt;median&gt;10000.00&lt;/median&gt;&lt;percentile&gt;8615.28&lt;/percentile&gt;&lt;max&gt;99990.00&lt;/max&gt;&lt;min&gt;8599.00&lt;/min&gt;&lt;/sell&gt;&lt;/type&gt;&lt;type id="29009"&gt;&lt;buy&gt;&lt;volume&gt;78757&lt;/volume&gt;&lt;avg&gt;10614.61&lt;/avg&gt;&lt;stddev&gt;2252.36&lt;/stddev&gt;&lt;median&gt;10690.00&lt;/median&gt;&lt;percentile&gt;10770.00&lt;/percentile&gt;&lt;max&gt;10770.00&lt;/max&gt;&lt;min&gt;4615.00&lt;/min&gt;&lt;/buy&gt;&lt;sell&gt;&lt;volume&gt;17200&lt;/volume&gt;&lt;avg&gt;19368.87&lt;/avg&gt;&lt;stddev&gt;7644.56&lt;/stddev&gt;&lt;median&gt;15875.00&lt;/median&gt;&lt;percentile&gt;13846.31&lt;/percentile&gt;&lt;max&gt;39000.00&lt;/max&gt;&lt;min&gt;13840.00&lt;/min&gt;&lt;/sell&gt;&lt;/type&gt;&lt;type id="29007"&gt;&lt;buy&gt;&lt;volume&gt;33403&lt;/volume&gt;&lt;avg&gt;5060.83&lt;/avg&gt;&lt;stddev&gt;325.75&lt;/stddev&gt;&lt;median&gt;5101.50&lt;/median&gt;&lt;percentile&gt;5105.00&lt;/percentile&gt;&lt;max&gt;5105.00&lt;/max&gt;&lt;min&gt;4212.00&lt;/min&gt;&lt;/buy&gt;&lt;sell&gt;&lt;volume&gt;9765&lt;/volume&gt;&lt;avg&gt;20575.43&lt;/avg&gt;&lt;stddev&gt;6901.55&lt;/stddev&gt;&lt;median&gt;17885.00&lt;/median&gt;&lt;percentile&gt;17840.00&lt;/percentile&gt;&lt;max&gt;34590.00&lt;/max&gt;&lt;min&gt;17840.00&lt;/min&gt;&lt;/sell&gt;&lt;/type&gt;&lt;type id="29001"&gt;&lt;buy&gt;&lt;volume&gt;50233&lt;/volume&gt;&lt;avg&gt;5106.47&lt;/avg&gt;&lt;stddev&gt;1487.98&lt;/stddev&gt;&lt;median&gt;5337.00&lt;/median&gt;&lt;percentile&gt;6795.05&lt;/percentile&gt;&lt;max&gt;6803.00&lt;/max&gt;&lt;min&gt;1937.00&lt;/min&gt;&lt;/buy&gt;&lt;sell&gt;&lt;volume&gt;16798&lt;/volume&gt;&lt;avg&gt;9616.24&lt;/avg&gt;&lt;stddev&gt;389.62&lt;/stddev&gt;&lt;median&gt;9568.00&lt;/median&gt;&lt;percentile&gt;9000.00&lt;/percentile&gt;&lt;max&gt;10340.00&lt;/max&gt;&lt;min&gt;9000.00&lt;/min&gt;&lt;/sell&gt;&lt;/type&gt;&lt;type id="33681"&gt;&lt;buy&gt;&lt;volume&gt;82&lt;/volume&gt;&lt;avg&gt;85823414.63&lt;/avg&gt;&lt;stddev&gt;7816372.28&lt;/stddev&gt;&lt;median&gt;91000000.00&lt;/median&gt;&lt;percentile&gt;96950000.00&lt;/percentile&gt;&lt;max&gt;96950000.00&lt;/max&gt;&lt;min&gt;70000000.00&lt;/min&gt;&lt;/buy&gt;&lt;sell&gt;&lt;volume&gt;372&lt;/volume&gt;&lt;avg&gt;134342473.12&lt;/avg&gt;&lt;stddev&gt;43478286.26&lt;/stddev&gt;&lt;median&gt;112500000.00&lt;/median&gt;&lt;percentile&gt;107092000.00&lt;/percentile&gt;&lt;max&gt;349900000.00&lt;/max&gt;&lt;min&gt;106700000.00&lt;/min&gt;&lt;/sell&gt;&lt;/type&gt;&lt;type id="2193"&gt;&lt;buy&gt;&lt;volume&gt;11648&lt;/volume&gt;&lt;avg&gt;79649.34&lt;/avg&gt;&lt;stddev&gt;4798.11&lt;/stddev&gt;&lt;median&gt;82130.00&lt;/median&gt;&lt;percentile&gt;82300.00&lt;/percentile&gt;&lt;max&gt;82300.00&lt;/max&gt;&lt;min&gt;70000.00&lt;/min&gt;&lt;/buy&gt;&lt;sell&gt;&lt;volume&gt;13724&lt;/volume&gt;&lt;avg&gt;119412.91&lt;/avg&gt;&lt;stddev&gt;12092.52&lt;/stddev&gt;&lt;median&gt;116100.00&lt;/median&gt;&lt;percentile&gt;93385.46&lt;/percentile&gt;&lt;max&gt;150000.00&lt;/max&gt;&lt;min&gt;92440.00&lt;/min&gt;&lt;/sell&gt;&lt;/type&gt;&lt;type id="2478"&gt;&lt;buy&gt;&lt;volume&gt;3200&lt;/volume&gt;&lt;avg&gt;1093823.12&lt;/avg&gt;&lt;stddev&gt;174005.68&lt;/stddev&gt;&lt;median&gt;1200000.00&lt;/median&gt;&lt;percentile&gt;1250000.00&lt;/percentile&gt;&lt;max&gt;1250000.00&lt;/max&gt;&lt;min&gt;800100.00&lt;/min&gt;&lt;/buy&gt;&lt;sell&gt;&lt;volume&gt;11937&lt;/volume&gt;&lt;avg&gt;1367639.27&lt;/avg&gt;&lt;stddev&gt;236908.23&lt;/stddev&gt;&lt;median&gt;1348500.00&lt;/median&gt;&lt;percentile&gt;1346953.77&lt;/percentile&gt;&lt;max&gt;2399000.00&lt;/max&gt;&lt;min&gt;1343000.00&lt;/min&gt;&lt;/sell&gt;&lt;/type&gt;&lt;type id="2446"&gt;&lt;buy&gt;&lt;volume&gt;1370&lt;/volume&gt;&lt;avg&gt;866201.46&lt;/avg&gt;&lt;stddev&gt;227232.71&lt;/stddev&gt;&lt;median&gt;907200.00&lt;/median&gt;&lt;percentile&gt;907700.00&lt;/percentile&gt;&lt;max&gt;907700.00&lt;/max&gt;&lt;min&gt;350400.00&lt;/min&gt;&lt;/buy&gt;&lt;sell&gt;&lt;volume&gt;18449&lt;/volume&gt;&lt;avg&gt;1200274.81&lt;/avg&gt;&lt;stddev&gt;227105.57&lt;/stddev&gt;&lt;median&gt;1067500.00&lt;/median&gt;&lt;percentile&gt;999974.43&lt;/percentile&gt;&lt;max&gt;2376000.00&lt;/max&gt;&lt;min&gt;999800.00&lt;/min&gt;&lt;/sell&gt;&lt;/type&gt;&lt;type id="2195"&gt;&lt;buy&gt;&lt;volume&gt;200&lt;/volume&gt;&lt;avg&gt;1367000.00&lt;/avg&gt;&lt;stddev&gt;0.00&lt;/stddev&gt;&lt;median&gt;1367000.00&lt;/median&gt;&lt;percentile&gt;1367000.00&lt;/percentile&gt;&lt;max&gt;1367000.00&lt;/max&gt;&lt;min&gt;1367000.00&lt;/min&gt;&lt;/buy&gt;&lt;sell&gt;&lt;volume&gt;14510&lt;/volume&gt;&lt;avg&gt;1893606.41&lt;/avg&gt;&lt;stddev&gt;490923.88&lt;/stddev&gt;&lt;median&gt;1495500.00&lt;/median&gt;&lt;percentile&gt;1471789.15&lt;/percentile&gt;&lt;max&gt;4498000.00&lt;/max&gt;&lt;min&gt;1470000.00&lt;/min&gt;&lt;/sell&gt;&lt;/type&gt;&lt;type id="2436"&gt;&lt;buy&gt;&lt;volume&gt;1726&lt;/volume&gt;&lt;avg&gt;1146600.81&lt;/avg&gt;&lt;stddev&gt;42672.60&lt;/stddev&gt;&lt;median&gt;1117500.00&lt;/median&gt;&lt;percentile&gt;1199000.00&lt;/percentile&gt;&lt;max&gt;1199000.00&lt;/max&gt;&lt;min&gt;1102000.00&lt;/min&gt;&lt;/buy&gt;&lt;sell&gt;&lt;volume&gt;16006&lt;/volume&gt;&lt;avg&gt;1564881.79&lt;/avg&gt;&lt;stddev&gt;199184.82&lt;/stddev&gt;&lt;median&gt;1537500.00&lt;/median&gt;&lt;percentile&gt;1360583.33&lt;/percentile&gt;&lt;max&gt;2157000.00&lt;/max&gt;&lt;min&gt;1360000.00&lt;/min&gt;&lt;/sell&gt;&lt;/type&gt;&lt;type id="31870"&gt;&lt;buy&gt;&lt;volume&gt;1361&lt;/volume&gt;&lt;avg&gt;1905756.80&lt;/avg&gt;&lt;stddev&gt;28294.23&lt;/stddev&gt;&lt;median&gt;1900000.00&lt;/median&gt;&lt;percentile&gt;1948000.00&lt;/percentile&gt;&lt;max&gt;1948000.00&lt;/max&gt;&lt;min&gt;1875000.00&lt;/min&gt;&lt;/buy&gt;&lt;sell&gt;&lt;volume&gt;5463&lt;/volume&gt;&lt;avg&gt;2601568.92&lt;/avg&gt;&lt;stddev&gt;585952.82&lt;/stddev&gt;&lt;median&gt;2681000.00&lt;/median&gt;&lt;percentile&gt;2213247.17&lt;/percentile&gt;&lt;max&gt;4268000.00&lt;/max&gt;&lt;min&gt;2210000.00&lt;/min&gt;&lt;/sell&gt;&lt;/type&gt;&lt;type id="2203"&gt;&lt;buy&gt;&lt;volume&gt;48811&lt;/volume&gt;&lt;avg&gt;3533.78&lt;/avg&gt;&lt;stddev&gt;1109.72&lt;/stddev&gt;&lt;median&gt;3606.00&lt;/median&gt;&lt;percentile&gt;4364.19&lt;/percentile&gt;&lt;max&gt;4368.00&lt;/max&gt;&lt;min&gt;1519.00&lt;/min&gt;&lt;/buy&gt;&lt;sell&gt;&lt;volume&gt;33206&lt;/volume&gt;&lt;avg&gt;7563.67&lt;/avg&gt;&lt;stddev&gt;1411.20&lt;/stddev&gt;&lt;median&gt;7258.50&lt;/median&gt;&lt;percentile&gt;5464.00&lt;/percentile&gt;&lt;max&gt;10610.00&lt;/max&gt;&lt;min&gt;5464.00&lt;/min&gt;&lt;/sell&gt;&lt;/type&gt;&lt;type id="2454"&gt;&lt;buy&gt;&lt;volume&gt;91601&lt;/volume&gt;&lt;avg&gt;3787.20&lt;/avg&gt;&lt;stddev&gt;738.64&lt;/stddev&gt;&lt;median&gt;3756.00&lt;/median&gt;&lt;percentile&gt;4362.00&lt;/percentile&gt;&lt;max&gt;4362.00&lt;/max&gt;&lt;min&gt;1522.00&lt;/min&gt;&lt;/buy&gt;&lt;sell&gt;&lt;volume&gt;144523&lt;/volume&gt;&lt;avg&gt;30309.49&lt;/avg&gt;&lt;stddev&gt;12649.63&lt;/stddev&gt;&lt;median&gt;38750.00&lt;/median&gt;&lt;percentile&gt;5676.45&lt;/percentile&gt;&lt;max&gt;63970.00&lt;/max&gt;&lt;min&gt;5675.00&lt;/min&gt;&lt;/sell&gt;&lt;/type&gt;&lt;type id="2486"&gt;&lt;buy&gt;&lt;volume&gt;29300&lt;/volume&gt;&lt;avg&gt;6694.14&lt;/avg&gt;&lt;stddev&gt;490.98&lt;/stddev&gt;&lt;median&gt;6623.00&lt;/median&gt;&lt;percentile&gt;7166.00&lt;/percentile&gt;&lt;max&gt;7166.00&lt;/max&gt;&lt;min&gt;6063.00&lt;/min&gt;&lt;/buy&gt;&lt;sell&gt;&lt;volume&gt;79849&lt;/volume&gt;&lt;avg&gt;36782.22&lt;/avg&gt;&lt;stddev&gt;16009.07&lt;/stddev&gt;&lt;median&gt;50000.00&lt;/median&gt;&lt;percentile&gt;9596.95&lt;/percentile&gt;&lt;max&gt;60640.00&lt;/max&gt;&lt;min&gt;9596.00&lt;/min&gt;&lt;/sell&gt;&lt;/type&gt;&lt;type id="2205"&gt;&lt;buy&gt;&lt;volume&gt;550&lt;/volume&gt;&lt;avg&gt;251881.82&lt;/avg&gt;&lt;stddev&gt;22415.28&lt;/stddev&gt;&lt;median&gt;249000.00&lt;/median&gt;&lt;percentile&gt;280700.00&lt;/percentile&gt;&lt;max&gt;280700.00&lt;/max&gt;&lt;min&gt;249000.00&lt;/min&gt;&lt;/buy&gt;&lt;sell&gt;&lt;volume&gt;44301&lt;/volume&gt;&lt;avg&gt;311725.92&lt;/avg&gt;&lt;stddev&gt;22562.29&lt;/stddev&gt;&lt;median&gt;310400.00&lt;/median&gt;&lt;percentile&gt;309900.00&lt;/percentile&gt;&lt;max&gt;395000.00&lt;/max&gt;&lt;min&gt;309900.00&lt;/min&gt;&lt;/sell&gt;&lt;/type&gt;&lt;type id="2456"&gt;&lt;buy&gt;&lt;volume&gt;3167&lt;/volume&gt;&lt;avg&gt;261520.37&lt;/avg&gt;&lt;stddev&gt;70269.15&lt;/stddev&gt;&lt;median&gt;233000.00&lt;/median&gt;&lt;percentile&gt;286300.00&lt;/percentile&gt;&lt;max&gt;286300.00&lt;/max&gt;&lt;min&gt;152100.00&lt;/min&gt;&lt;/buy&gt;&lt;sell&gt;&lt;volume&gt;93159&lt;/volume&gt;&lt;avg&gt;319164.85&lt;/avg&gt;&lt;stddev&gt;65243.83&lt;/stddev&gt;&lt;median&gt;312700.00&lt;/median&gt;&lt;percentile&gt;312600.00&lt;/percentile&gt;&lt;max&gt;809100.00&lt;/max&gt;&lt;min&gt;312600.00&lt;/min&gt;&lt;/sell&gt;&lt;/type&gt;&lt;type id="2466"&gt;&lt;buy&gt;&lt;volume&gt;1740&lt;/volume&gt;&lt;avg&gt;302741.38&lt;/avg&gt;&lt;stddev&gt;4961.66&lt;/stddev&gt;&lt;median&gt;300000.00&lt;/median&gt;&lt;percentile&gt;311300.00&lt;/percentile&gt;&lt;max&gt;311300.00&lt;/max&gt;&lt;min&gt;300000.00&lt;/min&gt;&lt;/buy&gt;&lt;sell&gt;&lt;volume&gt;53397&lt;/volume&gt;&lt;avg&gt;369242.70&lt;/avg&gt;&lt;stddev&gt;77370.88&lt;/stddev&gt;&lt;median&gt;342600.00&lt;/median&gt;&lt;percentile&gt;341331.45&lt;/percentile&gt;&lt;max&gt;600000.00&lt;/max&gt;&lt;min&gt;340800.00&lt;/min&gt;&lt;/sell&gt;&lt;/type&gt;&lt;type id="2488"&gt;&lt;buy&gt;&lt;volume&gt;7032&lt;/volume&gt;&lt;avg&gt;299421.87&lt;/avg&gt;&lt;stddev&gt;3219.32&lt;/stddev&gt;&lt;median&gt;300000.00&lt;/median&gt;&lt;percentile&gt;302638.30&lt;/percentile&gt;&lt;max&gt;303000.00&lt;/max&gt;&lt;min&gt;290700.00&lt;/min&gt;&lt;/buy&gt;&lt;sell&gt;&lt;volume&gt;31963&lt;/volume&gt;&lt;avg&gt;342390.79&lt;/avg&gt;&lt;stddev&gt;103820.69&lt;/stddev&gt;&lt;median&gt;338350.00&lt;/median&gt;&lt;percentile&gt;337900.00&lt;/percentile&gt;&lt;max&gt;865200.00&lt;/max&gt;&lt;min&gt;337900.00&lt;/min&gt;&lt;/sell&gt;&lt;/type&gt;&lt;type id="31864"&gt;&lt;buy&gt;&lt;volume&gt;3066&lt;/volume&gt;&lt;avg&gt;760309.65&lt;/avg&gt;&lt;stddev&gt;167648.98&lt;/stddev&gt;&lt;median&gt;752800.00&lt;/median&gt;&lt;percentile&gt;1100857.14&lt;/percentile&gt;&lt;max&gt;1103000.00&lt;/max&gt;&lt;min&gt;500000.00&lt;/min&gt;&lt;/buy&gt;&lt;sell&gt;&lt;volume&gt;7413&lt;/volume&gt;&lt;avg&gt;1611162.15&lt;/avg&gt;&lt;stddev&gt;487591.28&lt;/stddev&gt;&lt;median&gt;1465000.00&lt;/median&gt;&lt;percentile&gt;1266047.62&lt;/percentile&gt;&lt;max&gt;3995000.00&lt;/max&gt;&lt;min&gt;1265000.00&lt;/min&gt;&lt;/sell&gt;&lt;/type&gt;&lt;type id="31888"&gt;&lt;buy&gt;&lt;volume&gt;632&lt;/volume&gt;&lt;avg&gt;1141188.29&lt;/avg&gt;&lt;stddev&gt;5871.64&lt;/stddev&gt;&lt;median&gt;1143000.00&lt;/median&gt;&lt;percentile&gt;1145000.00&lt;/percentile&gt;&lt;max&gt;1145000.00&lt;/max&gt;&lt;min&gt;1130000.00&lt;/min&gt;&lt;/buy&gt;&lt;sell&gt;&lt;volume&gt;1965&lt;/volume&gt;&lt;avg&gt;1488802.04&lt;/avg&gt;&lt;stddev&gt;170941.22&lt;/stddev&gt;&lt;median&gt;1430000.00&lt;/median&gt;&lt;percentile&gt;1316600.00&lt;/percentile&gt;&lt;max&gt;1840000.00&lt;/max&gt;&lt;min&gt;1307000.00&lt;/min&gt;&lt;/sell&gt;&lt;/type&gt;&lt;type id="2173"&gt;&lt;buy&gt;&lt;volume&gt;23667&lt;/volume&gt;&lt;avg&gt;29821.63&lt;/avg&gt;&lt;stddev&gt;5418.98&lt;/stddev&gt;&lt;median&gt;32840.00&lt;/median&gt;&lt;percentile&gt;33026.12&lt;/percentile&gt;&lt;max&gt;33030.00&lt;/max&gt;&lt;min&gt;15020.00&lt;/min&gt;&lt;/buy&gt;&lt;sell&gt;&lt;volume&gt;14247&lt;/volume&gt;&lt;avg&gt;59701.34&lt;/avg&gt;&lt;stddev&gt;11269.37&lt;/stddev&gt;&lt;median&gt;54730.00&lt;/median&gt;&lt;percentile&gt;52359.47&lt;/percentile&gt;&lt;max&gt;99990.00&lt;/max&gt;&lt;min&gt;49900.00&lt;/min&gt;&lt;/sell&gt;&lt;/type&gt;&lt;type id="2185"&gt;&lt;buy&gt;&lt;volume&gt;2893&lt;/volume&gt;&lt;avg&gt;678993.99&lt;/avg&gt;&lt;stddev&gt;171808.38&lt;/stddev&gt;&lt;median&gt;735000.00&lt;/median&gt;&lt;percentile&gt;737100.00&lt;/percentile&gt;&lt;max&gt;737100.00&lt;/max&gt;&lt;min&gt;300200.00&lt;/min&gt;&lt;/buy&gt;&lt;sell&gt;&lt;volume&gt;19275&lt;/volume&gt;&lt;avg&gt;828797.15&lt;/avg&gt;&lt;stddev&gt;148956.86&lt;/stddev&gt;&lt;median&gt;801000.00&lt;/median&gt;&lt;percentile&gt;801000.00&lt;/percentile&gt;&lt;max&gt;1274000.00&lt;/max&gt;&lt;min&gt;801000.00&lt;/min&gt;&lt;/sell&gt;&lt;/type&gt;&lt;type id="2175"&gt;&lt;buy&gt;&lt;volume&gt;3089&lt;/volume&gt;&lt;avg&gt;807625.70&lt;/avg&gt;&lt;stddev&gt;35781.41&lt;/stddev&gt;&lt;median&gt;807000.00&lt;/median&gt;&lt;percentile&gt;825000.00&lt;/percentile&gt;&lt;max&gt;825000.00&lt;/max&gt;&lt;min&gt;732100.00&lt;/min&gt;&lt;/buy&gt;&lt;sell&gt;&lt;volume&gt;16948&lt;/volume&gt;&lt;avg&gt;919499.62&lt;/avg&gt;&lt;stddev&gt;58806.46&lt;/stddev&gt;&lt;median&gt;894700.00&lt;/median&gt;&lt;percentile&gt;856032.18&lt;/percentile&gt;&lt;max&gt;1150000.00&lt;/max&gt;&lt;min&gt;849000.00&lt;/min&gt;&lt;/sell&gt;&lt;/type&gt;&lt;type id="21640"&gt;&lt;buy&gt;&lt;volume&gt;5462&lt;/volume&gt;&lt;avg&gt;821726.80&lt;/avg&gt;&lt;stddev&gt;36915.55&lt;/stddev&gt;&lt;median&gt;835000.00&lt;/median&gt;&lt;percentile&gt;837618.49&lt;/percentile&gt;&lt;max&gt;837700.00&lt;/max&gt;&lt;min&gt;723100.00&lt;/min&gt;&lt;/buy&gt;&lt;sell&gt;&lt;volume&gt;9255&lt;/volume&gt;&lt;avg&gt;1038079.71&lt;/avg&gt;&lt;stddev&gt;129522.79&lt;/stddev&gt;&lt;median&gt;1004000.00&lt;/median&gt;&lt;percentile&gt;879000.00&lt;/percentile&gt;&lt;max&gt;1500000.00&lt;/max&gt;&lt;min&gt;879000.00&lt;/min&gt;&lt;/sell&gt;&lt;/type&gt;&lt;type id="21638"&gt;&lt;buy&gt;&lt;volume&gt;2890&lt;/volume&gt;&lt;avg&gt;780476.82&lt;/avg&gt;&lt;stddev&gt;27533.07&lt;/stddev&gt;&lt;median&gt;771900.00&lt;/median&gt;&lt;percentile&gt;805800.00&lt;/percentile&gt;&lt;max&gt;805800.00&lt;/max&gt;&lt;min&gt;717600.00&lt;/min&gt;&lt;/buy&gt;&lt;sell&gt;&lt;volume&gt;5145&lt;/volume&gt;&lt;avg&gt;913618.62&lt;/avg&gt;&lt;stddev&gt;87510.97&lt;/stddev&gt;&lt;median&gt;878500.00&lt;/median&gt;&lt;percentile&gt;867781.46&lt;/percentile&gt;&lt;max&gt;1200000.00&lt;/max&gt;&lt;min&gt;867500.00&lt;/min&gt;&lt;/sell&gt;&lt;/type&gt;&lt;type id="31866"&gt;&lt;buy&gt;&lt;volume&gt;282&lt;/volume&gt;&lt;avg&gt;1516687.94&lt;/avg&gt;&lt;stddev&gt;20516.25&lt;/stddev&gt;&lt;median&gt;1519000.00&lt;/median&gt;&lt;percentile&gt;1530000.00&lt;/percentile&gt;&lt;max&gt;1530000.00&lt;/max&gt;&lt;min&gt;1480000.00&lt;/min&gt;&lt;/buy&gt;&lt;sell&gt;&lt;volume&gt;6660&lt;/volume&gt;&lt;avg&gt;1903499.70&lt;/avg&gt;&lt;stddev&gt;268427.85&lt;/stddev&gt;&lt;median&gt;1732500.00&lt;/median&gt;&lt;percentile&gt;1623985.43&lt;/percentile&gt;&lt;max&gt;2684000.00&lt;/max&gt;&lt;min&gt;1623000.00&lt;/min&gt;&lt;/sell&gt;&lt;/type&gt;&lt;type id="28213"&gt;&lt;buy&gt;&lt;volume&gt;2620&lt;/volume&gt;&lt;avg&gt;692338.93&lt;/avg&gt;&lt;stddev&gt;185694.91&lt;/stddev&gt;&lt;median&gt;526100.00&lt;/median&gt;&lt;percentile&gt;1066000.00&lt;/percentile&gt;&lt;max&gt;1066000.00&lt;/max&gt;&lt;min&gt;526100.00&lt;/min&gt;&lt;/buy&gt;&lt;sell&gt;&lt;volume&gt;5564&lt;/volume&gt;&lt;avg&gt;1342514.20&lt;/avg&gt;&lt;stddev&gt;153101.70&lt;/stddev&gt;&lt;median&gt;1249000.00&lt;/median&gt;&lt;percentile&gt;1199997.34&lt;/percentile&gt;&lt;max&gt;1915000.00&lt;/max&gt;&lt;min&gt;1199000.00&lt;/min&gt;&lt;/sell&gt;&lt;/type&gt;&lt;type id="31868"&gt;&lt;buy&gt;&lt;volume&gt;1245&lt;/volume&gt;&lt;avg&gt;2287799.20&lt;/avg&gt;&lt;stddev&gt;71179.79&lt;/stddev&gt;&lt;median&gt;2327000.00&lt;/median&gt;&lt;percentile&gt;2345000.00&lt;/percentile&gt;&lt;max&gt;2345000.00&lt;/max&gt;&lt;min&gt;2139000.00&lt;/min&gt;&lt;/buy&gt;&lt;sell&gt;&lt;volume&gt;1089&lt;/volume&gt;&lt;avg&gt;3004406.80&lt;/avg&gt;&lt;stddev&gt;350655.93&lt;/stddev&gt;&lt;median&gt;2872500.00&lt;/median&gt;&lt;percentile&gt;2737847.46&lt;/percentile&gt;&lt;max&gt;3985000.00&lt;/max&gt;&lt;min&gt;2737000.00&lt;/min&gt;&lt;/sell&gt;&lt;/type&gt;&lt;type id="23707"&gt;&lt;buy&gt;&lt;volume&gt;41000&lt;/volume&gt;&lt;avg&gt;5410.85&lt;/avg&gt;&lt;stddev&gt;3.46&lt;/stddev&gt;&lt;median&gt;5411.00&lt;/median&gt;&lt;percentile&gt;5411.00&lt;/percentile&gt;&lt;max&gt;5411.00&lt;/max&gt;&lt;min&gt;5405.00&lt;/min&gt;&lt;/buy&gt;&lt;sell&gt;&lt;volume&gt;92161&lt;/volume&gt;&lt;avg&gt;5866.57&lt;/avg&gt;&lt;stddev&gt;248.04&lt;/stddev&gt;&lt;median&gt;5696.00&lt;/median&gt;&lt;percentile&gt;5696.00&lt;/percentile&gt;&lt;max&gt;6699.00&lt;/max&gt;&lt;min&gt;5696.00&lt;/min&gt;&lt;/sell&gt;&lt;/type&gt;&lt;type id="23705"&gt;&lt;buy&gt;&lt;volume&gt;2420&lt;/volume&gt;&lt;avg&gt;27596.65&lt;/avg&gt;&lt;stddev&gt;6114.02&lt;/stddev&gt;&lt;median&gt;24540.00&lt;/median&gt;&lt;percentile&gt;38010.00&lt;/percentile&gt;&lt;max&gt;38010.00&lt;/max&gt;&lt;min&gt;20220.00&lt;/min&gt;&lt;/buy&gt;&lt;sell&gt;&lt;volume&gt;12395&lt;/volume&gt;&lt;avg&gt;53963.79&lt;/avg&gt;&lt;stddev&gt;15081.32&lt;/stddev&gt;&lt;median&gt;48310.00&lt;/median&gt;&lt;percentile&gt;48222.86&lt;/percentile&gt;&lt;max&gt;99500.00&lt;/max&gt;&lt;min&gt;48220.00&lt;/min&gt;&lt;/sell&gt;&lt;/type&gt;&lt;type id="10246"&gt;&lt;buy&gt;&lt;volume&gt;52759&lt;/volume&gt;&lt;avg&gt;9057.60&lt;/avg&gt;&lt;stddev&gt;358.08&lt;/stddev&gt;&lt;median&gt;9153.50&lt;/median&gt;&lt;percentile&gt;9163.08&lt;/percentile&gt;&lt;max&gt;9164.00&lt;/max&gt;&lt;min&gt;8102.00&lt;/min&gt;&lt;/buy&gt;&lt;sell&gt;&lt;volume&gt;18430&lt;/volume&gt;&lt;avg&gt;13144.06&lt;/avg&gt;&lt;stddev&gt;13416.06&lt;/stddev&gt;&lt;median&gt;11975.00&lt;/median&gt;&lt;percentile&gt;11955.62&lt;/percentile&gt;&lt;max&gt;54870.00&lt;/max&gt;&lt;min&gt;11900.00&lt;/min&gt;&lt;/sell&gt;&lt;/type&gt;&lt;type id="10250"&gt;&lt;buy&gt;&lt;volume&gt;1412&lt;/volume&gt;&lt;avg&gt;526961.76&lt;/avg&gt;&lt;stddev&gt;89621.12&lt;/stddev&gt;&lt;median&gt;560000.00&lt;/median&gt;&lt;percentile&gt;563240.00&lt;/percentile&gt;&lt;max&gt;575000.00&lt;/max&gt;&lt;min&gt;401700.00&lt;/min&gt;&lt;/buy&gt;&lt;sell&gt;&lt;volume&gt;15164&lt;/volume&gt;&lt;avg&gt;652510.68&lt;/avg&gt;&lt;stddev&gt;52138.09&lt;/stddev&gt;&lt;median&gt;616700.00&lt;/median&gt;&lt;percentile&gt;609900.00&lt;/percentile&gt;&lt;max&gt;800000.00&lt;/max&gt;&lt;min&gt;609900.00&lt;/min&gt;&lt;/sell&gt;&lt;/type&gt;&lt;type id="32787"&gt;&lt;buy&gt;&lt;volume&gt;34001&lt;/volume&gt;&lt;avg&gt;24365.06&lt;/avg&gt;&lt;stddev&gt;7157.76&lt;/stddev&gt;&lt;median&gt;22200.00&lt;/median&gt;&lt;percentile&gt;30122.01&lt;/percentile&gt;&lt;max&gt;31350.00&lt;/max&gt;&lt;min&gt;12120.00&lt;/min&gt;&lt;/buy&gt;&lt;sell&gt;&lt;volume&gt;14547&lt;/volume&gt;&lt;avg&gt;49231.98&lt;/avg&gt;&lt;stddev&gt;9287.37&lt;/stddev&gt;&lt;median&gt;41980.00&lt;/median&gt;&lt;percentile&gt;40590.00&lt;/percentile&gt;&lt;max&gt;68970.00&lt;/max&gt;&lt;min&gt;40590.00&lt;/min&gt;&lt;/sell&gt;&lt;/type&gt;&lt;type id="25896"&gt;&lt;buy&gt;&lt;volume&gt;640&lt;/volume&gt;&lt;avg&gt;4929200.00&lt;/avg&gt;&lt;stddev&gt;99873.40&lt;/stddev&gt;&lt;median&gt;4974000.00&lt;/median&gt;&lt;percentile&gt;4992333.33&lt;/percentile&gt;&lt;max&gt;4993000.00&lt;/max&gt;&lt;min&gt;4560000.00&lt;/min&gt;&lt;/buy&gt;&lt;sell&gt;&lt;volume&gt;382&lt;/volume&gt;&lt;avg&gt;8338824.61&lt;/avg&gt;&lt;stddev&gt;144305.64&lt;/stddev&gt;&lt;median&gt;8349000.00&lt;/median&gt;&lt;percentile&gt;8198857.14&lt;/percentile&gt;&lt;max&gt;8601000.00&lt;/max&gt;&lt;min&gt;8198000.00&lt;/min&gt;&lt;/sell&gt;&lt;/type&gt;&lt;type id="25894"&gt;&lt;buy&gt;&lt;volume&gt;484&lt;/volume&gt;&lt;avg&gt;5003171.49&lt;/avg&gt;&lt;stddev&gt;836772.63&lt;/stddev&gt;&lt;median&gt;4616000.00&lt;/median&gt;&lt;percentile&gt;6119400.00&lt;/percentile&gt;&lt;max&gt;6120000.00&lt;/max&gt;&lt;min&gt;3676000.00&lt;/min&gt;&lt;/buy&gt;&lt;sell&gt;&lt;volume&gt;1057&lt;/volume&gt;&lt;avg&gt;7466197.73&lt;/avg&gt;&lt;stddev&gt;181546.34&lt;/stddev&gt;&lt;median&gt;7428500.00&lt;/median&gt;&lt;percentile&gt;7391821.92&lt;/percentile&gt;&lt;max&gt;7988000.00&lt;/max&gt;&lt;min&gt;7391000.00&lt;/min&gt;&lt;/sell&gt;&lt;/type&gt;&lt;type id="31047"&gt;&lt;buy&gt;&lt;volume&gt;266&lt;/volume&gt;&lt;avg&gt;1310620.30&lt;/avg&gt;&lt;stddev&gt;121793.35&lt;/stddev&gt;&lt;median&gt;1328000.00&lt;/median&gt;&lt;percentile&gt;1344695.65&lt;/percentile&gt;&lt;max&gt;1357000.00&lt;/max&gt;&lt;min&gt;1017000.00&lt;/min&gt;&lt;/buy&gt;&lt;sell&gt;&lt;volume&gt;675&lt;/volume&gt;&lt;avg&gt;1739585.19&lt;/avg&gt;&lt;stddev&gt;267206.72&lt;/stddev&gt;&lt;median&gt;1720000.00&lt;/median&gt;&lt;percentile&gt;1592000.00&lt;/percentile&gt;&lt;max&gt;2400000.00&lt;/max&gt;&lt;min&gt;1592000.00&lt;/min&gt;&lt;/sell&gt;&lt;/type&gt;&lt;type id="31011"&gt;&lt;buy&gt;&lt;volume&gt;772&lt;/volume&gt;&lt;avg&gt;834738.99&lt;/avg&gt;&lt;stddev&gt;84052.24&lt;/stddev&gt;&lt;median&gt;851100.00&lt;/median&gt;&lt;percentile&gt;864481.75&lt;/percentile&gt;&lt;max&gt;1100000.00&lt;/max&gt;&lt;min&gt;797500.00&lt;/min&gt;&lt;/buy&gt;&lt;sell&gt;&lt;volume&gt;1581&lt;/volume&gt;&lt;avg&gt;1276256.80&lt;/avg&gt;&lt;stddev&gt;104160.71&lt;/stddev&gt;&lt;median&gt;1271000.00&lt;/median&gt;&lt;percentile&gt;1184000.00&lt;/percentile&gt;&lt;max&gt;1457000.00&lt;/max&gt;&lt;min&gt;1184000.00&lt;/min&gt;&lt;/sell&gt;&lt;/type&gt;&lt;type id="33894"&gt;&lt;buy&gt;&lt;volume&gt;1035&lt;/volume&gt;&lt;avg&gt;1425246.38&lt;/avg&gt;&lt;stddev&gt;115137.93&lt;/stddev&gt;&lt;median&gt;1437000.00&lt;/median&gt;&lt;percentile&gt;1454555.56&lt;/percentile&gt;&lt;max&gt;1455000.00&lt;/max&gt;&lt;min&gt;1007000.00&lt;/min&gt;&lt;/buy&gt;&lt;sell&gt;&lt;volume&gt;2081&lt;/volume&gt;&lt;avg&gt;2118539.16&lt;/avg&gt;&lt;stddev&gt;211503.64&lt;/stddev&gt;&lt;median&gt;2280000.00&lt;/median&gt;&lt;percentile&gt;1796000.00&lt;/percentile&gt;&lt;max&gt;2441000.00&lt;/max&gt;&lt;min&gt;1796000.00&lt;/min&gt;&lt;/sell&gt;&lt;/type&gt;&lt;type id="31055"&gt;&lt;buy&gt;&lt;volume&gt;645&lt;/volume&gt;&lt;avg&gt;1061604.96&lt;/avg&gt;&lt;stddev&gt;125632.40&lt;/stddev&gt;&lt;median&gt;1116000.00&lt;/median&gt;&lt;percentile&gt;1142000.00&lt;/percentile&gt;&lt;max&gt;1142000.00&lt;/max&gt;&lt;min&gt;769100.00&lt;/min&gt;&lt;/buy&gt;&lt;sell&gt;&lt;volume&gt;2608&lt;/volume&gt;&lt;avg&gt;1489839.72&lt;/avg&gt;&lt;stddev&gt;122766.62&lt;/stddev&gt;&lt;median&gt;1508500.00&lt;/median&gt;&lt;percentile&gt;1320000.00&lt;/percentile&gt;&lt;max&gt;1665000.00&lt;/max&gt;&lt;min&gt;1320000.00&lt;/min&gt;&lt;/sell&gt;&lt;/type&gt;&lt;type id="31053"&gt;&lt;buy&gt;&lt;volume&gt;70&lt;/volume&gt;&lt;avg&gt;28073285.71&lt;/avg&gt;&lt;stddev&gt;845499.52&lt;/stddev&gt;&lt;median&gt;28000000.00&lt;/median&gt;&lt;percentile&gt;28570000.00&lt;/percentile&gt;&lt;max&gt;28570000.00&lt;/max&gt;&lt;min&gt;25850000.00&lt;/min&gt;&lt;/buy&gt;&lt;sell&gt;&lt;volume&gt;384&lt;/volume&gt;&lt;avg&gt;30891093.75&lt;/avg&gt;&lt;stddev&gt;1826648.10&lt;/stddev&gt;&lt;median&gt;30735000.00&lt;/median&gt;&lt;percentile&gt;30370000.00&lt;/percentile&gt;&lt;max&gt;36280000.00&lt;/max&gt;&lt;min&gt;30370000.00&lt;/min&gt;&lt;/sell&gt;&lt;/type&gt;&lt;type id="31017"&gt;&lt;buy&gt;&lt;volume&gt;144&lt;/volume&gt;&lt;avg&gt;17201388.89&lt;/avg&gt;&lt;stddev&gt;1282992.41&lt;/stddev&gt;&lt;median&gt;17920000.00&lt;/median&gt;&lt;percentile&gt;18020000.00&lt;/percentile&gt;&lt;max&gt;18020000.00&lt;/max&gt;&lt;min&gt;14530000.00&lt;/min&gt;&lt;/buy&gt;&lt;sell&gt;&lt;volume&gt;190&lt;/volume&gt;&lt;avg&gt;21516473.68&lt;/avg&gt;&lt;stddev&gt;2353604.53&lt;/stddev&gt;&lt;median&gt;20970000.00&lt;/median&gt;&lt;percentile&gt;20595454.55&lt;/percentile&gt;&lt;max&gt;30000000.00&lt;/max&gt;&lt;min&gt;20590000.00&lt;/min&gt;&lt;/sell&gt;&lt;/type&gt;&lt;type id="31059"&gt;&lt;buy&gt;&lt;volume&gt;108&lt;/volume&gt;&lt;avg&gt;15325925.93&lt;/avg&gt;&lt;stddev&gt;1746398.33&lt;/stddev&gt;&lt;median&gt;13800000.00&lt;/median&gt;&lt;percentile&gt;17400000.00&lt;/percentile&gt;&lt;max&gt;17400000.00&lt;/max&gt;&lt;min&gt;12100000.00&lt;/min&gt;&lt;/buy&gt;&lt;sell&gt;&lt;volume&gt;1849&lt;/volume&gt;&lt;avg&gt;19491243.92&lt;/avg&gt;&lt;stddev&gt;1527852.04&lt;/stddev&gt;&lt;median&gt;18725000.00&lt;/median&gt;&lt;percentile&gt;18425304.88&lt;/percentile&gt;&lt;max&gt;25420000.00&lt;/max&gt;&lt;min&gt;18380000.00&lt;/min&gt;&lt;/sell&gt;&lt;/type&gt;&lt;type id="33890"&gt;&lt;buy&gt;&lt;volume&gt;5285&lt;/volume&gt;&lt;avg&gt;251427.53&lt;/avg&gt;&lt;stddev&gt;14839.87&lt;/stddev&gt;&lt;median&gt;260200.00&lt;/median&gt;&lt;percentile&gt;264622.81&lt;/percentile&gt;&lt;max&gt;300000.00&lt;/max&gt;&lt;min&gt;216300.00&lt;/min&gt;&lt;/buy&gt;&lt;sell&gt;&lt;volume&gt;1854&lt;/volume&gt;&lt;avg&gt;685002.16&lt;/avg&gt;&lt;stddev&gt;22567.15&lt;/stddev&gt;&lt;median&gt;699900.00&lt;/median&gt;&lt;percentile&gt;647841.67&lt;/percentile&gt;&lt;max&gt;700000.00&lt;/max&gt;&lt;min&gt;647700.00&lt;/min&gt;&lt;/sell&gt;&lt;/type&gt;&lt;type id="31051"&gt;&lt;buy&gt;&lt;volume&gt;291&lt;/volume&gt;&lt;avg&gt;6708319.59&lt;/avg&gt;&lt;stddev&gt;438729.45&lt;/stddev&gt;&lt;median&gt;6873000.00&lt;/median&gt;&lt;percentile&gt;7002000.00&lt;/percentile&gt;&lt;max&gt;7002000.00&lt;/max&gt;&lt;min&gt;5340000.00&lt;/min&gt;&lt;/buy&gt;&lt;sell&gt;&lt;volume&gt;1258&lt;/volume&gt;&lt;avg&gt;8398623.21&lt;/avg&gt;&lt;stddev&gt;603513.14&lt;/stddev&gt;&lt;median&gt;8454000.00&lt;/median&gt;&lt;percentile&gt;7640000.00&lt;/percentile&gt;&lt;max&gt;9499000.00&lt;/max&gt;&lt;min&gt;7626000.00&lt;/min&gt;&lt;/sell&gt;&lt;/type&gt;&lt;type id="33892"&gt;&lt;buy&gt;&lt;volume&gt;948&lt;/volume&gt;&lt;avg&gt;2377306.96&lt;/avg&gt;&lt;stddev&gt;326671.66&lt;/stddev&gt;&lt;median&gt;2383000.00&lt;/median&gt;&lt;percentile&gt;2606000.00&lt;/percentile&gt;&lt;max&gt;2606000.00&lt;/max&gt;&lt;min&gt;1659000.00&lt;/min&gt;&lt;/buy&gt;&lt;sell&gt;&lt;volume&gt;2982&lt;/volume&gt;&lt;avg&gt;2992651.24&lt;/avg&gt;&lt;stddev&gt;493282.45&lt;/stddev&gt;&lt;median&gt;2971000.00&lt;/median&gt;&lt;percentile&gt;2774975.00&lt;/percentile&gt;&lt;max&gt;5889000.00&lt;/max&gt;&lt;min&gt;2774000.00&lt;/min&gt;&lt;/sell&gt;&lt;/type&gt;&lt;type id="31057"&gt;&lt;buy&gt;&lt;volume&gt;109&lt;/volume&gt;&lt;avg&gt;6205853.21&lt;/avg&gt;&lt;stddev&gt;616256.87&lt;/stddev&gt;&lt;median&gt;6261000.00&lt;/median&gt;&lt;percentile&gt;6264000.00&lt;/percentile&gt;&lt;max&gt;6264000.00&lt;/max&gt;&lt;min&gt;4426000.00&lt;/min&gt;&lt;/buy&gt;&lt;sell&gt;&lt;volume&gt;751&lt;/volume&gt;&lt;avg&gt;7172997.34&lt;/avg&gt;&lt;stddev&gt;138303.66&lt;/stddev&gt;&lt;median&gt;7142500.00&lt;/median&gt;&lt;percentile&gt;7126948.72&lt;/percentile&gt;&lt;max&gt;7488000.00&lt;/max&gt;&lt;min&gt;7126000.00&lt;/min&gt;&lt;/sell&gt;&lt;/type&gt;&lt;type id="31119"&gt;&lt;buy&gt;&lt;volume&gt;645&lt;/volume&gt;&lt;avg&gt;243567.91&lt;/avg&gt;&lt;stddev&gt;20533.17&lt;/stddev&gt;&lt;median&gt;234600.00&lt;/median&gt;&lt;percentile&gt;248300.00&lt;/percentile&gt;&lt;max&gt;248300.00&lt;/max&gt;&lt;min&gt;183100.00&lt;/min&gt;&lt;/buy&gt;&lt;sell&gt;&lt;volume&gt;4555&lt;/volume&gt;&lt;avg&gt;279935.06&lt;/avg&gt;&lt;stddev&gt;22862.58&lt;/stddev&gt;&lt;median&gt;272600.00&lt;/median&gt;&lt;percentile&gt;269596.49&lt;/percentile&gt;&lt;max&gt;374200.00&lt;/max&gt;&lt;min&gt;269500.00&lt;/min&gt;&lt;/sell&gt;&lt;/type&gt;&lt;type id="31161"&gt;&lt;buy&gt;&lt;volume&gt;1676&lt;/volume&gt;&lt;avg&gt;711796.54&lt;/avg&gt;&lt;stddev&gt;53040.18&lt;/stddev&gt;&lt;median&gt;727550.00&lt;/median&gt;&lt;percentile&gt;730200.00&lt;/percentile&gt;&lt;max&gt;730200.00&lt;/max&gt;&lt;min&gt;577200.00&lt;/min&gt;&lt;/buy&gt;&lt;sell&gt;&lt;volume&gt;1489&lt;/volume&gt;&lt;avg&gt;938277.10&lt;/avg&gt;&lt;stddev&gt;11067.07&lt;/stddev&gt;&lt;median&gt;951300.00&lt;/median&gt;&lt;percentile&gt;921590.19&lt;/percentile&gt;&lt;max&gt;951300.00&lt;/max&gt;&lt;min&gt;921400.00&lt;/min&gt;&lt;/sell&gt;&lt;/type&gt;&lt;type id="31155"&gt;&lt;buy&gt;&lt;volume&gt;775&lt;/volume&gt;&lt;avg&gt;563345.81&lt;/avg&gt;&lt;stddev&gt;622.90&lt;/stddev&gt;&lt;median&gt;563500.00&lt;/median&gt;&lt;percentile&gt;563700.00&lt;/percentile&gt;&lt;max&gt;563700.00&lt;/max&gt;&lt;min&gt;562300.00&lt;/min&gt;&lt;/buy&gt;&lt;sell&gt;&lt;volume&gt;3575&lt;/volume&gt;&lt;avg&gt;658529.93&lt;/avg&gt;&lt;stddev&gt;48928.24&lt;/stddev&gt;&lt;median&gt;646350.00&lt;/median&gt;&lt;percentile&gt;645489.80&lt;/percentile&gt;&lt;max&gt;850000.00&lt;/max&gt;&lt;min&gt;645400.00&lt;/min&gt;&lt;/sell&gt;&lt;/type&gt;&lt;type id="31179"&gt;&lt;buy&gt;&lt;volume&gt;320&lt;/volume&gt;&lt;avg&gt;183131.25&lt;/avg&gt;&lt;stddev&gt;20524.33&lt;/stddev&gt;&lt;median&gt;199600.00&lt;/median&gt;&lt;percentile&gt;201200.00&lt;/percentile&gt;&lt;max&gt;201200.00&lt;/max&gt;&lt;min&gt;153800.00&lt;/min&gt;&lt;/buy&gt;&lt;sell&gt;&lt;volume&gt;2861&lt;/volume&gt;&lt;avg&gt;253046.73&lt;/avg&gt;&lt;stddev&gt;7354.67&lt;/stddev&gt;&lt;median&gt;252400.00&lt;/median&gt;&lt;percentile&gt;251933.77&lt;/percentile&gt;&lt;max&gt;274600.00&lt;/max&gt;&lt;min&gt;251900.00&lt;/min&gt;&lt;/sell&gt;&lt;/type&gt;&lt;type id="31125"&gt;&lt;buy&gt;&lt;volume&gt;135&lt;/volume&gt;&lt;avg&gt;8379955.56&lt;/avg&gt;&lt;stddev&gt;1607808.71&lt;/stddev&gt;&lt;median&gt;8933000.00&lt;/median&gt;&lt;percentile&gt;8936000.00&lt;/percentile&gt;&lt;max&gt;8936000.00&lt;/max&gt;&lt;min&gt;4554000.00&lt;/min&gt;&lt;/buy&gt;&lt;sell&gt;&lt;volume&gt;1388&lt;/volume&gt;&lt;avg&gt;11226372.48&lt;/avg&gt;&lt;stddev&gt;1797906.92&lt;/stddev&gt;&lt;median&gt;9893000.00&lt;/median&gt;&lt;percentile&gt;9878566.04&lt;/percentile&gt;&lt;max&gt;15000000.00&lt;/max&gt;&lt;min&gt;9874000.00&lt;/min&gt;&lt;/sell&gt;&lt;/type&gt;&lt;type id="31167"&gt;&lt;buy&gt;&lt;volume&gt;546&lt;/volume&gt;&lt;avg&gt;5750811.36&lt;/avg&gt;&lt;stddev&gt;636485.20&lt;/stddev&gt;&lt;median&gt;5291000.00&lt;/median&gt;&lt;percentile&gt;6528400.00&lt;/percentile&gt;&lt;max&gt;6529000.00&lt;/max&gt;&lt;min&gt;5190000.00&lt;/min&gt;&lt;/buy&gt;&lt;sell&gt;&lt;volume&gt;914&lt;/volume&gt;&lt;avg&gt;8572900.44&lt;/avg&gt;&lt;stddev&gt;884618.59&lt;/stddev&gt;&lt;median&gt;8699500.00&lt;/median&gt;&lt;percentile&gt;7490810.81&lt;/percentile&gt;&lt;max&gt;9943000.00&lt;/max&gt;&lt;min&gt;7490000.00&lt;/min&gt;&lt;/sell&gt;&lt;/type&gt;&lt;/marketstat&gt;&lt;/exec_api&gt;</v>
      </c>
      <c r="BG45" s="3"/>
    </row>
    <row r="46" spans="1:59">
      <c r="A46" s="13" t="s">
        <v>11253</v>
      </c>
      <c r="B46" s="63">
        <f>VLOOKUP(A46,TypeIDs!B:C,2,FALSE)</f>
        <v>23039</v>
      </c>
      <c r="C46" s="36">
        <v>734.6</v>
      </c>
      <c r="D46" s="36">
        <f t="shared" si="0"/>
        <v>778.53970000000004</v>
      </c>
      <c r="E46" s="35">
        <f>INDEX(MARKET_INPUT[Column1.price],MATCH(B46,MARKET_INPUT[Column1.type_id]))</f>
        <v>900</v>
      </c>
      <c r="F46" s="35">
        <f t="shared" si="1"/>
        <v>859.95</v>
      </c>
      <c r="G46" s="18">
        <f>VLOOKUP(B46,TypeIDs!C:D,2,FALSE)</f>
        <v>1.2500000000000001E-2</v>
      </c>
      <c r="I46" s="15">
        <f>IF(H46="",AverageVolume!A675,H46)</f>
        <v>3240.3583333333336</v>
      </c>
      <c r="J46" s="17">
        <f t="shared" si="4"/>
        <v>10197.173446333334</v>
      </c>
      <c r="K46" s="20">
        <f t="shared" si="5"/>
        <v>22682.508333333335</v>
      </c>
      <c r="L46" s="19">
        <f t="shared" si="2"/>
        <v>283.53135416666669</v>
      </c>
      <c r="M46" s="8">
        <f t="shared" si="8"/>
        <v>1.1045679494571696</v>
      </c>
      <c r="N46" s="9">
        <f t="shared" si="9"/>
        <v>17659233.233080834</v>
      </c>
      <c r="O46" s="10">
        <f t="shared" si="6"/>
        <v>1846589.808169167</v>
      </c>
      <c r="P46" s="11">
        <f t="shared" si="7"/>
        <v>6512.8240000000005</v>
      </c>
      <c r="Q46" s="23">
        <f t="shared" si="3"/>
        <v>19505823.041250002</v>
      </c>
      <c r="R46" s="3" t="e">
        <f>VLOOKUP(B46,Buylist!B:B,1,FALSE)</f>
        <v>#N/A</v>
      </c>
      <c r="S46" s="3" t="e">
        <f>VLOOKUP(B46,Buylist!B:O,13,FALSE)</f>
        <v>#N/A</v>
      </c>
      <c r="T46" s="78">
        <v>45</v>
      </c>
      <c r="BE46" s="3" t="s">
        <v>40454</v>
      </c>
      <c r="BF46" s="3" t="str">
        <f t="shared" si="10"/>
        <v>&lt;?xml version="1.0" encoding="UTF-8"?&gt;
&lt;exec_api version="2.0" method="marketstat_xml"&gt;&lt;marketstat&gt;&lt;type id="31185"&gt;&lt;buy&gt;&lt;volume&gt;387&lt;/volume&gt;&lt;avg&gt;8585240.31&lt;/avg&gt;&lt;stddev&gt;1055939.57&lt;/stddev&gt;&lt;median&gt;8841000.00&lt;/median&gt;&lt;percentile&gt;9726347.83&lt;/percentile&gt;&lt;max&gt;9752000.00&lt;/max&gt;&lt;min&gt;7000000.00&lt;/min&gt;&lt;/buy&gt;&lt;sell&gt;&lt;volume&gt;1072&lt;/volume&gt;&lt;avg&gt;10899972.01&lt;/avg&gt;&lt;stddev&gt;1344471.46&lt;/stddev&gt;&lt;median&gt;10710000.00&lt;/median&gt;&lt;percentile&gt;10277692.31&lt;/percentile&gt;&lt;max&gt;15000000.00&lt;/max&gt;&lt;min&gt;10250000.00&lt;/min&gt;&lt;/sell&gt;&lt;/type&gt;&lt;type id="31173"&gt;&lt;buy&gt;&lt;volume&gt;350&lt;/volume&gt;&lt;avg&gt;5260125.71&lt;/avg&gt;&lt;stddev&gt;532447.17&lt;/stddev&gt;&lt;median&gt;5211000.00&lt;/median&gt;&lt;percentile&gt;5901000.00&lt;/percentile&gt;&lt;max&gt;5901000.00&lt;/max&gt;&lt;min&gt;4002000.00&lt;/min&gt;&lt;/buy&gt;&lt;sell&gt;&lt;volume&gt;941&lt;/volume&gt;&lt;avg&gt;7080702.44&lt;/avg&gt;&lt;stddev&gt;1215549.94&lt;/stddev&gt;&lt;median&gt;6866000.00&lt;/median&gt;&lt;percentile&gt;6336542.37&lt;/percentile&gt;&lt;max&gt;11990000.00&lt;/max&gt;&lt;min&gt;6334000.00&lt;/min&gt;&lt;/sell&gt;&lt;/type&gt;&lt;type id="31117"&gt;&lt;buy&gt;&lt;volume&gt;7425&lt;/volume&gt;&lt;avg&gt;61679.02&lt;/avg&gt;&lt;stddev&gt;10968.04&lt;/stddev&gt;&lt;median&gt;62105.00&lt;/median&gt;&lt;percentile&gt;62110.00&lt;/percentile&gt;&lt;max&gt;62110.00&lt;/max&gt;&lt;min&gt;34740.00&lt;/min&gt;&lt;/buy&gt;&lt;sell&gt;&lt;volume&gt;5273&lt;/volume&gt;&lt;avg&gt;85066.68&lt;/avg&gt;&lt;stddev&gt;21626.56&lt;/stddev&gt;&lt;median&gt;77995.00&lt;/median&gt;&lt;percentile&gt;62120.00&lt;/percentile&gt;&lt;max&gt;129000.00&lt;/max&gt;&lt;min&gt;62120.00&lt;/min&gt;&lt;/sell&gt;&lt;/type&gt;&lt;type id="31153"&gt;&lt;buy&gt;&lt;volume&gt;1757&lt;/volume&gt;&lt;avg&gt;77622.73&lt;/avg&gt;&lt;stddev&gt;12042.97&lt;/stddev&gt;&lt;median&gt;80030.00&lt;/median&gt;&lt;percentile&gt;81241.20&lt;/percentile&gt;&lt;max&gt;90100.00&lt;/max&gt;&lt;min&gt;50000.00&lt;/min&gt;&lt;/buy&gt;&lt;sell&gt;&lt;volume&gt;6148&lt;/volume&gt;&lt;avg&gt;139735.02&lt;/avg&gt;&lt;stddev&gt;24015.08&lt;/stddev&gt;&lt;median&gt;143400.00&lt;/median&gt;&lt;percentile&gt;111432.26&lt;/percentile&gt;&lt;max&gt;222000.00&lt;/max&gt;&lt;min&gt;111300.00&lt;/min&gt;&lt;/sell&gt;&lt;/type&gt;&lt;type id="31177"&gt;&lt;buy&gt;&lt;volume&gt;1304&lt;/volume&gt;&lt;avg&gt;36689.61&lt;/avg&gt;&lt;stddev&gt;3626.50&lt;/stddev&gt;&lt;median&gt;36005.00&lt;/median&gt;&lt;percentile&gt;40354.17&lt;/percentile&gt;&lt;max&gt;45000.00&lt;/max&gt;&lt;min&gt;36000.00&lt;/min&gt;&lt;/buy&gt;&lt;sell&gt;&lt;volume&gt;5275&lt;/volume&gt;&lt;avg&gt;92356.60&lt;/avg&gt;&lt;stddev&gt;35343.17&lt;/stddev&gt;&lt;median&gt;79920.00&lt;/median&gt;&lt;percentile&gt;77696.36&lt;/percentile&gt;&lt;max&gt;243000.00&lt;/max&gt;&lt;min&gt;77690.00&lt;/min&gt;&lt;/sell&gt;&lt;/type&gt;&lt;type id="31165"&gt;&lt;buy&gt;&lt;volume&gt;277&lt;/volume&gt;&lt;avg&gt;1502649.82&lt;/avg&gt;&lt;stddev&gt;141210.13&lt;/stddev&gt;&lt;median&gt;1530000.00&lt;/median&gt;&lt;percentile&gt;1737000.00&lt;/percentile&gt;&lt;max&gt;1737000.00&lt;/max&gt;&lt;min&gt;1350000.00&lt;/min&gt;&lt;/buy&gt;&lt;sell&gt;&lt;volume&gt;5221&lt;/volume&gt;&lt;avg&gt;2066865.54&lt;/avg&gt;&lt;stddev&gt;275158.91&lt;/stddev&gt;&lt;median&gt;1947000.00&lt;/median&gt;&lt;percentile&gt;1831576.80&lt;/percentile&gt;&lt;max&gt;2999000.00&lt;/max&gt;&lt;min&gt;1826000.00&lt;/min&gt;&lt;/sell&gt;&lt;/type&gt;&lt;type id="31171"&gt;&lt;buy&gt;&lt;volume&gt;1493&lt;/volume&gt;&lt;avg&gt;1220578.03&lt;/avg&gt;&lt;stddev&gt;240524.38&lt;/stddev&gt;&lt;median&gt;901700.00&lt;/median&gt;&lt;percentile&gt;1591188.81&lt;/percentile&gt;&lt;max&gt;1600000.00&lt;/max&gt;&lt;min&gt;901700.00&lt;/min&gt;&lt;/buy&gt;&lt;sell&gt;&lt;volume&gt;1871&lt;/volume&gt;&lt;avg&gt;2470190.81&lt;/avg&gt;&lt;stddev&gt;997221.25&lt;/stddev&gt;&lt;median&gt;1923000.00&lt;/median&gt;&lt;percentile&gt;1713227.27&lt;/percentile&gt;&lt;max&gt;4499000.00&lt;/max&gt;&lt;min&gt;1712000.00&lt;/min&gt;&lt;/sell&gt;&lt;/type&gt;&lt;type id="31183"&gt;&lt;buy&gt;&lt;volume&gt;1002&lt;/volume&gt;&lt;avg&gt;2114481.04&lt;/avg&gt;&lt;stddev&gt;173722.48&lt;/stddev&gt;&lt;median&gt;2206500.00&lt;/median&gt;&lt;percentile&gt;2216918.92&lt;/percentile&gt;&lt;max&gt;2250000.00&lt;/max&gt;&lt;min&gt;1602000.00&lt;/min&gt;&lt;/buy&gt;&lt;sell&gt;&lt;volume&gt;192&lt;/volume&gt;&lt;avg&gt;3038906.25&lt;/avg&gt;&lt;stddev&gt;341285.52&lt;/stddev&gt;&lt;median&gt;2606000.00&lt;/median&gt;&lt;percentile&gt;2590000.00&lt;/percentile&gt;&lt;max&gt;3500000.00&lt;/max&gt;&lt;min&gt;2590000.00&lt;/min&gt;&lt;/sell&gt;&lt;/type&gt;&lt;type id="32043"&gt;&lt;buy&gt;&lt;volume&gt;83&lt;/volume&gt;&lt;avg&gt;483239.76&lt;/avg&gt;&lt;stddev&gt;777.82&lt;/stddev&gt;&lt;median&gt;483200.00&lt;/median&gt;&lt;percentile&gt;483239.76&lt;/percentile&gt;&lt;max&gt;484300.00&lt;/max&gt;&lt;min&gt;483200.00&lt;/min&gt;&lt;/buy&gt;&lt;sell&gt;&lt;volume&gt;525&lt;/volume&gt;&lt;avg&gt;903900.19&lt;/avg&gt;&lt;stddev&gt;56548.41&lt;/stddev&gt;&lt;median&gt;914800.00&lt;/median&gt;&lt;percentile&gt;839993.02&lt;/percentile&gt;&lt;max&gt;986200.00&lt;/max&gt;&lt;min&gt;839900.00&lt;/min&gt;&lt;/sell&gt;&lt;/type&gt;&lt;type id="25948"&gt;&lt;buy&gt;&lt;volume&gt;1517&lt;/volume&gt;&lt;avg&gt;1993256.43&lt;/avg&gt;&lt;stddev&gt;364234.86&lt;/stddev&gt;&lt;median&gt;2217000.00&lt;/median&gt;&lt;percentile&gt;2240561.40&lt;/percentile&gt;&lt;max&gt;2241000.00&lt;/max&gt;&lt;min&gt;1137000.00&lt;/min&gt;&lt;/buy&gt;&lt;sell&gt;&lt;volume&gt;1120&lt;/volume&gt;&lt;avg&gt;2924900.89&lt;/avg&gt;&lt;stddev&gt;674974.39&lt;/stddev&gt;&lt;median&gt;2762000.00&lt;/median&gt;&lt;percentile&gt;2739258.62&lt;/percentile&gt;&lt;max&gt;6272000.00&lt;/max&gt;&lt;min&gt;2737000.00&lt;/min&gt;&lt;/sell&gt;&lt;/type&gt;&lt;type id="26374"&gt;&lt;buy&gt;&lt;volume&gt;93&lt;/volume&gt;&lt;avg&gt;26844838.71&lt;/avg&gt;&lt;stddev&gt;372398.92&lt;/stddev&gt;&lt;median&gt;26910000.00&lt;/median&gt;&lt;percentile&gt;27031818.18&lt;/percentile&gt;&lt;max&gt;27040000.00&lt;/max&gt;&lt;min&gt;26010000.00&lt;/min&gt;&lt;/buy&gt;&lt;sell&gt;&lt;volume&gt;1027&lt;/volume&gt;&lt;avg&gt;32292794.55&lt;/avg&gt;&lt;stddev&gt;3830662.23&lt;/stddev&gt;&lt;median&gt;30790000.00&lt;/median&gt;&lt;percentile&gt;29060121.95&lt;/percentile&gt;&lt;max&gt;42990000.00&lt;/max&gt;&lt;min&gt;28990000.00&lt;/min&gt;&lt;/sell&gt;&lt;/type&gt;&lt;type id="31360"&gt;&lt;buy&gt;&lt;volume&gt;966&lt;/volume&gt;&lt;avg&gt;2810358.18&lt;/avg&gt;&lt;stddev&gt;223039.03&lt;/stddev&gt;&lt;median&gt;2869500.00&lt;/median&gt;&lt;percentile&gt;2932240.00&lt;/percentile&gt;&lt;max&gt;3000000.00&lt;/max&gt;&lt;min&gt;2253000.00&lt;/min&gt;&lt;/buy&gt;&lt;sell&gt;&lt;volume&gt;1205&lt;/volume&gt;&lt;avg&gt;3389775.93&lt;/avg&gt;&lt;stddev&gt;163922.92&lt;/stddev&gt;&lt;median&gt;3377000.00&lt;/median&gt;&lt;percentile&gt;3189833.33&lt;/percentile&gt;&lt;max&gt;3628000.00&lt;/max&gt;&lt;min&gt;3189000.00&lt;/min&gt;&lt;/sell&gt;&lt;/type&gt;&lt;type id="31372"&gt;&lt;buy&gt;&lt;volume&gt;1640&lt;/volume&gt;&lt;avg&gt;412792.68&lt;/avg&gt;&lt;stddev&gt;1074.38&lt;/stddev&gt;&lt;median&gt;412950.00&lt;/median&gt;&lt;percentile&gt;413040.82&lt;/percentile&gt;&lt;max&gt;415000.00&lt;/max&gt;&lt;min&gt;411100.00&lt;/min&gt;&lt;/buy&gt;&lt;sell&gt;&lt;volume&gt;4007&lt;/volume&gt;&lt;avg&gt;544171.25&lt;/avg&gt;&lt;stddev&gt;125249.04&lt;/stddev&gt;&lt;median&gt;497000.00&lt;/median&gt;&lt;percentile&gt;490074.07&lt;/percentile&gt;&lt;max&gt;980000.00&lt;/max&gt;&lt;min&gt;490000.00&lt;/min&gt;&lt;/sell&gt;&lt;/type&gt;&lt;type id="43896"&gt;&lt;buy&gt;&lt;volume&gt;622&lt;/volume&gt;&lt;avg&gt;383754.34&lt;/avg&gt;&lt;stddev&gt;18162.44&lt;/stddev&gt;&lt;median&gt;390450.00&lt;/median&gt;&lt;percentile&gt;391000.00&lt;/percentile&gt;&lt;max&gt;391000.00&lt;/max&gt;&lt;min&gt;350000.00&lt;/min&gt;&lt;/buy&gt;&lt;sell&gt;&lt;volume&gt;1656&lt;/volume&gt;&lt;avg&gt;646265.46&lt;/avg&gt;&lt;stddev&gt;134398.94&lt;/stddev&gt;&lt;median&gt;624500.00&lt;/median&gt;&lt;percentile&gt;612327.27&lt;/percentile&gt;&lt;max&gt;994400.00&lt;/max&gt;&lt;min&gt;612300.00&lt;/min&gt;&lt;/sell&gt;&lt;/type&gt;&lt;type id="4395"&gt;&lt;buy&gt;&lt;volume&gt;655&lt;/volume&gt;&lt;avg&gt;121138.17&lt;/avg&gt;&lt;stddev&gt;11398.39&lt;/stddev&gt;&lt;median&gt;121000.00&lt;/median&gt;&lt;percentile&gt;123013.58&lt;/percentile&gt;&lt;max&gt;140100.00&lt;/max&gt;&lt;min&gt;113700.00&lt;/min&gt;&lt;/buy&gt;&lt;sell&gt;&lt;volume&gt;2140&lt;/volume&gt;&lt;avg&gt;235175.93&lt;/avg&gt;&lt;stddev&gt;46431.04&lt;/stddev&gt;&lt;median&gt;221500.00&lt;/median&gt;&lt;percentile&gt;202718.18&lt;/percentile&gt;&lt;max&gt;350000.00&lt;/max&gt;&lt;min&gt;185400.00&lt;/min&gt;&lt;/sell&gt;&lt;/type&gt;&lt;type id="31408"&gt;&lt;buy&gt;&lt;volume&gt;190&lt;/volume&gt;&lt;avg&gt;863563.16&lt;/avg&gt;&lt;stddev&gt;404.15&lt;/stddev&gt;&lt;median&gt;863200.00&lt;/median&gt;&lt;percentile&gt;864000.00&lt;/percentile&gt;&lt;max&gt;864000.00&lt;/max&gt;&lt;min&gt;863200.00&lt;/min&gt;&lt;/buy&gt;&lt;sell&gt;&lt;volume&gt;644&lt;/volume&gt;&lt;avg&gt;1128226.71&lt;/avg&gt;&lt;stddev&gt;107241.29&lt;/stddev&gt;&lt;median&gt;1039000.00&lt;/median&gt;&lt;percentile&gt;1017000.00&lt;/percentile&gt;&lt;max&gt;1290000.00&lt;/max&gt;&lt;min&gt;1017000.00&lt;/min&gt;&lt;/sell&gt;&lt;/type&gt;&lt;type id="31366"&gt;&lt;buy&gt;&lt;volume&gt;136&lt;/volume&gt;&lt;avg&gt;18540073.53&lt;/avg&gt;&lt;stddev&gt;586992.33&lt;/stddev&gt;&lt;median&gt;18685000.00&lt;/median&gt;&lt;percentile&gt;18710000.00&lt;/percentile&gt;&lt;max&gt;18710000.00&lt;/max&gt;&lt;min&gt;16890000.00&lt;/min&gt;&lt;/buy&gt;&lt;sell&gt;&lt;volume&gt;799&lt;/volume&gt;&lt;avg&gt;23428372.97&lt;/avg&gt;&lt;stddev&gt;3253292.84&lt;/stddev&gt;&lt;median&gt;21780000.00&lt;/median&gt;&lt;percentile&gt;20390000.00&lt;/percentile&gt;&lt;max&gt;29690000.00&lt;/max&gt;&lt;min&gt;20390000.00&lt;/min&gt;&lt;/sell&gt;&lt;/type&gt;&lt;type id="31378"&gt;&lt;buy&gt;&lt;volume&gt;56&lt;/volume&gt;&lt;avg&gt;6836696.43&lt;/avg&gt;&lt;stddev&gt;2088274.49&lt;/stddev&gt;&lt;median&gt;7170000.00&lt;/median&gt;&lt;percentile&gt;7170000.00&lt;/percentile&gt;&lt;max&gt;7170000.00&lt;/max&gt;&lt;min&gt;3471000.00&lt;/min&gt;&lt;/buy&gt;&lt;sell&gt;&lt;volume&gt;2928&lt;/volume&gt;&lt;avg&gt;7961540.64&lt;/avg&gt;&lt;stddev&gt;1637646.41&lt;/stddev&gt;&lt;median&gt;7921500.00&lt;/median&gt;&lt;percentile&gt;7505593.14&lt;/percentile&gt;&lt;max&gt;16000000.00&lt;/max&gt;&lt;min&gt;7503000.00&lt;/min&gt;&lt;/sell&gt;&lt;/type&gt;&lt;type id="4399"&gt;&lt;buy&gt;&lt;volume&gt;134&lt;/volume&gt;&lt;avg&gt;3600597.01&lt;/avg&gt;&lt;stddev&gt;155286.22&lt;/stddev&gt;&lt;median&gt;3599000.00&lt;/median&gt;&lt;percentile&gt;3799000.00&lt;/percentile&gt;&lt;max&gt;3799000.00&lt;/max&gt;&lt;min&gt;3365000.00&lt;/min&gt;&lt;/buy&gt;&lt;sell&gt;&lt;volume&gt;736&lt;/volume&gt;&lt;avg&gt;4654769.02&lt;/avg&gt;&lt;stddev&gt;1385103.61&lt;/stddev&gt;&lt;median&gt;4376000.00&lt;/median&gt;&lt;percentile&gt;4291705.88&lt;/percentile&gt;&lt;max&gt;10000000.00&lt;/max&gt;&lt;min&gt;4289000.00&lt;/min&gt;&lt;/sell&gt;&lt;/type&gt;&lt;type id="31358"&gt;&lt;buy&gt;&lt;volume&gt;1280&lt;/volume&gt;&lt;avg&gt;410797.03&lt;/avg&gt;&lt;stddev&gt;74636.10&lt;/stddev&gt;&lt;median&gt;430400.00&lt;/median&gt;&lt;percentile&gt;452100.22&lt;/percentile&gt;&lt;max&gt;452200.00&lt;/max&gt;&lt;min&gt;260000.00&lt;/min&gt;&lt;/buy&gt;&lt;sell&gt;&lt;volume&gt;5803&lt;/volume&gt;&lt;avg&gt;541477.84&lt;/avg&gt;&lt;stddev&gt;47184.32&lt;/stddev&gt;&lt;median&gt;558800.00&lt;/median&gt;&lt;percentile&gt;479934.01&lt;/percentile&gt;&lt;max&gt;660400.00&lt;/max&gt;&lt;min&gt;479700.00&lt;/min&gt;&lt;/sell&gt;&lt;/type&gt;&lt;type id="26929"&gt;&lt;buy&gt;&lt;volume&gt;2205&lt;/volume&gt;&lt;avg&gt;32497.39&lt;/avg&gt;&lt;stddev&gt;11955.64&lt;/stddev&gt;&lt;median&gt;33080.00&lt;/median&gt;&lt;percentile&gt;34600.00&lt;/percentile&gt;&lt;max&gt;34600.00&lt;/max&gt;&lt;min&gt;5300.00&lt;/min&gt;&lt;/buy&gt;&lt;sell&gt;&lt;volume&gt;7998&lt;/volume&gt;&lt;avg&gt;52096.68&lt;/avg&gt;&lt;stddev&gt;7325.95&lt;/stddev&gt;&lt;median&gt;51815.00&lt;/median&gt;&lt;percentile&gt;49878.75&lt;/percentile&gt;&lt;max&gt;76990.00&lt;/max&gt;&lt;min&gt;49870.00&lt;/min&gt;&lt;/sell&gt;&lt;/type&gt;&lt;type id="31364"&gt;&lt;buy&gt;&lt;volume&gt;453&lt;/volume&gt;&lt;avg&gt;2775198.68&lt;/avg&gt;&lt;stddev&gt;274432.54&lt;/stddev&gt;&lt;median&gt;2933000.00&lt;/median&gt;&lt;percentile&gt;2941000.00&lt;/percentile&gt;&lt;max&gt;2941000.00&lt;/max&gt;&lt;min&gt;2001000.00&lt;/min&gt;&lt;/buy&gt;&lt;sell&gt;&lt;volume&gt;746&lt;/volume&gt;&lt;avg&gt;3646182.31&lt;/avg&gt;&lt;stddev&gt;554461.93&lt;/stddev&gt;&lt;median&gt;3389000.00&lt;/median&gt;&lt;percentile&gt;3200000.00&lt;/percentile&gt;&lt;max&gt;4999000.00&lt;/max&gt;&lt;min&gt;3200000.00&lt;/min&gt;&lt;/sell&gt;&lt;/type&gt;&lt;type id="31600"&gt;&lt;buy&gt;&lt;volume&gt;450&lt;/volume&gt;&lt;avg&gt;531657.78&lt;/avg&gt;&lt;stddev&gt;138939.99&lt;/stddev&gt;&lt;median&gt;492200.00&lt;/median&gt;&lt;percentile&gt;630200.00&lt;/percentile&gt;&lt;max&gt;630200.00&lt;/max&gt;&lt;min&gt;351000.00&lt;/min&gt;&lt;/buy&gt;&lt;sell&gt;&lt;volume&gt;1519&lt;/volume&gt;&lt;avg&gt;642840.09&lt;/avg&gt;&lt;stddev&gt;7731.18&lt;/stddev&gt;&lt;median&gt;639850.00&lt;/median&gt;&lt;percentile&gt;639700.00&lt;/percentile&gt;&lt;max&gt;656500.00&lt;/max&gt;&lt;min&gt;639700.00&lt;/min&gt;&lt;/sell&gt;&lt;/type&gt;&lt;type id="31610"&gt;&lt;buy&gt;&lt;volume&gt;450&lt;/volume&gt;&lt;avg&gt;203744.44&lt;/avg&gt;&lt;stddev&gt;177823.89&lt;/stddev&gt;&lt;median&gt;101050.00&lt;/median&gt;&lt;percentile&gt;409100.00&lt;/percentile&gt;&lt;max&gt;409100.00&lt;/max&gt;&lt;min&gt;101000.00&lt;/min&gt;&lt;/buy&gt;&lt;sell&gt;&lt;volume&gt;1873&lt;/volume&gt;&lt;avg&gt;887331.29&lt;/avg&gt;&lt;stddev&gt;162058.96&lt;/stddev&gt;&lt;median&gt;977200.00&lt;/median&gt;&lt;percentile&gt;666640.47&lt;/percentile&gt;&lt;max&gt;1307000.00&lt;/max&gt;&lt;min&gt;665800.00&lt;/min&gt;&lt;/sell&gt;&lt;/type&gt;&lt;type id="32819"&gt;&lt;buy&gt;&lt;volume&gt;170&lt;/volume&gt;&lt;avg&gt;179505.88&lt;/avg&gt;&lt;stddev&gt;2253.89&lt;/stddev&gt;&lt;median&gt;180600.00&lt;/median&gt;&lt;percentile&gt;180800.00&lt;/percentile&gt;&lt;max&gt;180800.00&lt;/max&gt;&lt;min&gt;176800.00&lt;/min&gt;&lt;/buy&gt;&lt;sell&gt;&lt;volume&gt;1041&lt;/volume&gt;&lt;avg&gt;421516.04&lt;/avg&gt;&lt;stddev&gt;70406.42&lt;/stddev&gt;&lt;median&gt;405800.00&lt;/median&gt;&lt;percentile&gt;329629.63&lt;/percentile&gt;&lt;max&gt;541900.00&lt;/max&gt;&lt;min&gt;329600.00&lt;/min&gt;&lt;/sell&gt;&lt;/type&gt;&lt;type id="32817"&gt;&lt;buy&gt;&lt;volume&gt;2450&lt;/volume&gt;&lt;avg&gt;12625.59&lt;/avg&gt;&lt;stddev&gt;1093.61&lt;/stddev&gt;&lt;median&gt;12850.00&lt;/median&gt;&lt;percentile&gt;13080.00&lt;/percentile&gt;&lt;max&gt;13080.00&lt;/max&gt;&lt;min&gt;10030.00&lt;/min&gt;&lt;/buy&gt;&lt;sell&gt;&lt;volume&gt;861&lt;/volume&gt;&lt;avg&gt;451318.93&lt;/avg&gt;&lt;stddev&gt;13160.22&lt;/stddev&gt;&lt;median&gt;460000.00&lt;/median&gt;&lt;percentile&gt;440800.00&lt;/percentile&gt;&lt;max&gt;474400.00&lt;/max&gt;&lt;min&gt;440800.00&lt;/min&gt;&lt;/sell&gt;&lt;/type&gt;&lt;type id="31085"&gt;&lt;buy&gt;&lt;volume&gt;138&lt;/volume&gt;&lt;avg&gt;633147.10&lt;/avg&gt;&lt;stddev&gt;51901.20&lt;/stddev&gt;&lt;median&gt;678900.00&lt;/median&gt;&lt;percentile&gt;679000.00&lt;/percentile&gt;&lt;max&gt;679000.00&lt;/max&gt;&lt;min&gt;563100.00&lt;/min&gt;&lt;/buy&gt;&lt;sell&gt;&lt;volume&gt;830&lt;/volume&gt;&lt;avg&gt;1264502.41&lt;/avg&gt;&lt;stddev&gt;113582.52&lt;/stddev&gt;&lt;median&gt;1279000.00&lt;/median&gt;&lt;percentile&gt;1170000.00&lt;/percentile&gt;&lt;max&gt;1665000.00&lt;/max&gt;&lt;min&gt;1170000.00&lt;/min&gt;&lt;/sell&gt;&lt;/type&gt;&lt;type id="31091"&gt;&lt;buy&gt;&lt;volume&gt;51&lt;/volume&gt;&lt;avg&gt;29279215.69&lt;/avg&gt;&lt;stddev&gt;692973.66&lt;/stddev&gt;&lt;median&gt;29380000.00&lt;/median&gt;&lt;percentile&gt;29660000.00&lt;/percentile&gt;&lt;max&gt;29660000.00&lt;/max&gt;&lt;min&gt;27740000.00&lt;/min&gt;&lt;/buy&gt;&lt;sell&gt;&lt;volume&gt;12&lt;/volume&gt;&lt;avg&gt;39713333.33&lt;/avg&gt;&lt;stddev&gt;95699.18&lt;/stddev&gt;&lt;median&gt;39735000.00&lt;/median&gt;&lt;percentile&gt;39650000.00&lt;/percentile&gt;&lt;max&gt;39830000.00&lt;/max&gt;&lt;min&gt;39650000.00&lt;/min&gt;&lt;/sell&gt;&lt;/type&gt;&lt;type id="31083"&gt;&lt;buy&gt;&lt;volume&gt;467&lt;/volume&gt;&lt;avg&gt;236730.41&lt;/avg&gt;&lt;stddev&gt;75944.22&lt;/stddev&gt;&lt;median&gt;262400.00&lt;/median&gt;&lt;percentile&gt;262900.00&lt;/percentile&gt;&lt;max&gt;262900.00&lt;/max&gt;&lt;min&gt;80000.00&lt;/min&gt;&lt;/buy&gt;&lt;sell&gt;&lt;volume&gt;1302&lt;/volume&gt;&lt;avg&gt;505201.84&lt;/avg&gt;&lt;stddev&gt;87041.34&lt;/stddev&gt;&lt;median&gt;430600.00&lt;/median&gt;&lt;percentile&gt;408300.00&lt;/percentile&gt;&lt;max&gt;620500.00&lt;/max&gt;&lt;min&gt;408300.00&lt;/min&gt;&lt;/sell&gt;&lt;/type&gt;&lt;type id="31213"&gt;&lt;buy&gt;&lt;volume&gt;410&lt;/volume&gt;&lt;avg&gt;5029.27&lt;/avg&gt;&lt;stddev&gt;21.21&lt;/stddev&gt;&lt;median&gt;5015.00&lt;/median&gt;&lt;percentile&gt;5030.00&lt;/percentile&gt;&lt;max&gt;5030.00&lt;/max&gt;&lt;min&gt;5000.00&lt;/min&gt;&lt;/buy&gt;&lt;sell&gt;&lt;volume&gt;41442&lt;/volume&gt;&lt;avg&gt;19499.79&lt;/avg&gt;&lt;stddev&gt;9196.78&lt;/stddev&gt;&lt;median&gt;18025.00&lt;/median&gt;&lt;percentile&gt;18017.34&lt;/percentile&gt;&lt;max&gt;51000.00&lt;/max&gt;&lt;min&gt;17980.00&lt;/min&gt;&lt;/sell&gt;&lt;/type&gt;&lt;type id="26088"&gt;&lt;buy&gt;&lt;volume&gt;529&lt;/volume&gt;&lt;avg&gt;2823017.01&lt;/avg&gt;&lt;stddev&gt;304849.41&lt;/stddev&gt;&lt;median&gt;3013000.00&lt;/median&gt;&lt;percentile&gt;3045000.00&lt;/percentile&gt;&lt;max&gt;3045000.00&lt;/max&gt;&lt;min&gt;2200000.00&lt;/min&gt;&lt;/buy&gt;&lt;sell&gt;&lt;volume&gt;450&lt;/volume&gt;&lt;avg&gt;3899697.78&lt;/avg&gt;&lt;stddev&gt;599101.49&lt;/stddev&gt;&lt;median&gt;3541000.00&lt;/median&gt;&lt;percentile&gt;3486000.00&lt;/percentile&gt;&lt;max&gt;5176000.00&lt;/max&gt;&lt;min&gt;3486000.00&lt;/min&gt;&lt;/sell&gt;&lt;/type&gt;&lt;type id="31790"&gt;&lt;buy&gt;&lt;volume&gt;1676&lt;/volume&gt;&lt;avg&gt;757546.96&lt;/avg&gt;&lt;stddev&gt;52382.37&lt;/stddev&gt;&lt;median&gt;750200.00&lt;/median&gt;&lt;percentile&gt;801700.00&lt;/percentile&gt;&lt;max&gt;801700.00&lt;/max&gt;&lt;min&gt;601000.00&lt;/min&gt;&lt;/buy&gt;&lt;sell&gt;&lt;volume&gt;7837&lt;/volume&gt;&lt;avg&gt;888699.81&lt;/avg&gt;&lt;stddev&gt;38344.71&lt;/stddev&gt;&lt;median&gt;874500.00&lt;/median&gt;&lt;percentile&gt;846000.00&lt;/percentile&gt;&lt;max&gt;974500.00&lt;/max&gt;&lt;min&gt;846000.00&lt;/min&gt;&lt;/sell&gt;&lt;/type&gt;&lt;type id="31718"&gt;&lt;buy&gt;&lt;volume&gt;1780&lt;/volume&gt;&lt;avg&gt;66994.72&lt;/avg&gt;&lt;stddev&gt;10993.72&lt;/stddev&gt;&lt;median&gt;68180.00&lt;/median&gt;&lt;percentile&gt;68190.00&lt;/percentile&gt;&lt;max&gt;68190.00&lt;/max&gt;&lt;min&gt;47000.00&lt;/min&gt;&lt;/buy&gt;&lt;sell&gt;&lt;volume&gt;11651&lt;/volume&gt;&lt;avg&gt;144522.65&lt;/avg&gt;&lt;stddev&gt;43542.63&lt;/stddev&gt;&lt;median&gt;91100.00&lt;/median&gt;&lt;percentile&gt;77274.13&lt;/percentile&gt;&lt;max&gt;340000.00&lt;/max&gt;&lt;min&gt;77200.00&lt;/min&gt;&lt;/sell&gt;&lt;/type&gt;&lt;type id="31754"&gt;&lt;buy&gt;&lt;volume&gt;300&lt;/volume&gt;&lt;avg&gt;70645.00&lt;/avg&gt;&lt;stddev&gt;15167.44&lt;/stddev&gt;&lt;median&gt;63495.00&lt;/median&gt;&lt;percentile&gt;74220.00&lt;/percentile&gt;&lt;max&gt;74220.00&lt;/max&gt;&lt;min&gt;52770.00&lt;/min&gt;&lt;/buy&gt;&lt;sell&gt;&lt;volume&gt;4290&lt;/volume&gt;&lt;avg&gt;99307.38&lt;/avg&gt;&lt;stddev&gt;14849.44&lt;/stddev&gt;&lt;median&gt;98885.00&lt;/median&gt;&lt;percentile&gt;96960.00&lt;/percentile&gt;&lt;max&gt;159900.00&lt;/max&gt;&lt;min&gt;96960.00&lt;/min&gt;&lt;/sell&gt;&lt;/type&gt;&lt;type id="31796"&gt;&lt;buy&gt;&lt;volume&gt;242&lt;/volume&gt;&lt;avg&gt;17642995.87&lt;/avg&gt;&lt;stddev&gt;3983750.06&lt;/stddev&gt;&lt;median&gt;18000000.00&lt;/median&gt;&lt;percentile&gt;18000000.00&lt;/percentile&gt;&lt;max&gt;18000000.00&lt;/max&gt;&lt;min&gt;9605000.00&lt;/min&gt;&lt;/buy&gt;&lt;sell&gt;&lt;volume&gt;1208&lt;/volume&gt;&lt;avg&gt;20625488.41&lt;/avg&gt;&lt;stddev&gt;2339676.95&lt;/stddev&gt;&lt;median&gt;20740000.00&lt;/median&gt;&lt;percentile&gt;19500000.00&lt;/percentile&gt;&lt;max&gt;29990000.00&lt;/max&gt;&lt;min&gt;19500000.00&lt;/min&gt;&lt;/sell&gt;&lt;/type&gt;&lt;type id="31812"&gt;&lt;buy&gt;&lt;volume&gt;62&lt;/volume&gt;&lt;avg&gt;17581451.61&lt;/avg&gt;&lt;stddev&gt;528393.79&lt;/stddev&gt;&lt;median&gt;17570000.00&lt;/median&gt;&lt;percentile&gt;17730000.00&lt;/percentile&gt;&lt;max&gt;17730000.00&lt;/max&gt;&lt;min&gt;16360000.00&lt;/min&gt;&lt;/buy&gt;&lt;sell&gt;&lt;volume&gt;1966&lt;/volume&gt;&lt;avg&gt;19516932.86&lt;/avg&gt;&lt;stddev&gt;1612181.94&lt;/stddev&gt;&lt;median&gt;19070000.00&lt;/median&gt;&lt;percentile&gt;18546428.57&lt;/percentile&gt;&lt;max&gt;28670000.00&lt;/max&gt;&lt;min&gt;18540000.00&lt;/min&gt;&lt;/sell&gt;&lt;/type&gt;&lt;type id="31724"&gt;&lt;buy&gt;&lt;volume&gt;402&lt;/volume&gt;&lt;avg&gt;3497251.24&lt;/avg&gt;&lt;stddev&gt;524725.16&lt;/stddev&gt;&lt;median&gt;3600500.00&lt;/median&gt;&lt;percentile&gt;3625000.00&lt;/percentile&gt;&lt;max&gt;3625000.00&lt;/max&gt;&lt;min&gt;1637000.00&lt;/min&gt;&lt;/buy&gt;&lt;sell&gt;&lt;volume&gt;1005&lt;/volume&gt;&lt;avg&gt;4182290.55&lt;/avg&gt;&lt;stddev&gt;574655.15&lt;/stddev&gt;&lt;median&gt;4036000.00&lt;/median&gt;&lt;percentile&gt;3793000.00&lt;/percentile&gt;&lt;max&gt;6198000.00&lt;/max&gt;&lt;min&gt;3793000.00&lt;/min&gt;&lt;/sell&gt;&lt;/type&gt;&lt;type id="31760"&gt;&lt;buy&gt;&lt;volume&gt;411&lt;/volume&gt;&lt;avg&gt;2940486.62&lt;/avg&gt;&lt;stddev&gt;186015.07&lt;/stddev&gt;&lt;median&gt;2997500.00&lt;/median&gt;&lt;percentile&gt;3139000.00&lt;/percentile&gt;&lt;max&gt;3139000.00&lt;/max&gt;&lt;min&gt;2534000.00&lt;/min&gt;&lt;/buy&gt;&lt;sell&gt;&lt;volume&gt;1168&lt;/volume&gt;&lt;avg&gt;3761674.66&lt;/avg&gt;&lt;stddev&gt;728796.95&lt;/stddev&gt;&lt;median&gt;3842000.00&lt;/median&gt;&lt;percentile&gt;3099000.00&lt;/percentile&gt;&lt;max&gt;5086000.00&lt;/max&gt;&lt;min&gt;3099000.00&lt;/min&gt;&lt;/sell&gt;&lt;/type&gt;&lt;type id="31788"&gt;&lt;buy&gt;&lt;volume&gt;4448&lt;/volume&gt;&lt;avg&gt;151328.57&lt;/avg&gt;&lt;stddev&gt;18121.50&lt;/stddev&gt;&lt;median&gt;150400.00&lt;/median&gt;&lt;percentile&gt;167728.99&lt;/percentile&gt;&lt;max&gt;167800.00&lt;/max&gt;&lt;min&gt;121000.00&lt;/min&gt;&lt;/buy&gt;&lt;sell&gt;&lt;volume&gt;16864&lt;/volume&gt;&lt;avg&gt;203138.73&lt;/avg&gt;&lt;stddev&gt;30996.30&lt;/stddev&gt;&lt;median&gt;210400.00&lt;/median&gt;&lt;percentile&gt;175468.83&lt;/percentile&gt;&lt;max&gt;311200.00&lt;/max&gt;&lt;min&gt;175200.00&lt;/min&gt;&lt;/sell&gt;&lt;/type&gt;&lt;type id="31716"&gt;&lt;buy&gt;&lt;volume&gt;5181&lt;/volume&gt;&lt;avg&gt;12555.64&lt;/avg&gt;&lt;stddev&gt;250.24&lt;/stddev&gt;&lt;median&gt;12705.00&lt;/median&gt;&lt;percentile&gt;12720.00&lt;/percentile&gt;&lt;max&gt;12720.00&lt;/max&gt;&lt;min&gt;12020.00&lt;/min&gt;&lt;/buy&gt;&lt;sell&gt;&lt;volume&gt;19794&lt;/volume&gt;&lt;avg&gt;24660.73&lt;/avg&gt;&lt;stddev&gt;20654.19&lt;/stddev&gt;&lt;median&gt;18770.00&lt;/median&gt;&lt;percentile&gt;17448.95&lt;/percentile&gt;&lt;max&gt;99990.00&lt;/max&gt;&lt;min&gt;17300.00&lt;/min&gt;&lt;/sell&gt;&lt;/type&gt;&lt;type id="31794"&gt;&lt;buy&gt;&lt;volume&gt;670&lt;/volume&gt;&lt;avg&gt;5454755.22&lt;/avg&gt;&lt;stddev&gt;240841.91&lt;/stddev&gt;&lt;median&gt;5535000.00&lt;/median&gt;&lt;percentile&gt;5544500.00&lt;/percentile&gt;&lt;max&gt;5545000.00&lt;/max&gt;&lt;min&gt;4614000.00&lt;/min&gt;&lt;/buy&gt;&lt;sell&gt;&lt;volume&gt;988&lt;/volume&gt;&lt;avg&gt;6477721.66&lt;/avg&gt;&lt;stddev&gt;510512.31&lt;/stddev&gt;&lt;median&gt;6237000.00&lt;/median&gt;&lt;percentile&gt;6075000.00&lt;/percentile&gt;&lt;max&gt;7459000.00&lt;/max&gt;&lt;min&gt;6075000.00&lt;/min&gt;&lt;/sell&gt;&lt;/type&gt;&lt;type id="31722"&gt;&lt;buy&gt;&lt;volume&gt;1268&lt;/volume&gt;&lt;avg&gt;1499534.70&lt;/avg&gt;&lt;stddev&gt;104531.84&lt;/stddev&gt;&lt;median&gt;1515500.00&lt;/median&gt;&lt;percentile&gt;1583000.00&lt;/percentile&gt;&lt;max&gt;1583000.00&lt;/max&gt;&lt;min&gt;1164000.00&lt;/min&gt;&lt;/buy&gt;&lt;sell&gt;&lt;volume&gt;2087&lt;/volume&gt;&lt;avg&gt;1841030.19&lt;/avg&gt;&lt;stddev&gt;217968.86&lt;/stddev&gt;&lt;median&gt;1936500.00&lt;/median&gt;&lt;percentile&gt;1695553.57&lt;/percentile&gt;&lt;max&gt;2500000.00&lt;/max&gt;&lt;min&gt;1694000.00&lt;/min&gt;&lt;/sell&gt;&lt;/type&gt;&lt;type id="31276"&gt;&lt;buy&gt;&lt;volume&gt;775&lt;/volume&gt;&lt;avg&gt;311926.32&lt;/avg&gt;&lt;stddev&gt;198986.53&lt;/stddev&gt;&lt;median&gt;303200.00&lt;/median&gt;&lt;percentile&gt;571206.25&lt;/percentile&gt;&lt;max&gt;571300.00&lt;/max&gt;&lt;min&gt;138700.00&lt;/min&gt;&lt;/buy&gt;&lt;sell&gt;&lt;volume&gt;1304&lt;/volume&gt;&lt;avg&gt;676548.77&lt;/avg&gt;&lt;stddev&gt;22045.75&lt;/stddev&gt;&lt;median&gt;683850.00&lt;/median&gt;&lt;percentile&gt;648600.00&lt;/percentile&gt;&lt;max&gt;709200.00&lt;/max&gt;&lt;min&gt;648600.00&lt;/min&gt;&lt;/sell&gt;&lt;/type&gt;&lt;type id="4393"&gt;&lt;buy&gt;&lt;volume&gt;3130&lt;/volume&gt;&lt;avg&gt;39633.67&lt;/avg&gt;&lt;stddev&gt;3833.02&lt;/stddev&gt;&lt;median&gt;42000.00&lt;/median&gt;&lt;percentile&gt;42170.00&lt;/percentile&gt;&lt;max&gt;42170.00&lt;/max&gt;&lt;min&gt;32710.00&lt;/min&gt;&lt;/buy&gt;&lt;sell&gt;&lt;volume&gt;9026&lt;/volume&gt;&lt;avg&gt;61975.52&lt;/avg&gt;&lt;stddev&gt;26260.58&lt;/stddev&gt;&lt;median&gt;55290.00&lt;/median&gt;&lt;percentile&gt;53657.49&lt;/percentile&gt;&lt;max&gt;178800.00&lt;/max&gt;&lt;min&gt;53620.00&lt;/min&gt;&lt;/sell&gt;&lt;/type&gt;&lt;type id="23527"&gt;&lt;buy&gt;&lt;volume&gt;3491&lt;/volume&gt;&lt;avg&gt;178043.63&lt;/avg&gt;&lt;stddev&gt;47665.16&lt;/stddev&gt;&lt;median&gt;184400.00&lt;/median&gt;&lt;percentile&gt;184900.00&lt;/percentile&gt;&lt;max&gt;184900.00&lt;/max&gt;&lt;min&gt;65010.00&lt;/min&gt;&lt;/buy&gt;&lt;sell&gt;&lt;volume&gt;7199&lt;/volume&gt;&lt;avg&gt;272239.77&lt;/avg&gt;&lt;stddev&gt;65193.03&lt;/stddev&gt;&lt;median&gt;240000.00&lt;/median&gt;&lt;percentile&gt;227597.40&lt;/percentile&gt;&lt;max&gt;449000.00&lt;/max&gt;&lt;min&gt;227500.00&lt;/min&gt;&lt;/sell&gt;&lt;/type&gt;&lt;type id="24395"&gt;&lt;buy&gt;&lt;volume&gt;1539&lt;/volume&gt;&lt;avg&gt;248780.64&lt;/avg&gt;&lt;stddev&gt;63954.24&lt;/stddev&gt;&lt;median&gt;276100.00&lt;/median&gt;&lt;percentile&gt;276400.00&lt;/percentile&gt;&lt;max&gt;276400.00&lt;/max&gt;&lt;min&gt;100800.00&lt;/min&gt;&lt;/buy&gt;&lt;sell&gt;&lt;volume&gt;3320&lt;/volume&gt;&lt;avg&gt;338563.46&lt;/avg&gt;&lt;stddev&gt;16585.23&lt;/stddev&gt;&lt;median&gt;344800.00&lt;/median&gt;&lt;percentile&gt;316275.88&lt;/percentile&gt;&lt;max&gt;360000.00&lt;/max&gt;&lt;min&gt;300000.00&lt;/min&gt;&lt;/sell&gt;&lt;/type&gt;&lt;type id="4405"&gt;&lt;buy&gt;&lt;volume&gt;1697&lt;/volume&gt;&lt;avg&gt;1073715.38&lt;/avg&gt;&lt;stddev&gt;52215.59&lt;/stddev&gt;&lt;median&gt;1097500.00&lt;/median&gt;&lt;percentile&gt;1114000.00&lt;/percentile&gt;&lt;max&gt;1114000.00&lt;/max&gt;&lt;min&gt;970100.00&lt;/min&gt;&lt;/buy&gt;&lt;sell&gt;&lt;volume&gt;5877&lt;/volume&gt;&lt;avg&gt;1398568.83&lt;/avg&gt;&lt;stddev&gt;487334.84&lt;/stddev&gt;&lt;median&gt;1254500.00&lt;/median&gt;&lt;percentile&gt;1208000.00&lt;/percentile&gt;&lt;max&gt;2750000.00&lt;/max&gt;&lt;min&gt;1208000.00&lt;/min&gt;&lt;/sell&gt;&lt;/type&gt;&lt;type id="24427"&gt;&lt;buy&gt;&lt;volume&gt;888&lt;/volume&gt;&lt;avg&gt;731106.19&lt;/avg&gt;&lt;stddev&gt;191389.03&lt;/stddev&gt;&lt;median&gt;802950.00&lt;/median&gt;&lt;percentile&gt;804238.71&lt;/percentile&gt;&lt;max&gt;804400.00&lt;/max&gt;&lt;min&gt;400000.00&lt;/min&gt;&lt;/buy&gt;&lt;sell&gt;&lt;volume&gt;3333&lt;/volume&gt;&lt;avg&gt;1450460.25&lt;/avg&gt;&lt;stddev&gt;210060.87&lt;/stddev&gt;&lt;median&gt;1386000.00&lt;/median&gt;&lt;percentile&gt;1264173.65&lt;/percentile&gt;&lt;max&gt;1998000.00&lt;/max&gt;&lt;min&gt;1262000.00&lt;/min&gt;&lt;/sell&gt;&lt;/type&gt;&lt;type id="24417"&gt;&lt;buy&gt;&lt;volume&gt;845&lt;/volume&gt;&lt;avg&gt;995679.29&lt;/avg&gt;&lt;stddev&gt;250639.18&lt;/stddev&gt;&lt;median&gt;1080000.00&lt;/median&gt;&lt;percentile&gt;1202000.00&lt;/percentile&gt;&lt;max&gt;1202000.00&lt;/max&gt;&lt;min&gt;502000.00&lt;/min&gt;&lt;/buy&gt;&lt;sell&gt;&lt;volume&gt;5013&lt;/volume&gt;&lt;avg&gt;2003782.96&lt;/avg&gt;&lt;stddev&gt;335404.49&lt;/stddev&gt;&lt;median&gt;1981000.00&lt;/median&gt;&lt;percentile&gt;1288016.95&lt;/percentile&gt;&lt;max&gt;2495000.00&lt;/max&gt;&lt;min&gt;1287000.00&lt;/min&gt;&lt;/sell&gt;&lt;/type&gt;&lt;type id="33824"&gt;&lt;buy&gt;&lt;volume&gt;1341&lt;/volume&gt;&lt;avg&gt;351541.61&lt;/avg&gt;&lt;stddev&gt;95352.55&lt;/stddev&gt;&lt;median&gt;436300.00&lt;/median&gt;&lt;percentile&gt;446509.09&lt;/percentile&gt;&lt;max&gt;446600.00&lt;/max&gt;&lt;min&gt;150000.00&lt;/min&gt;&lt;/buy&gt;&lt;sell&gt;&lt;volume&gt;7988&lt;/volume&gt;&lt;avg&gt;758898.74&lt;/avg&gt;&lt;stddev&gt;340549.53&lt;/stddev&gt;&lt;median&gt;698900.00&lt;/median&gt;&lt;percentile&gt;617500.00&lt;/percentile&gt;&lt;max&gt;1706000.00&lt;/max&gt;&lt;min&gt;617500.00&lt;/min&gt;&lt;/sell&gt;&lt;/type&gt;&lt;type id="24438"&gt;&lt;buy&gt;&lt;volume&gt;2233&lt;/volume&gt;&lt;avg&gt;834651.59&lt;/avg&gt;&lt;stddev&gt;99998.67&lt;/stddev&gt;&lt;median&gt;776350.00&lt;/median&gt;&lt;percentile&gt;941852.38&lt;/percentile&gt;&lt;max&gt;942100.00&lt;/max&gt;&lt;min&gt;705600.00&lt;/min&gt;&lt;/buy&gt;&lt;sell&gt;&lt;volume&gt;865&lt;/volume&gt;&lt;avg&gt;1285568.79&lt;/avg&gt;&lt;stddev&gt;17074.48&lt;/stddev&gt;&lt;median&gt;1286500.00&lt;/median&gt;&lt;percentile&gt;1266094.34&lt;/percentile&gt;&lt;max&gt;1316000.00&lt;/max&gt;&lt;min&gt;1265000.00&lt;/min&gt;&lt;/sell&gt;&lt;/type&gt;&lt;type id="33828"&gt;&lt;buy&gt;&lt;volume&gt;65&lt;/volume&gt;&lt;avg&gt;1067846.15&lt;/avg&gt;&lt;stddev&gt;483820.56&lt;/stddev&gt;&lt;median&gt;810000.00&lt;/median&gt;&lt;percentile&gt;1649000.00&lt;/percentile&gt;&lt;max&gt;1649000.00&lt;/max&gt;&lt;min&gt;810000.00&lt;/min&gt;&lt;/buy&gt;&lt;sell&gt;&lt;volume&gt;146&lt;/volume&gt;&lt;avg&gt;4911767.12&lt;/avg&gt;&lt;stddev&gt;2570472.00&lt;/stddev&gt;&lt;median&gt;3728000.00&lt;/median&gt;&lt;percentile&gt;3279450.00&lt;/percentile&gt;&lt;max&gt;17890000.00&lt;/max&gt;&lt;min&gt;3238000.00&lt;/min&gt;&lt;/sell&gt;&lt;/type&gt;&lt;type id="22782"&gt;&lt;buy&gt;&lt;volume&gt;1218&lt;/volume&gt;&lt;avg&gt;1791227.01&lt;/avg&gt;&lt;stddev&gt;361549.59&lt;/stddev&gt;&lt;median&gt;1823000.00&lt;/median&gt;&lt;percentile&gt;1828000.00&lt;/percentile&gt;&lt;max&gt;1828000.00&lt;/max&gt;&lt;min&gt;951300.00&lt;/min&gt;&lt;/buy&gt;&lt;sell&gt;&lt;volume&gt;478&lt;/volume&gt;&lt;avg&gt;2768418.41&lt;/avg&gt;&lt;stddev&gt;148794.82&lt;/stddev&gt;&lt;median&gt;2694500.00&lt;/median&gt;&lt;percentile&gt;2626000.00&lt;/percentile&gt;&lt;max&gt;3071000.00&lt;/max&gt;&lt;min&gt;2626000.00&lt;/min&gt;&lt;/sell&gt;&lt;/type&gt;&lt;type id="41057"&gt;&lt;buy&gt;&lt;volume&gt;582&lt;/volume&gt;&lt;avg&gt;2671317.87&lt;/avg&gt;&lt;stddev&gt;408640.50&lt;/stddev&gt;&lt;median&gt;2494000.00&lt;/median&gt;&lt;percentile&gt;3700000.00&lt;/percentile&gt;&lt;max&gt;3700000.00&lt;/max&gt;&lt;min&gt;2213000.00&lt;/min&gt;&lt;/buy&gt;&lt;sell&gt;&lt;volume&gt;831&lt;/volume&gt;&lt;avg&gt;4588205.78&lt;/avg&gt;&lt;stddev&gt;278987.45&lt;/stddev&gt;&lt;median&gt;4520000.00&lt;/median&gt;&lt;percentile&gt;4268000.00&lt;/percentile&gt;&lt;max&gt;5197000.00&lt;/max&gt;&lt;min&gt;4268000.00&lt;/min&gt;&lt;/sell&gt;&lt;/type&gt;&lt;type id="4027"&gt;&lt;buy&gt;&lt;volume&gt;14790&lt;/volume&gt;&lt;avg&gt;16574.85&lt;/avg&gt;&lt;stddev&gt;6864.21&lt;/stddev&gt;&lt;median&gt;10860.00&lt;/median&gt;&lt;percentile&gt;30636.67&lt;/percentile&gt;&lt;max&gt;30650.00&lt;/max&gt;&lt;min&gt;10860.00&lt;/min&gt;&lt;/buy&gt;&lt;sell&gt;&lt;volume&gt;9819&lt;/volume&gt;&lt;avg&gt;83263.38&lt;/avg&gt;&lt;stddev&gt;99430.62&lt;/stddev&gt;&lt;median&gt;56580.00&lt;/median&gt;&lt;percentile&gt;37733.59&lt;/percentile&gt;&lt;max&gt;360000.00&lt;/max&gt;&lt;min&gt;36800.00&lt;/min&gt;&lt;/sell&gt;&lt;/type&gt;&lt;type id="4025"&gt;&lt;buy&gt;&lt;volume&gt;24148&lt;/volume&gt;&lt;avg&gt;12725.94&lt;/avg&gt;&lt;stddev&gt;3613.18&lt;/stddev&gt;&lt;median&gt;14620.00&lt;/median&gt;&lt;percentile&gt;16391.88&lt;/percentile&gt;&lt;max&gt;16420.00&lt;/max&gt;&lt;min&gt;4257.00&lt;/min&gt;&lt;/buy&gt;&lt;sell&gt;&lt;volume&gt;6597&lt;/volume&gt;&lt;avg&gt;33525.94&lt;/avg&gt;&lt;stddev&gt;21438.45&lt;/stddev&gt;&lt;median&gt;24745.00&lt;/median&gt;&lt;percentile&gt;22290.00&lt;/percentile&gt;&lt;max&gt;119000.00&lt;/max&gt;&lt;min&gt;22290.00&lt;/min&gt;&lt;/sell&gt;&lt;/type&gt;&lt;type id="527"&gt;&lt;buy&gt;&lt;volume&gt;2105&lt;/volume&gt;&lt;avg&gt;540105.99&lt;/avg&gt;&lt;stddev&gt;327518.06&lt;/stddev&gt;&lt;median&gt;261000.00&lt;/median&gt;&lt;percentile&gt;1100000.00&lt;/percentile&gt;&lt;max&gt;1100000.00&lt;/max&gt;&lt;min&gt;259200.00&lt;/min&gt;&lt;/buy&gt;&lt;sell&gt;&lt;volume&gt;1688&lt;/volume&gt;&lt;avg&gt;1931294.43&lt;/avg&gt;&lt;stddev&gt;407172.74&lt;/stddev&gt;&lt;median&gt;1667000.00&lt;/median&gt;&lt;percentile&gt;1593000.00&lt;/percentile&gt;&lt;max&gt;2693000.00&lt;/max&gt;&lt;min&gt;1593000.00&lt;/min&gt;&lt;/sell&gt;&lt;/type&gt;&lt;type id="17559"&gt;&lt;buy&gt;&lt;volume&gt;108&lt;/volume&gt;&lt;avg&gt;52327685.19&lt;/avg&gt;&lt;stddev&gt;4952497.01&lt;/stddev&gt;&lt;median&gt;54515000.00&lt;/median&gt;&lt;percentile&gt;57755000.00&lt;/percentile&gt;&lt;max&gt;57760000.00&lt;/max&gt;&lt;min&gt;41010000.00&lt;/min&gt;&lt;/buy&gt;&lt;sell&gt;&lt;volume&gt;373&lt;/volume&gt;&lt;avg&gt;66519249.33&lt;/avg&gt;&lt;stddev&gt;1577170.56&lt;/stddev&gt;&lt;median&gt;65775000.00&lt;/median&gt;&lt;percentile&gt;64770606.06&lt;/percentile&gt;&lt;max&gt;69620000.00&lt;/max&gt;&lt;min&gt;64740000.00&lt;/min&gt;&lt;/sell&gt;&lt;/type&gt;&lt;type id="19814"&gt;&lt;buy&gt;&lt;volume&gt;6660&lt;/volume&gt;&lt;avg&gt;10016.26&lt;/avg&gt;&lt;stddev&gt;388.62&lt;/stddev&gt;&lt;median&gt;9851.00&lt;/median&gt;&lt;percentile&gt;10510.00&lt;/percentile&gt;&lt;max&gt;10510.00&lt;/max&gt;&lt;min&gt;9538.00&lt;/min&gt;&lt;/buy&gt;&lt;sell&gt;&lt;volume&gt;10892&lt;/volume&gt;&lt;avg&gt;32960.36&lt;/avg&gt;&lt;stddev&gt;11500.18&lt;/stddev&gt;&lt;median&gt;33460.00&lt;/median&gt;&lt;percentile&gt;22828.80&lt;/percentile&gt;&lt;max&gt;69000.00&lt;/max&gt;&lt;min&gt;22800.00&lt;/min&gt;&lt;/sell&gt;&lt;/type&gt;&lt;type id="19806"&gt;&lt;buy&gt;&lt;volume&gt;1983&lt;/volume&gt;&lt;avg&gt;682881.85&lt;/avg&gt;&lt;stddev&gt;54316.17&lt;/stddev&gt;&lt;median&gt;692000.00&lt;/median&gt;&lt;percentile&gt;729511.11&lt;/percentile&gt;&lt;max&gt;729900.00&lt;/max&gt;&lt;min&gt;550000.00&lt;/min&gt;&lt;/buy&gt;&lt;sell&gt;&lt;volume&gt;794&lt;/volume&gt;&lt;avg&gt;1379534.63&lt;/avg&gt;&lt;stddev&gt;163271.74&lt;/stddev&gt;&lt;median&gt;1400000.00&lt;/median&gt;&lt;percentile&gt;1284536.36&lt;/percentile&gt;&lt;max&gt;1400000.00&lt;/max&gt;&lt;min&gt;729900.00&lt;/min&gt;&lt;/sell&gt;&lt;/type&gt;&lt;type id="5405"&gt;&lt;buy&gt;&lt;volume&gt;4720&lt;/volume&gt;&lt;avg&gt;9315.23&lt;/avg&gt;&lt;stddev&gt;113.97&lt;/stddev&gt;&lt;median&gt;9331.00&lt;/median&gt;&lt;percentile&gt;9451.17&lt;/percentile&gt;&lt;max&gt;9452.00&lt;/max&gt;&lt;min&gt;9151.00&lt;/min&gt;&lt;/buy&gt;&lt;sell&gt;&lt;volume&gt;6842&lt;/volume&gt;&lt;avg&gt;93589.99&lt;/avg&gt;&lt;stddev&gt;51429.17&lt;/stddev&gt;&lt;median&gt;45100.00&lt;/median&gt;&lt;percentile&gt;24679.40&lt;/percentile&gt;&lt;max&gt;250000.00&lt;/max&gt;&lt;min&gt;20400.00&lt;/min&gt;&lt;/sell&gt;&lt;/type&gt;&lt;type id="3244"&gt;&lt;buy&gt;&lt;volume&gt;1147&lt;/volume&gt;&lt;avg&gt;1315393.20&lt;/avg&gt;&lt;stddev&gt;224865.66&lt;/stddev&gt;&lt;median&gt;1365000.00&lt;/median&gt;&lt;percentile&gt;1370000.00&lt;/percentile&gt;&lt;max&gt;1370000.00&lt;/max&gt;&lt;min&gt;897600.00&lt;/min&gt;&lt;/buy&gt;&lt;sell&gt;&lt;volume&gt;11349&lt;/volume&gt;&lt;avg&gt;1744505.95&lt;/avg&gt;&lt;stddev&gt;302303.68&lt;/stddev&gt;&lt;median&gt;1551500.00&lt;/median&gt;&lt;percentile&gt;1510901.48&lt;/percentile&gt;&lt;max&gt;2496000.00&lt;/max&gt;&lt;min&gt;1510000.00&lt;/min&gt;&lt;/sell&gt;&lt;/type&gt;&lt;type id="5443"&gt;&lt;buy&gt;&lt;volume&gt;11116&lt;/volume&gt;&lt;avg&gt;39861.08&lt;/avg&gt;&lt;stddev&gt;19834.32&lt;/stddev&gt;&lt;median&gt;27840.00&lt;/median&gt;&lt;percentile&gt;68077.14&lt;/percentile&gt;&lt;max&gt;68080.00&lt;/max&gt;&lt;min&gt;18000.00&lt;/min&gt;&lt;/buy&gt;&lt;sell&gt;&lt;volume&gt;4682&lt;/volume&gt;&lt;avg&gt;119552.26&lt;/avg&gt;&lt;stddev&gt;98116.79&lt;/stddev&gt;&lt;median&gt;88990.00&lt;/median&gt;&lt;percentile&gt;88818.31&lt;/percentile&gt;&lt;max&gt;459000.00&lt;/max&gt;&lt;min&gt;88810.00&lt;/min&gt;&lt;/sell&gt;&lt;/type&gt;&lt;type id="5445"&gt;&lt;buy&gt;&lt;volume&gt;20482&lt;/volume&gt;&lt;avg&gt;14404.25&lt;/avg&gt;&lt;stddev&gt;2781.74&lt;/stddev&gt;&lt;median&gt;14815.00&lt;/median&gt;&lt;percentile&gt;15610.00&lt;/percentile&gt;&lt;max&gt;15610.00&lt;/max&gt;&lt;min&gt;6000.00&lt;/min&gt;&lt;/buy&gt;&lt;sell&gt;&lt;volume&gt;7511&lt;/volume&gt;&lt;avg&gt;43030.65&lt;/avg&gt;&lt;stddev&gt;19958.12&lt;/stddev&gt;&lt;median&gt;33250.00&lt;/median&gt;&lt;percentile&gt;26984.36&lt;/percentile&gt;&lt;max&gt;120000.00&lt;/max&gt;&lt;min&gt;26970.00&lt;/min&gt;&lt;/sell&gt;&lt;/type&gt;&lt;type id="448"&gt;&lt;buy&gt;&lt;volume&gt;1732&lt;/volume&gt;&lt;avg&gt;1518256.35&lt;/avg&gt;&lt;stddev&gt;290012.52&lt;/stddev&gt;&lt;median&gt;1597000.00&lt;/median&gt;&lt;percentile&gt;1619029.13&lt;/percentile&gt;&lt;max&gt;1620000.00&lt;/max&gt;&lt;min&gt;751500.00&lt;/min&gt;&lt;/buy&gt;&lt;sell&gt;&lt;volume&gt;21939&lt;/volume&gt;&lt;avg&gt;2206019.65&lt;/avg&gt;&lt;stddev&gt;191937.75&lt;/stddev&gt;&lt;median&gt;2500000.00&lt;/median&gt;&lt;percentile&gt;1703430.12&lt;/percentile&gt;&lt;max&gt;2646000.00&lt;/max&gt;&lt;min&gt;1699000.00&lt;/min&gt;&lt;/sell&gt;&lt;/type&gt;&lt;type id="1182"&gt;&lt;buy&gt;&lt;volume&gt;1999&lt;/volume&gt;&lt;avg&gt;8004.00&lt;/avg&gt;&lt;stddev&gt;2.83&lt;/stddev&gt;&lt;median&gt;8004.00&lt;/median&gt;&lt;percentile&gt;8006.00&lt;/percentile&gt;&lt;max&gt;8006.00&lt;/max&gt;&lt;min&gt;8002.00&lt;/min&gt;&lt;/buy&gt;&lt;sell&gt;&lt;volume&gt;11159&lt;/volume&gt;&lt;avg&gt;11674.54&lt;/avg&gt;&lt;stddev&gt;2062.99&lt;/stddev&gt;&lt;median&gt;11085.00&lt;/median&gt;&lt;percentile&gt;11070.00&lt;/percentile&gt;&lt;max&gt;16050.00&lt;/max&gt;&lt;min&gt;11070.00&lt;/min&gt;&lt;/sell&gt;&lt;/type&gt;&lt;type id="11370"&gt;&lt;buy&gt;&lt;volume&gt;1179&lt;/volume&gt;&lt;avg&gt;1755793.89&lt;/avg&gt;&lt;stddev&gt;71369.03&lt;/stddev&gt;&lt;median&gt;1790000.00&lt;/median&gt;&lt;percentile&gt;1814454.55&lt;/percentile&gt;&lt;max&gt;1817000.00&lt;/max&gt;&lt;min&gt;1592000.00&lt;/min&gt;&lt;/buy&gt;&lt;sell&gt;&lt;volume&gt;1576&lt;/volume&gt;&lt;avg&gt;2120348.98&lt;/avg&gt;&lt;stddev&gt;124237.73&lt;/stddev&gt;&lt;median&gt;2122000.00&lt;/median&gt;&lt;percentile&gt;1994000.00&lt;/percentile&gt;&lt;max&gt;2400000.00&lt;/max&gt;&lt;min&gt;1994000.00&lt;/min&gt;&lt;/sell&gt;&lt;/type&gt;&lt;type id="11578"&gt;&lt;buy&gt;&lt;volume&gt;1606&lt;/volume&gt;&lt;avg&gt;4778740.35&lt;/avg&gt;&lt;stddev&gt;610180.00&lt;/stddev&gt;&lt;median&gt;5269500.00&lt;/median&gt;&lt;percentile&gt;5560444.44&lt;/percentile&gt;&lt;max&gt;5561000.00&lt;/max&gt;&lt;min&gt;3535000.00&lt;/min&gt;&lt;/buy&gt;&lt;sell&gt;&lt;volume&gt;3106&lt;/volume&gt;&lt;avg&gt;6433157.44&lt;/avg&gt;&lt;stddev&gt;327552.24&lt;/stddev&gt;&lt;median&gt;6417000.00&lt;/median&gt;&lt;percentile&gt;6242000.00&lt;/percentile&gt;&lt;max&gt;7197000.00&lt;/max&gt;&lt;min&gt;6242000.00&lt;/min&gt;&lt;/sell&gt;&lt;/type&gt;&lt;type id="11577"&gt;&lt;buy&gt;&lt;volume&gt;640&lt;/volume&gt;&lt;avg&gt;3570326.56&lt;/avg&gt;&lt;stddev&gt;525793.24&lt;/stddev&gt;&lt;median&gt;3554500.00&lt;/median&gt;&lt;percentile&gt;3943090.91&lt;/percentile&gt;&lt;max&gt;3944000.00&lt;/max&gt;&lt;min&gt;2499000.00&lt;/min&gt;&lt;/buy&gt;&lt;sell&gt;&lt;volume&gt;2502&lt;/volume&gt;&lt;avg&gt;4430255.80&lt;/avg&gt;&lt;stddev&gt;195470.65&lt;/stddev&gt;&lt;median&gt;4306000.00&lt;/median&gt;&lt;percentile&gt;4215689.66&lt;/percentile&gt;&lt;max&gt;5501000.00&lt;/max&gt;&lt;min&gt;4214000.00&lt;/min&gt;&lt;/sell&gt;&lt;/type&gt;&lt;type id="3888"&gt;&lt;buy&gt;&lt;volume&gt;3753&lt;/volume&gt;&lt;avg&gt;644493.63&lt;/avg&gt;&lt;stddev&gt;149830.08&lt;/stddev&gt;&lt;median&gt;684850.00&lt;/median&gt;&lt;percentile&gt;691000.00&lt;/percentile&gt;&lt;max&gt;691000.00&lt;/max&gt;&lt;min&gt;249900.00&lt;/min&gt;&lt;/buy&gt;&lt;sell&gt;&lt;volume&gt;13230&lt;/volume&gt;&lt;avg&gt;924742.54&lt;/avg&gt;&lt;stddev&gt;85689.01&lt;/stddev&gt;&lt;median&gt;917200.00&lt;/median&gt;&lt;percentile&gt;865158.57&lt;/percentile&gt;&lt;max&gt;1423000.00&lt;/max&gt;&lt;min&gt;865000.00&lt;/min&gt;&lt;/sell&gt;&lt;/type&gt;&lt;type id="6160"&gt;&lt;buy&gt;&lt;volume&gt;40961&lt;/volume&gt;&lt;avg&gt;8119.94&lt;/avg&gt;&lt;stddev&gt;1282.03&lt;/stddev&gt;&lt;median&gt;9238.00&lt;/median&gt;&lt;percentile&gt;9278.40&lt;/percentile&gt;&lt;max&gt;9280.00&lt;/max&gt;&lt;min&gt;4728.00&lt;/min&gt;&lt;/buy&gt;&lt;sell&gt;&lt;volume&gt;6154&lt;/volume&gt;&lt;avg&gt;32758.47&lt;/avg&gt;&lt;stddev&gt;11586.99&lt;/stddev&gt;&lt;median&gt;19370.00&lt;/median&gt;&lt;percentile&gt;17891.55&lt;/percentile&gt;&lt;max&gt;79180.00&lt;/max&gt;&lt;min&gt;17890.00&lt;/min&gt;&lt;/sell&gt;&lt;/type&gt;&lt;type id="1952"&gt;&lt;buy&gt;&lt;volume&gt;2246&lt;/volume&gt;&lt;avg&gt;920756.19&lt;/avg&gt;&lt;stddev&gt;173348.49&lt;/stddev&gt;&lt;median&gt;946000.00&lt;/median&gt;&lt;percentile&gt;951343.48&lt;/percentile&gt;&lt;max&gt;951400.00&lt;/max&gt;&lt;min&gt;303300.00&lt;/min&gt;&lt;/buy&gt;&lt;sell&gt;&lt;volume&gt;3942&lt;/volume&gt;&lt;avg&gt;1173108.57&lt;/avg&gt;&lt;stddev&gt;195545.98&lt;/stddev&gt;&lt;median&gt;1138000.00&lt;/median&gt;&lt;percentile&gt;1135224.14&lt;/percentile&gt;&lt;max&gt;1990000.00&lt;/max&gt;&lt;min&gt;1135000.00&lt;/min&gt;&lt;/sell&gt;&lt;/type&gt;&lt;type id="41191"&gt;&lt;buy&gt;&lt;volume&gt;55&lt;/volume&gt;&lt;avg&gt;52502181.82&lt;/avg&gt;&lt;stddev&gt;6902606.60&lt;/stddev&gt;&lt;median&gt;56130000.00&lt;/median&gt;&lt;percentile&gt;56496666.67&lt;/percentile&gt;&lt;max&gt;56500000.00&lt;/max&gt;&lt;min&gt;33890000.00&lt;/min&gt;&lt;/buy&gt;&lt;sell&gt;&lt;volume&gt;52&lt;/volume&gt;&lt;avg&gt;89550384.62&lt;/avg&gt;&lt;stddev&gt;24120273.01&lt;/stddev&gt;&lt;median&gt;77760000.00&lt;/median&gt;&lt;percentile&gt;67960000.00&lt;/percentile&gt;&lt;max&gt;149100000.00&lt;/max&gt;&lt;min&gt;67960000.00&lt;/min&gt;&lt;/sell&gt;&lt;/type&gt;&lt;type id="24348"&gt;&lt;buy&gt;&lt;volume&gt;852&lt;/volume&gt;&lt;avg&gt;1530616.55&lt;/avg&gt;&lt;stddev&gt;447521.06&lt;/stddev&gt;&lt;median&gt;1757000.00&lt;/median&gt;&lt;percentile&gt;1823714.29&lt;/percentile&gt;&lt;max&gt;1834000.00&lt;/max&gt;&lt;min&gt;795000.00&lt;/min&gt;&lt;/buy&gt;&lt;sell&gt;&lt;volume&gt;5155&lt;/volume&gt;&lt;avg&gt;3187729.97&lt;/avg&gt;&lt;stddev&gt;524349.64&lt;/stddev&gt;&lt;median&gt;3675000.00&lt;/median&gt;&lt;percentile&gt;2125910.39&lt;/percentile&gt;&lt;max&gt;3685000.00&lt;/max&gt;&lt;min&gt;2119000.00&lt;/min&gt;&lt;/sell&gt;&lt;/type&gt;&lt;type id="4250"&gt;&lt;buy&gt;&lt;volume&gt;237&lt;/volume&gt;&lt;avg&gt;2021042.19&lt;/avg&gt;&lt;stddev&gt;409184.82&lt;/stddev&gt;&lt;median&gt;2165500.00&lt;/median&gt;&lt;percentile&gt;2363000.00&lt;/percentile&gt;&lt;max&gt;2363000.00&lt;/max&gt;&lt;min&gt;1487000.00&lt;/min&gt;&lt;/buy&gt;&lt;sell&gt;&lt;volume&gt;2818&lt;/volume&gt;&lt;avg&gt;2748286.02&lt;/avg&gt;&lt;stddev&gt;1057471.39&lt;/stddev&gt;&lt;median&gt;2700000.00&lt;/median&gt;&lt;percentile&gt;2658719.21&lt;/percentile&gt;&lt;max&gt;7991000.00&lt;/max&gt;&lt;min&gt;2658000.00&lt;/min&gt;&lt;/sell&gt;&lt;/type&gt;&lt;type id="11563"&gt;&lt;buy&gt;&lt;volume&gt;637&lt;/volume&gt;&lt;avg&gt;318742.39&lt;/avg&gt;&lt;stddev&gt;24366.15&lt;/stddev&gt;&lt;median&gt;319800.00&lt;/median&gt;&lt;percentile&gt;335500.00&lt;/percentile&gt;&lt;max&gt;335500.00&lt;/max&gt;&lt;min&gt;276000.00&lt;/min&gt;&lt;/buy&gt;&lt;sell&gt;&lt;volume&gt;5076&lt;/volume&gt;&lt;avg&gt;476666.77&lt;/avg&gt;&lt;stddev&gt;107713.64&lt;/stddev&gt;&lt;median&gt;442950.00&lt;/median&gt;&lt;percentile&gt;394300.00&lt;/percentile&gt;&lt;max&gt;789000.00&lt;/max&gt;&lt;min&gt;394300.00&lt;/min&gt;&lt;/sell&gt;&lt;/type&gt;&lt;type id="4254"&gt;&lt;buy&gt;&lt;volume&gt;1583&lt;/volume&gt;&lt;avg&gt;845657.04&lt;/avg&gt;&lt;stddev&gt;73821.97&lt;/stddev&gt;&lt;median&gt;821400.00&lt;/median&gt;&lt;percentile&gt;919309.09&lt;/percentile&gt;&lt;max&gt;919400.00&lt;/max&gt;&lt;min&gt;688000.00&lt;/min&gt;&lt;/buy&gt;&lt;sell&gt;&lt;volume&gt;1122&lt;/volume&gt;&lt;avg&gt;1218192.51&lt;/avg&gt;&lt;stddev&gt;224498.02&lt;/stddev&gt;&lt;median&gt;1150000.00&lt;/median&gt;&lt;percentile&gt;1009000.00&lt;/percentile&gt;&lt;max&gt;1792000.00&lt;/max&gt;&lt;min&gt;1009000.00&lt;/min&gt;&lt;/sell&gt;&lt;/type&gt;&lt;type id="4871"&gt;&lt;buy&gt;&lt;volume&gt;4291&lt;/volume&gt;&lt;avg&gt;33497.48&lt;/avg&gt;&lt;stddev&gt;12839.36&lt;/stddev&gt;&lt;median&gt;41670.00&lt;/median&gt;&lt;percentile&gt;46186.96&lt;/percentile&gt;&lt;max&gt;55030.00&lt;/max&gt;&lt;min&gt;19550.00&lt;/min&gt;&lt;/buy&gt;&lt;sell&gt;&lt;volume&gt;25304&lt;/volume&gt;&lt;avg&gt;437077.64&lt;/avg&gt;&lt;stddev&gt;102364.62&lt;/stddev&gt;&lt;median&gt;792900.00&lt;/median&gt;&lt;percentile&gt;64721.49&lt;/percentile&gt;&lt;max&gt;792900.00&lt;/max&gt;&lt;min&gt;45330.00&lt;/min&gt;&lt;/sell&gt;&lt;/type&gt;&lt;type id="3504"&gt;&lt;buy&gt;&lt;volume&gt;301&lt;/volume&gt;&lt;avg&gt;1556534.88&lt;/avg&gt;&lt;stddev&gt;249223.94&lt;/stddev&gt;&lt;median&gt;1630000.00&lt;/median&gt;&lt;percentile&gt;1641000.00&lt;/percentile&gt;&lt;max&gt;1641000.00&lt;/max&gt;&lt;min&gt;1115000.00&lt;/min&gt;&lt;/buy&gt;&lt;sell&gt;&lt;volume&gt;1709&lt;/volume&gt;&lt;avg&gt;2120788.18&lt;/avg&gt;&lt;stddev&gt;377871.77&lt;/stddev&gt;&lt;median&gt;2103000.00&lt;/median&gt;&lt;percentile&gt;1896462.96&lt;/percentile&gt;&lt;max&gt;3240000.00&lt;/max&gt;&lt;min&gt;1896000.00&lt;/min&gt;&lt;/sell&gt;&lt;/type&gt;&lt;type id="41218"&gt;&lt;buy&gt;&lt;volume&gt;252&lt;/volume&gt;&lt;avg&gt;22969126.98&lt;/avg&gt;&lt;stddev&gt;3267808.09&lt;/stddev&gt;&lt;median&gt;24065000.00&lt;/median&gt;&lt;percentile&gt;24530588.24&lt;/percentile&gt;&lt;max&gt;24560000.00&lt;/max&gt;&lt;min&gt;13000000.00&lt;/min&gt;&lt;/buy&gt;&lt;sell&gt;&lt;volume&gt;1696&lt;/volume&gt;&lt;avg&gt;28506839.62&lt;/avg&gt;&lt;stddev&gt;1689846.01&lt;/stddev&gt;&lt;median&gt;28900000.00&lt;/median&gt;&lt;percentile&gt;26505681.82&lt;/percentile&gt;&lt;max&gt;38000000.00&lt;/max&gt;&lt;min&gt;26500000.00&lt;/min&gt;&lt;/sell&gt;&lt;/type&gt;&lt;type id="3496"&gt;&lt;buy&gt;&lt;volume&gt;1222&lt;/volume&gt;&lt;avg&gt;876172.67&lt;/avg&gt;&lt;stddev&gt;356666.63&lt;/stddev&gt;&lt;median&gt;1000000.00&lt;/median&gt;&lt;percentile&gt;1157054.05&lt;/percentile&gt;&lt;max&gt;1170000.00&lt;/max&gt;&lt;min&gt;344000.00&lt;/min&gt;&lt;/buy&gt;&lt;sell&gt;&lt;volume&gt;1632&lt;/volume&gt;&lt;avg&gt;1353683.82&lt;/avg&gt;&lt;stddev&gt;59527.18&lt;/stddev&gt;&lt;median&gt;1340000.00&lt;/median&gt;&lt;percentile&gt;1323878.95&lt;/percentile&gt;&lt;max&gt;1515000.00&lt;/max&gt;&lt;min&gt;1323000.00&lt;/min&gt;&lt;/sell&gt;&lt;/type&gt;&lt;type id="4833"&gt;&lt;buy&gt;&lt;volume&gt;13300&lt;/volume&gt;&lt;avg&gt;8699.01&lt;/avg&gt;&lt;stddev&gt;90.63&lt;/stddev&gt;&lt;median&gt;8751.00&lt;/median&gt;&lt;percentile&gt;8812.07&lt;/percentile&gt;&lt;max&gt;8813.00&lt;/max&gt;&lt;min&gt;8572.00&lt;/min&gt;&lt;/buy&gt;&lt;sell&gt;&lt;volume&gt;10547&lt;/volume&gt;&lt;avg&gt;25957.12&lt;/avg&gt;&lt;stddev&gt;11231.82&lt;/stddev&gt;&lt;median&gt;24465.00&lt;/median&gt;&lt;percentile&gt;12947.96&lt;/percentile&gt;&lt;max&gt;41800.00&lt;/max&gt;&lt;min&gt;12930.00&lt;/min&gt;&lt;/sell&gt;&lt;/type&gt;&lt;type id="2024"&gt;&lt;buy&gt;&lt;volume&gt;745&lt;/volume&gt;&lt;avg&gt;722224.16&lt;/avg&gt;&lt;stddev&gt;198527.55&lt;/stddev&gt;&lt;median&gt;828700.00&lt;/median&gt;&lt;percentile&gt;831290.91&lt;/percentile&gt;&lt;max&gt;831400.00&lt;/max&gt;&lt;min&gt;250000.00&lt;/min&gt;&lt;/buy&gt;&lt;sell&gt;&lt;volume&gt;1980&lt;/volume&gt;&lt;avg&gt;1180937.88&lt;/avg&gt;&lt;stddev&gt;220759.27&lt;/stddev&gt;&lt;median&gt;1299000.00&lt;/median&gt;&lt;percentile&gt;1021994.90&lt;/percentile&gt;&lt;max&gt;1633000.00&lt;/max&gt;&lt;min&gt;1021000.00&lt;/min&gt;&lt;/sell&gt;&lt;/type&gt;&lt;type id="3568"&gt;&lt;buy&gt;&lt;volume&gt;1295&lt;/volume&gt;&lt;avg&gt;592179.31&lt;/avg&gt;&lt;stddev&gt;158823.44&lt;/stddev&gt;&lt;median&gt;593900.00&lt;/median&gt;&lt;percentile&gt;800250.94&lt;/percentile&gt;&lt;max&gt;800600.00&lt;/max&gt;&lt;min&gt;252300.00&lt;/min&gt;&lt;/buy&gt;&lt;sell&gt;&lt;volume&gt;26&lt;/volume&gt;&lt;avg&gt;33648461.54&lt;/avg&gt;&lt;stddev&gt;32059476.40&lt;/stddev&gt;&lt;median&gt;19860000.00&lt;/median&gt;&lt;percentile&gt;19840000.00&lt;/percentile&gt;&lt;max&gt;100000000.00&lt;/max&gt;&lt;min&gt;19840000.00&lt;/min&gt;&lt;/sell&gt;&lt;/type&gt;&lt;type id="1248"&gt;&lt;buy&gt;&lt;volume&gt;2006&lt;/volume&gt;&lt;avg&gt;470917.50&lt;/avg&gt;&lt;stddev&gt;62614.36&lt;/stddev&gt;&lt;median&gt;485650.00&lt;/median&gt;&lt;percentile&gt;491200.00&lt;/percentile&gt;&lt;max&gt;491200.00&lt;/max&gt;&lt;min&gt;250000.00&lt;/min&gt;&lt;/buy&gt;&lt;sell&gt;&lt;volume&gt;5735&lt;/volume&gt;&lt;avg&gt;637911.46&lt;/avg&gt;&lt;stddev&gt;180781.80&lt;/stddev&gt;&lt;median&gt;589350.00&lt;/median&gt;&lt;percentile&gt;581000.00&lt;/percentile&gt;&lt;max&gt;1100000.00&lt;/max&gt;&lt;min&gt;581000.00&lt;/min&gt;&lt;/sell&gt;&lt;/type&gt;&lt;/marketstat&gt;&lt;/exec_api&gt;</v>
      </c>
      <c r="BG46" s="3"/>
    </row>
    <row r="47" spans="1:59">
      <c r="A47" s="13" t="s">
        <v>11250</v>
      </c>
      <c r="B47" s="63">
        <f>VLOOKUP(A47,TypeIDs!B:C,2,FALSE)</f>
        <v>23033</v>
      </c>
      <c r="C47" s="36">
        <v>750.8</v>
      </c>
      <c r="D47" s="36">
        <f t="shared" si="0"/>
        <v>795.4606</v>
      </c>
      <c r="E47" s="35">
        <f>INDEX(MARKET_INPUT[Column1.price],MATCH(B47,MARKET_INPUT[Column1.type_id]))</f>
        <v>800</v>
      </c>
      <c r="F47" s="35">
        <f t="shared" si="1"/>
        <v>764.4</v>
      </c>
      <c r="G47" s="18">
        <f>VLOOKUP(B47,TypeIDs!C:D,2,FALSE)</f>
        <v>1.2500000000000001E-2</v>
      </c>
      <c r="I47" s="15">
        <f>IF(H47="",AverageVolume!A690,H47)</f>
        <v>4865.8374999999996</v>
      </c>
      <c r="J47" s="17">
        <f t="shared" si="4"/>
        <v>15328.191658999998</v>
      </c>
      <c r="K47" s="20">
        <f t="shared" si="5"/>
        <v>34060.862499999996</v>
      </c>
      <c r="L47" s="19">
        <f t="shared" si="2"/>
        <v>425.76078125000004</v>
      </c>
      <c r="M47" s="8">
        <f t="shared" si="8"/>
        <v>0.96095268577727166</v>
      </c>
      <c r="N47" s="9">
        <f t="shared" si="9"/>
        <v>27094074.120767497</v>
      </c>
      <c r="O47" s="10">
        <f t="shared" si="6"/>
        <v>-1057950.8257675006</v>
      </c>
      <c r="P47" s="11">
        <f t="shared" si="7"/>
        <v>-2484.8480000000018</v>
      </c>
      <c r="Q47" s="23">
        <f t="shared" si="3"/>
        <v>26036123.294999994</v>
      </c>
      <c r="R47" s="3" t="e">
        <f>VLOOKUP(B47,Buylist!B:B,1,FALSE)</f>
        <v>#N/A</v>
      </c>
      <c r="S47" s="3" t="e">
        <f>VLOOKUP(B47,Buylist!B:O,13,FALSE)</f>
        <v>#N/A</v>
      </c>
      <c r="T47" s="78">
        <v>46</v>
      </c>
      <c r="BE47" s="3" t="s">
        <v>41766</v>
      </c>
      <c r="BF47" s="3" t="str">
        <f>_xlfn.WEBSERVICE(BF39)</f>
        <v>&lt;?xml version="1.0" encoding="UTF-8"?&gt;
&lt;exec_api version="2.0" method="marketstat_xml"&gt;&lt;marketstat&gt;&lt;type id="1447"&gt;&lt;buy&gt;&lt;volume&gt;3547&lt;/volume&gt;&lt;avg&gt;437542.09&lt;/avg&gt;&lt;stddev&gt;92901.38&lt;/stddev&gt;&lt;median&gt;428400.00&lt;/median&gt;&lt;percentile&gt;495909.52&lt;/percentile&gt;&lt;max&gt;496000.00&lt;/max&gt;&lt;min&gt;175000.00&lt;/min&gt;&lt;/buy&gt;&lt;sell&gt;&lt;volume&gt;4300&lt;/volume&gt;&lt;avg&gt;604583.49&lt;/avg&gt;&lt;stddev&gt;36262.87&lt;/stddev&gt;&lt;median&gt;607600.00&lt;/median&gt;&lt;percentile&gt;575059.27&lt;/percentile&gt;&lt;max&gt;720000.00&lt;/max&gt;&lt;min&gt;574500.00&lt;/min&gt;&lt;/sell&gt;&lt;/type&gt;&lt;type id="2032"&gt;&lt;buy&gt;&lt;volume&gt;1702&lt;/volume&gt;&lt;avg&gt;477632.67&lt;/avg&gt;&lt;stddev&gt;148565.59&lt;/stddev&gt;&lt;median&gt;550100.00&lt;/median&gt;&lt;percentile&gt;564300.00&lt;/percentile&gt;&lt;max&gt;564300.00&lt;/max&gt;&lt;min&gt;251500.00&lt;/min&gt;&lt;/buy&gt;&lt;sell&gt;&lt;volume&gt;6652&lt;/volume&gt;&lt;avg&gt;648943.93&lt;/avg&gt;&lt;stddev&gt;65769.59&lt;/stddev&gt;&lt;median&gt;628900.00&lt;/median&gt;&lt;percentile&gt;614989.55&lt;/percentile&gt;&lt;max&gt;999900.00&lt;/max&gt;&lt;min&gt;614900.00&lt;/min&gt;&lt;/sell&gt;&lt;/type&gt;&lt;type id="12271"&gt;&lt;buy&gt;&lt;volume&gt;543&lt;/volume&gt;&lt;avg&gt;4282753.22&lt;/avg&gt;&lt;stddev&gt;594478.27&lt;/stddev&gt;&lt;median&gt;4319000.00&lt;/median&gt;&lt;percentile&gt;4590000.00&lt;/percentile&gt;&lt;max&gt;4590000.00&lt;/max&gt;&lt;min&gt;3000000.00&lt;/min&gt;&lt;/buy&gt;&lt;sell&gt;&lt;volume&gt;762&lt;/volume&gt;&lt;avg&gt;5162234.91&lt;/avg&gt;&lt;stddev&gt;119792.56&lt;/stddev&gt;&lt;median&gt;5160000.00&lt;/median&gt;&lt;percentile&gt;5116000.00&lt;/percentile&gt;&lt;max&gt;5566000.00&lt;/max&gt;&lt;min&gt;5116000.00&lt;/min&gt;&lt;/sell&gt;&lt;/type&gt;&lt;type id="12267"&gt;&lt;buy&gt;&lt;volume&gt;107&lt;/volume&gt;&lt;avg&gt;2171616.82&lt;/avg&gt;&lt;stddev&gt;424195.36&lt;/stddev&gt;&lt;median&gt;2296000.00&lt;/median&gt;&lt;percentile&gt;2691000.00&lt;/percentile&gt;&lt;max&gt;2691000.00&lt;/max&gt;&lt;min&gt;1750000.00&lt;/min&gt;&lt;/buy&gt;&lt;sell&gt;&lt;volume&gt;1988&lt;/volume&gt;&lt;avg&gt;3463684.10&lt;/avg&gt;&lt;stddev&gt;1055239.55&lt;/stddev&gt;&lt;median&gt;3250000.00&lt;/median&gt;&lt;percentile&gt;3125587.50&lt;/percentile&gt;&lt;max&gt;9988000.00&lt;/max&gt;&lt;min&gt;3125000.00&lt;/min&gt;&lt;/sell&gt;&lt;/type&gt;&lt;type id="13003"&gt;&lt;buy&gt;&lt;volume&gt;932&lt;/volume&gt;&lt;avg&gt;872708.05&lt;/avg&gt;&lt;stddev&gt;161916.99&lt;/stddev&gt;&lt;median&gt;770300.00&lt;/median&gt;&lt;percentile&gt;1175000.00&lt;/percentile&gt;&lt;max&gt;1175000.00&lt;/max&gt;&lt;min&gt;506700.00&lt;/min&gt;&lt;/buy&gt;&lt;sell&gt;&lt;volume&gt;3544&lt;/volume&gt;&lt;avg&gt;1437860.61&lt;/avg&gt;&lt;stddev&gt;205530.89&lt;/stddev&gt;&lt;median&gt;1404000.00&lt;/median&gt;&lt;percentile&gt;1245847.37&lt;/percentile&gt;&lt;max&gt;1999000.00&lt;/max&gt;&lt;min&gt;1237000.00&lt;/min&gt;&lt;/sell&gt;&lt;/type&gt;&lt;type id="13001"&gt;&lt;buy&gt;&lt;volume&gt;495&lt;/volume&gt;&lt;avg&gt;1303383.84&lt;/avg&gt;&lt;stddev&gt;382025.59&lt;/stddev&gt;&lt;median&gt;1382000.00&lt;/median&gt;&lt;percentile&gt;1760000.00&lt;/percentile&gt;&lt;max&gt;1760000.00&lt;/max&gt;&lt;min&gt;500000.00&lt;/min&gt;&lt;/buy&gt;&lt;sell&gt;&lt;volume&gt;1711&lt;/volume&gt;&lt;avg&gt;2357759.79&lt;/avg&gt;&lt;stddev&gt;445042.28&lt;/stddev&gt;&lt;median&gt;2499000.00&lt;/median&gt;&lt;percentile&gt;1877000.00&lt;/percentile&gt;&lt;max&gt;3200000.00&lt;/max&gt;&lt;min&gt;1877000.00&lt;/min&gt;&lt;/sell&gt;&lt;/type&gt;&lt;type id="1541"&gt;&lt;buy&gt;&lt;volume&gt;1730&lt;/volume&gt;&lt;avg&gt;490385.84&lt;/avg&gt;&lt;stddev&gt;220197.67&lt;/stddev&gt;&lt;median&gt;593000.00&lt;/median&gt;&lt;percentile&gt;593200.00&lt;/percentile&gt;&lt;max&gt;593200.00&lt;/max&gt;&lt;min&gt;150000.00&lt;/min&gt;&lt;/buy&gt;&lt;sell&gt;&lt;volume&gt;2894&lt;/volume&gt;&lt;avg&gt;684232.24&lt;/avg&gt;&lt;stddev&gt;141598.72&lt;/stddev&gt;&lt;median&gt;645350.00&lt;/median&gt;&lt;percentile&gt;645088.24&lt;/percentile&gt;&lt;max&gt;1000000.00&lt;/max&gt;&lt;min&gt;645000.00&lt;/min&gt;&lt;/sell&gt;&lt;/type&gt;&lt;type id="31952"&gt;&lt;buy&gt;&lt;volume&gt;20&lt;/volume&gt;&lt;avg&gt;22910000.00&lt;/avg&gt;&lt;stddev&gt;314695.62&lt;/stddev&gt;&lt;median&gt;22780000.00&lt;/median&gt;&lt;percentile&gt;23320000.00&lt;/percentile&gt;&lt;max&gt;23320000.00&lt;/max&gt;&lt;min&gt;22770000.00&lt;/min&gt;&lt;/buy&gt;&lt;sell&gt;&lt;volume&gt;198&lt;/volume&gt;&lt;avg&gt;32082323.23&lt;/avg&gt;&lt;stddev&gt;6225787.50&lt;/stddev&gt;&lt;median&gt;29185000.00&lt;/median&gt;&lt;percentile&gt;28466666.67&lt;/percentile&gt;&lt;max&gt;50740000.00&lt;/max&gt;&lt;min&gt;28460000.00&lt;/min&gt;&lt;/sell&gt;&lt;/type&gt;&lt;type id="1355"&gt;&lt;buy&gt;&lt;volume&gt;2608&lt;/volume&gt;&lt;avg&gt;523052.34&lt;/avg&gt;&lt;stddev&gt;143430.74&lt;/stddev&gt;&lt;median&gt;585400.00&lt;/median&gt;&lt;percentile&gt;590650.00&lt;/percentile&gt;&lt;max&gt;590700.00&lt;/max&gt;&lt;min&gt;150000.00&lt;/min&gt;&lt;/buy&gt;&lt;sell&gt;&lt;volume&gt;1635&lt;/volume&gt;&lt;avg&gt;797647.95&lt;/avg&gt;&lt;stddev&gt;42099.86&lt;/stddev&gt;&lt;median&gt;802250.00&lt;/median&gt;&lt;percentile&gt;740700.00&lt;/percentile&gt;&lt;max&gt;852600.00&lt;/max&gt;&lt;min&gt;740700.00&lt;/min&gt;&lt;/sell&gt;&lt;/type&gt;&lt;type id="25861"&gt;&lt;buy&gt;&lt;volume&gt;7763&lt;/volume&gt;&lt;avg&gt;23135.46&lt;/avg&gt;&lt;stddev&gt;12414.99&lt;/stddev&gt;&lt;median&gt;12560.00&lt;/median&gt;&lt;percentile&gt;43290.00&lt;/percentile&gt;&lt;max&gt;43290.00&lt;/max&gt;&lt;min&gt;10000.00&lt;/min&gt;&lt;/buy&gt;&lt;sell&gt;&lt;volume&gt;12309&lt;/volume&gt;&lt;avg&gt;76747.46&lt;/avg&gt;&lt;stddev&gt;18272.68&lt;/stddev&gt;&lt;median&gt;69890.00&lt;/median&gt;&lt;percentile&gt;69290.00&lt;/percentile&gt;&lt;max&gt;138000.00&lt;/max&gt;&lt;min&gt;69290.00&lt;/min&gt;&lt;/sell&gt;&lt;/type&gt;&lt;type id="30836"&gt;&lt;buy&gt;&lt;volume&gt;316&lt;/volume&gt;&lt;avg&gt;796437.97&lt;/avg&gt;&lt;stddev&gt;106630.76&lt;/stddev&gt;&lt;median&gt;795850.00&lt;/median&gt;&lt;percentile&gt;858200.00&lt;/percentile&gt;&lt;max&gt;858200.00&lt;/max&gt;&lt;min&gt;602900.00&lt;/min&gt;&lt;/buy&gt;&lt;sell&gt;&lt;volume&gt;4903&lt;/volume&gt;&lt;avg&gt;1051442.95&lt;/avg&gt;&lt;stddev&gt;60687.59&lt;/stddev&gt;&lt;median&gt;1084000.00&lt;/median&gt;&lt;percentile&gt;969197.94&lt;/percentile&gt;&lt;max&gt;1200000.00&lt;/max&gt;&lt;min&gt;969100.00&lt;/min&gt;&lt;/sell&gt;&lt;/type&gt;&lt;type id="4403"&gt;&lt;buy&gt;&lt;volume&gt;2905&lt;/volume&gt;&lt;avg&gt;735261.58&lt;/avg&gt;&lt;stddev&gt;32385.03&lt;/stddev&gt;&lt;median&gt;743450.00&lt;/median&gt;&lt;percentile&gt;745800.00&lt;/percentile&gt;&lt;max&gt;745800.00&lt;/max&gt;&lt;min&gt;641700.00&lt;/min&gt;&lt;/buy&gt;&lt;sell&gt;&lt;volume&gt;8649&lt;/volume&gt;&lt;avg&gt;1107985.66&lt;/avg&gt;&lt;stddev&gt;234145.34&lt;/stddev&gt;&lt;median&gt;1117000.00&lt;/median&gt;&lt;percentile&gt;841731.66&lt;/percentile&gt;&lt;max&gt;1999000.00&lt;/max&gt;&lt;min&gt;839000.00&lt;/min&gt;&lt;/sell&gt;&lt;/type&gt;&lt;type id="20353"&gt;&lt;buy&gt;&lt;volume&gt;731&lt;/volume&gt;&lt;avg&gt;4451979.48&lt;/avg&gt;&lt;stddev&gt;1076098.87&lt;/stddev&gt;&lt;median&gt;4831000.00&lt;/median&gt;&lt;percentile&gt;4863596.90&lt;/percentile&gt;&lt;max&gt;5001000.00&lt;/max&gt;&lt;min&gt;1556000.00&lt;/min&gt;&lt;/buy&gt;&lt;sell&gt;&lt;volume&gt;299&lt;/volume&gt;&lt;avg&gt;6478979.93&lt;/avg&gt;&lt;stddev&gt;775761.01&lt;/stddev&gt;&lt;median&gt;6079000.00&lt;/median&gt;&lt;percentile&gt;6068000.00&lt;/percentile&gt;&lt;max&gt;8308000.00&lt;/max&gt;&lt;min&gt;6068000.00&lt;/min&gt;&lt;/sell&gt;&lt;/type&gt;&lt;type id="31900"&gt;&lt;buy&gt;&lt;volume&gt;140&lt;/volume&gt;&lt;avg&gt;26389785.71&lt;/avg&gt;&lt;stddev&gt;5915365.58&lt;/stddev&gt;&lt;median&gt;28550000.00&lt;/median&gt;&lt;percentile&gt;28552264.15&lt;/percentile&gt;&lt;max&gt;28590000.00&lt;/max&gt;&lt;min&gt;17000000.00&lt;/min&gt;&lt;/buy&gt;&lt;sell&gt;&lt;volume&gt;1800&lt;/volume&gt;&lt;avg&gt;34884138.89&lt;/avg&gt;&lt;stddev&gt;2106091.14&lt;/stddev&gt;&lt;median&gt;35300000.00&lt;/median&gt;&lt;percentile&gt;31734375.00&lt;/percentile&gt;&lt;max&gt;40500000.00&lt;/max&gt;&lt;min&gt;31700000.00&lt;/min&gt;&lt;/sell&gt;&lt;/type&gt;&lt;type id="20351"&gt;&lt;buy&gt;&lt;volume&gt;644&lt;/volume&gt;&lt;avg&gt;215631.37&lt;/avg&gt;&lt;stddev&gt;29274.66&lt;/stddev&gt;&lt;median&gt;218500.00&lt;/median&gt;&lt;percentile&gt;224333.33&lt;/percentile&gt;&lt;max&gt;224500.00&lt;/max&gt;&lt;min&gt;153400.00&lt;/min&gt;&lt;/buy&gt;&lt;sell&gt;&lt;volume&gt;1678&lt;/volume&gt;&lt;avg&gt;2801615.61&lt;/avg&gt;&lt;stddev&gt;290874.92&lt;/stddev&gt;&lt;median&gt;2783000.00&lt;/median&gt;&lt;percentile&gt;2779000.00&lt;/percentile&gt;&lt;max&gt;3675000.00&lt;/max&gt;&lt;min&gt;2779000.00&lt;/min&gt;&lt;/sell&gt;&lt;/type&gt;&lt;type id="33101"&gt;&lt;buy&gt;&lt;volume&gt;2376&lt;/volume&gt;&lt;avg&gt;388467.17&lt;/avg&gt;&lt;stddev&gt;67254.35&lt;/stddev&gt;&lt;median&gt;409000.00&lt;/median&gt;&lt;percentile&gt;469342.03&lt;/percentile&gt;&lt;max&gt;469400.00&lt;/max&gt;&lt;min&gt;200000.00&lt;/min&gt;&lt;/buy&gt;&lt;sell&gt;&lt;volume&gt;2186&lt;/volume&gt;&lt;avg&gt;908663.86&lt;/avg&gt;&lt;stddev&gt;615466.70&lt;/stddev&gt;&lt;median&gt;805000.00&lt;/median&gt;&lt;percentile&gt;663467.57&lt;/percentile&gt;&lt;max&gt;2751000.00&lt;/max&gt;&lt;min&gt;663100.00&lt;/min&gt;&lt;/sell&gt;&lt;/type&gt;&lt;type id="3530"&gt;&lt;buy&gt;&lt;volume&gt;120&lt;/volume&gt;&lt;avg&gt;1152666.67&lt;/avg&gt;&lt;stddev&gt;73539.11&lt;/stddev&gt;&lt;median&gt;1118000.00&lt;/median&gt;&lt;percentile&gt;1170000.00&lt;/percentile&gt;&lt;max&gt;1170000.00&lt;/max&gt;&lt;min&gt;1066000.00&lt;/min&gt;&lt;/buy&gt;&lt;sell&gt;&lt;volume&gt;1910&lt;/volume&gt;&lt;avg&gt;1747736.13&lt;/avg&gt;&lt;stddev&gt;236173.06&lt;/stddev&gt;&lt;median&gt;1999000.00&lt;/median&gt;&lt;percentile&gt;1283714.29&lt;/percentile&gt;&lt;max&gt;1999000.00&lt;/max&gt;&lt;min&gt;1283000.00&lt;/min&gt;&lt;/sell&gt;&lt;/type&gt;&lt;type id="33076"&gt;&lt;buy&gt;&lt;volume&gt;112200&lt;/volume&gt;&lt;avg&gt;3581.78&lt;/avg&gt;&lt;stddev&gt;6797.15&lt;/stddev&gt;&lt;median&gt;2302.00&lt;/median&gt;&lt;percentile&gt;14071.80&lt;/percentile&gt;&lt;max&gt;14080.00&lt;/max&gt;&lt;min&gt;2302.00&lt;/min&gt;&lt;/buy&gt;&lt;sell&gt;&lt;volume&gt;12925&lt;/volume&gt;&lt;avg&gt;30325.17&lt;/avg&gt;&lt;stddev&gt;36212.91&lt;/stddev&gt;&lt;median&gt;19955.00&lt;/median&gt;&lt;percentile&gt;17360.00&lt;/percentile&gt;&lt;max&gt;183300.00&lt;/max&gt;&lt;min&gt;17360.00&lt;/min&gt;&lt;/sell&gt;&lt;/type&gt;&lt;type id="1306"&gt;&lt;buy&gt;&lt;volume&gt;3036&lt;/volume&gt;&lt;avg&gt;281703.92&lt;/avg&gt;&lt;stddev&gt;31724.31&lt;/stddev&gt;&lt;median&gt;287300.00&lt;/median&gt;&lt;percentile&gt;290350.00&lt;/percentile&gt;&lt;max&gt;290400.00&lt;/max&gt;&lt;min&gt;150200.00&lt;/min&gt;&lt;/buy&gt;&lt;sell&gt;&lt;volume&gt;2383&lt;/volume&gt;&lt;avg&gt;478949.48&lt;/avg&gt;&lt;stddev&gt;46683.37&lt;/stddev&gt;&lt;median&gt;480800.00&lt;/median&gt;&lt;percentile&gt;459964.71&lt;/percentile&gt;&lt;max&gt;680800.00&lt;/max&gt;&lt;min&gt;455000.00&lt;/min&gt;&lt;/sell&gt;&lt;/type&gt;&lt;type id="2046"&gt;&lt;buy&gt;&lt;volume&gt;26310&lt;/volume&gt;&lt;avg&gt;6824.39&lt;/avg&gt;&lt;stddev&gt;1235.28&lt;/stddev&gt;&lt;median&gt;6648.00&lt;/median&gt;&lt;percentile&gt;7081.19&lt;/percentile&gt;&lt;max&gt;7151.00&lt;/max&gt;&lt;min&gt;3000.00&lt;/min&gt;&lt;/buy&gt;&lt;sell&gt;&lt;volume&gt;54259&lt;/volume&gt;&lt;avg&gt;30081.06&lt;/avg&gt;&lt;stddev&gt;10311.39&lt;/stddev&gt;&lt;median&gt;37970.00&lt;/median&gt;&lt;percentile&gt;9986.08&lt;/percentile&gt;&lt;max&gt;47630.00&lt;/max&gt;&lt;min&gt;9699.00&lt;/min&gt;&lt;/sell&gt;&lt;/type&gt;&lt;type id="47255"&gt;&lt;buy&gt;&lt;volume&gt;12330&lt;/volume&gt;&lt;avg&gt;51046.74&lt;/avg&gt;&lt;stddev&gt;2685.81&lt;/stddev&gt;&lt;median&gt;51340.00&lt;/median&gt;&lt;percentile&gt;51380.00&lt;/percentile&gt;&lt;max&gt;51380.00&lt;/max&gt;&lt;min&gt;44750.00&lt;/min&gt;&lt;/buy&gt;&lt;sell&gt;&lt;volume&gt;5703&lt;/volume&gt;&lt;avg&gt;84579.43&lt;/avg&gt;&lt;stddev&gt;23535.60&lt;/stddev&gt;&lt;median&gt;81245.00&lt;/median&gt;&lt;percentile&gt;80573.76&lt;/percentile&gt;&lt;max&gt;212000.00&lt;/max&gt;&lt;min&gt;79800.00&lt;/min&gt;&lt;/sell&gt;&lt;/type&gt;&lt;type id="5839"&gt;&lt;buy&gt;&lt;volume&gt;1576&lt;/volume&gt;&lt;avg&gt;1595540.93&lt;/avg&gt;&lt;stddev&gt;560599.73&lt;/stddev&gt;&lt;median&gt;1812000.00&lt;/median&gt;&lt;percentile&gt;1819400.00&lt;/percentile&gt;&lt;max&gt;1820000.00&lt;/max&gt;&lt;min&gt;601100.00&lt;/min&gt;&lt;/buy&gt;&lt;sell&gt;&lt;volume&gt;5125&lt;/volume&gt;&lt;avg&gt;2210518.05&lt;/avg&gt;&lt;stddev&gt;203303.97&lt;/stddev&gt;&lt;median&gt;2177000.00&lt;/median&gt;&lt;percentile&gt;2043189.29&lt;/percentile&gt;&lt;max&gt;3251000.00&lt;/max&gt;&lt;min&gt;2040000.00&lt;/min&gt;&lt;/sell&gt;&lt;/type&gt;&lt;type id="47257"&gt;&lt;buy&gt;&lt;volume&gt;1343&lt;/volume&gt;&lt;avg&gt;467188.24&lt;/avg&gt;&lt;stddev&gt;58156.03&lt;/stddev&gt;&lt;median&gt;486600.00&lt;/median&gt;&lt;percentile&gt;510200.00&lt;/percentile&gt;&lt;max&gt;510200.00&lt;/max&gt;&lt;min&gt;386600.00&lt;/min&gt;&lt;/buy&gt;&lt;sell&gt;&lt;volume&gt;4051&lt;/volume&gt;&lt;avg&gt;653486.92&lt;/avg&gt;&lt;stddev&gt;267562.20&lt;/stddev&gt;&lt;median&gt;582700.00&lt;/median&gt;&lt;percentile&gt;573400.00&lt;/percentile&gt;&lt;max&gt;1750000.00&lt;/max&gt;&lt;min&gt;573400.00&lt;/min&gt;&lt;/sell&gt;&lt;/type&gt;&lt;type id="2048"&gt;&lt;buy&gt;&lt;volume&gt;8090&lt;/volume&gt;&lt;avg&gt;388777.76&lt;/avg&gt;&lt;stddev&gt;91863.00&lt;/stddev&gt;&lt;median&gt;400000.00&lt;/median&gt;&lt;percentile&gt;412525.00&lt;/percentile&gt;&lt;max&gt;413000.00&lt;/max&gt;&lt;min&gt;200000.00&lt;/min&gt;&lt;/buy&gt;&lt;sell&gt;&lt;volume&gt;5028&lt;/volume&gt;&lt;avg&gt;471721.16&lt;/avg&gt;&lt;stddev&gt;283335.88&lt;/stddev&gt;&lt;median&gt;466000.00&lt;/median&gt;&lt;percentile&gt;455000.00&lt;/percentile&gt;&lt;max&gt;1829000.00&lt;/max&gt;&lt;min&gt;455000.00&lt;/min&gt;&lt;/sell&gt;&lt;/type&gt;&lt;type id="11269"&gt;&lt;buy&gt;&lt;volume&gt;3685&lt;/volume&gt;&lt;avg&gt;695479.65&lt;/avg&gt;&lt;stddev&gt;170147.27&lt;/stddev&gt;&lt;median&gt;754050.00&lt;/median&gt;&lt;percentile&gt;758900.00&lt;/percentile&gt;&lt;max&gt;758900.00&lt;/max&gt;&lt;min&gt;240600.00&lt;/min&gt;&lt;/buy&gt;&lt;sell&gt;&lt;volume&gt;10297&lt;/volume&gt;&lt;avg&gt;886009.00&lt;/avg&gt;&lt;stddev&gt;41542.59&lt;/stddev&gt;&lt;median&gt;877000.00&lt;/median&gt;&lt;percentile&gt;873690.91&lt;/percentile&gt;&lt;max&gt;1100000.00&lt;/max&gt;&lt;min&gt;873600.00&lt;/min&gt;&lt;/sell&gt;&lt;/type&gt;&lt;type id="15729"&gt;&lt;buy&gt;&lt;volume&gt;91&lt;/volume&gt;&lt;avg&gt;22488351.65&lt;/avg&gt;&lt;stddev&gt;412627.08&lt;/stddev&gt;&lt;median&gt;22600000.00&lt;/median&gt;&lt;percentile&gt;22660000.00&lt;/percentile&gt;&lt;max&gt;22660000.00&lt;/max&gt;&lt;min&gt;21370000.00&lt;/min&gt;&lt;/buy&gt;&lt;sell&gt;&lt;volume&gt;612&lt;/volume&gt;&lt;avg&gt;26695179.74&lt;/avg&gt;&lt;stddev&gt;1977807.41&lt;/stddev&gt;&lt;median&gt;26840000.00&lt;/median&gt;&lt;percentile&gt;24859772.73&lt;/percentile&gt;&lt;max&gt;34220000.00&lt;/max&gt;&lt;min&gt;24820000.00&lt;/min&gt;&lt;/sell&gt;&lt;/type&gt;&lt;type id="1319"&gt;&lt;buy&gt;&lt;volume&gt;4160&lt;/volume&gt;&lt;avg&gt;348102.69&lt;/avg&gt;&lt;stddev&gt;39971.04&lt;/stddev&gt;&lt;median&gt;357200.00&lt;/median&gt;&lt;percentile&gt;358800.00&lt;/percentile&gt;&lt;max&gt;358800.00&lt;/max&gt;&lt;min&gt;227000.00&lt;/min&gt;&lt;/buy&gt;&lt;sell&gt;&lt;volume&gt;7140&lt;/volume&gt;&lt;avg&gt;406461.08&lt;/avg&gt;&lt;stddev&gt;72384.34&lt;/stddev&gt;&lt;median&gt;404350.00&lt;/median&gt;&lt;percentile&gt;400500.00&lt;/percentile&gt;&lt;max&gt;797800.00&lt;/max&gt;&lt;min&gt;400500.00&lt;/min&gt;&lt;/sell&gt;&lt;/type&gt;&lt;type id="2605"&gt;&lt;buy&gt;&lt;volume&gt;13860&lt;/volume&gt;&lt;avg&gt;293521.91&lt;/avg&gt;&lt;stddev&gt;34777.47&lt;/stddev&gt;&lt;median&gt;297600.00&lt;/median&gt;&lt;percentile&gt;326183.22&lt;/percentile&gt;&lt;max&gt;326400.00&lt;/max&gt;&lt;min&gt;187600.00&lt;/min&gt;&lt;/buy&gt;&lt;sell&gt;&lt;volume&gt;5813&lt;/volume&gt;&lt;avg&gt;512935.18&lt;/avg&gt;&lt;stddev&gt;89389.45&lt;/stddev&gt;&lt;median&gt;474100.00&lt;/median&gt;&lt;percentile&gt;416400.00&lt;/percentile&gt;&lt;max&gt;850000.00&lt;/max&gt;&lt;min&gt;416400.00&lt;/min&gt;&lt;/sell&gt;&lt;/type&gt;&lt;type id="1335"&gt;&lt;buy&gt;&lt;volume&gt;770&lt;/volume&gt;&lt;avg&gt;302422.08&lt;/avg&gt;&lt;stddev&gt;11812.07&lt;/stddev&gt;&lt;median&gt;307500.00&lt;/median&gt;&lt;percentile&gt;307500.00&lt;/percentile&gt;&lt;max&gt;307500.00&lt;/max&gt;&lt;min&gt;279700.00&lt;/min&gt;&lt;/buy&gt;&lt;sell&gt;&lt;volume&gt;19860&lt;/volume&gt;&lt;avg&gt;510861.52&lt;/avg&gt;&lt;stddev&gt;70336.65&lt;/stddev&gt;&lt;median&gt;361100.00&lt;/median&gt;&lt;percentile&gt;335256.87&lt;/percentile&gt;&lt;max&gt;779000.00&lt;/max&gt;&lt;min&gt;307800.00&lt;/min&gt;&lt;/sell&gt;&lt;/type&gt;&lt;type id="5955"&gt;&lt;buy&gt;&lt;volume&gt;20000&lt;/volume&gt;&lt;avg&gt;140400.00&lt;/avg&gt;&lt;stddev&gt;0.00&lt;/stddev&gt;&lt;median&gt;140400.00&lt;/median&gt;&lt;percentile&gt;140400.00&lt;/percentile&gt;&lt;max&gt;140400.00&lt;/max&gt;&lt;min&gt;140400.00&lt;/min&gt;&lt;/buy&gt;&lt;sell&gt;&lt;volume&gt;1533&lt;/volume&gt;&lt;avg&gt;175057.34&lt;/avg&gt;&lt;stddev&gt;5190.36&lt;/stddev&gt;&lt;median&gt;174000.00&lt;/median&gt;&lt;percentile&gt;172255.50&lt;/percentile&gt;&lt;max&gt;187700.00&lt;/max&gt;&lt;min&gt;171900.00&lt;/min&gt;&lt;/sell&gt;&lt;/type&gt;&lt;type id="35657"&gt;&lt;buy&gt;&lt;volume&gt;25385&lt;/volume&gt;&lt;avg&gt;134788.56&lt;/avg&gt;&lt;stddev&gt;2648.79&lt;/stddev&gt;&lt;median&gt;134800.00&lt;/median&gt;&lt;percentile&gt;135060.04&lt;/percentile&gt;&lt;max&gt;135300.00&lt;/max&gt;&lt;min&gt;126900.00&lt;/min&gt;&lt;/buy&gt;&lt;sell&gt;&lt;volume&gt;4937&lt;/volume&gt;&lt;avg&gt;219199.27&lt;/avg&gt;&lt;stddev&gt;23998.20&lt;/stddev&gt;&lt;median&gt;249900.00&lt;/median&gt;&lt;percentile&gt;164361.85&lt;/percentile&gt;&lt;max&gt;250100.00&lt;/max&gt;&lt;min&gt;163000.00&lt;/min&gt;&lt;/sell&gt;&lt;/type&gt;&lt;type id="6005"&gt;&lt;buy&gt;&lt;volume&gt;15120&lt;/volume&gt;&lt;avg&gt;1849.64&lt;/avg&gt;&lt;stddev&gt;794.22&lt;/stddev&gt;&lt;median&gt;998.30&lt;/median&gt;&lt;percentile&gt;3682.23&lt;/percentile&gt;&lt;max&gt;4000.00&lt;/max&gt;&lt;min&gt;998.30&lt;/min&gt;&lt;/buy&gt;&lt;sell&gt;&lt;volume&gt;28200&lt;/volume&gt;&lt;avg&gt;39477.95&lt;/avg&gt;&lt;stddev&gt;7154.06&lt;/stddev&gt;&lt;median&gt;49990.00&lt;/median&gt;&lt;percentile&gt;15647.90&lt;/percentile&gt;&lt;max&gt;49990.00&lt;/max&gt;&lt;min&gt;14950.00&lt;/min&gt;&lt;/sell&gt;&lt;/type&gt;&lt;type id="35656"&gt;&lt;buy&gt;&lt;volume&gt;28003&lt;/volume&gt;&lt;avg&gt;10204.63&lt;/avg&gt;&lt;stddev&gt;2303.32&lt;/stddev&gt;&lt;median&gt;9027.00&lt;/median&gt;&lt;percentile&gt;13900.00&lt;/percentile&gt;&lt;max&gt;13900.00&lt;/max&gt;&lt;min&gt;8650.00&lt;/min&gt;&lt;/buy&gt;&lt;sell&gt;&lt;volume&gt;15950&lt;/volume&gt;&lt;avg&gt;29190.09&lt;/avg&gt;&lt;stddev&gt;12799.61&lt;/stddev&gt;&lt;median&gt;19770.00&lt;/median&gt;&lt;percentile&gt;19658.47&lt;/percentile&gt;&lt;max&gt;74950.00&lt;/max&gt;&lt;min&gt;19650.00&lt;/min&gt;&lt;/sell&gt;&lt;/type&gt;&lt;type id="6001"&gt;&lt;buy&gt;&lt;volume&gt;34976&lt;/volume&gt;&lt;avg&gt;31390.86&lt;/avg&gt;&lt;stddev&gt;6401.12&lt;/stddev&gt;&lt;median&gt;36075.00&lt;/median&gt;&lt;percentile&gt;36767.35&lt;/percentile&gt;&lt;max&gt;37020.00&lt;/max&gt;&lt;min&gt;21020.00&lt;/min&gt;&lt;/buy&gt;&lt;sell&gt;&lt;volume&gt;13522&lt;/volume&gt;&lt;avg&gt;56690.22&lt;/avg&gt;&lt;stddev&gt;23081.04&lt;/stddev&gt;&lt;median&gt;51955.00&lt;/median&gt;&lt;percentile&gt;48911.50&lt;/percentile&gt;&lt;max&gt;166400.00&lt;/max&gt;&lt;min&gt;48800.00&lt;/min&gt;&lt;/sell&gt;&lt;/type&gt;&lt;type id="12068"&gt;&lt;buy&gt;&lt;volume&gt;566&lt;/volume&gt;&lt;avg&gt;3140053.00&lt;/avg&gt;&lt;stddev&gt;473285.71&lt;/stddev&gt;&lt;median&gt;3338000.00&lt;/median&gt;&lt;percentile&gt;3361000.00&lt;/percentile&gt;&lt;max&gt;3361000.00&lt;/max&gt;&lt;min&gt;2133000.00&lt;/min&gt;&lt;/buy&gt;&lt;sell&gt;&lt;volume&gt;2504&lt;/volume&gt;&lt;avg&gt;3790894.57&lt;/avg&gt;&lt;stddev&gt;141521.00&lt;/stddev&gt;&lt;median&gt;3768000.00&lt;/median&gt;&lt;percentile&gt;3691573.09&lt;/percentile&gt;&lt;max&gt;4164000.00&lt;/max&gt;&lt;min&gt;3687000.00&lt;/min&gt;&lt;/sell&gt;&lt;/type&gt;&lt;type id="12058"&gt;&lt;buy&gt;&lt;volume&gt;241&lt;/volume&gt;&lt;avg&gt;2355410.79&lt;/avg&gt;&lt;stddev&gt;320977.10&lt;/stddev&gt;&lt;median&gt;2486000.00&lt;/median&gt;&lt;percentile&gt;2488000.00&lt;/percentile&gt;&lt;max&gt;2488000.00&lt;/max&gt;&lt;min&gt;1846000.00&lt;/min&gt;&lt;/buy&gt;&lt;sell&gt;&lt;volume&gt;5882&lt;/volume&gt;&lt;avg&gt;3015473.14&lt;/avg&gt;&lt;stddev&gt;623894.09&lt;/stddev&gt;&lt;median&gt;2845000.00&lt;/median&gt;&lt;percentile&gt;2679000.00&lt;/percentile&gt;&lt;max&gt;5000000.00&lt;/max&gt;&lt;min&gt;2679000.00&lt;/min&gt;&lt;/sell&gt;&lt;/type&gt;&lt;type id="438"&gt;&lt;buy&gt;&lt;volume&gt;749&lt;/volume&gt;&lt;avg&gt;1508930.57&lt;/avg&gt;&lt;stddev&gt;201414.95&lt;/stddev&gt;&lt;median&gt;1489000.00&lt;/median&gt;&lt;percentile&gt;1960000.00&lt;/percentile&gt;&lt;max&gt;1960000.00&lt;/max&gt;&lt;min&gt;1003000.00&lt;/min&gt;&lt;/buy&gt;&lt;sell&gt;&lt;volume&gt;1612&lt;/volume&gt;&lt;avg&gt;2248681.14&lt;/avg&gt;&lt;stddev&gt;118764.07&lt;/stddev&gt;&lt;median&gt;2240000.00&lt;/median&gt;&lt;percentile&gt;2147000.00&lt;/percentile&gt;&lt;max&gt;2506000.00&lt;/max&gt;&lt;min&gt;2147000.00&lt;/min&gt;&lt;/sell&gt;&lt;/type&gt;&lt;type id="15766"&gt;&lt;buy&gt;&lt;volume&gt;92&lt;/volume&gt;&lt;avg&gt;26273152.17&lt;/avg&gt;&lt;stddev&gt;450398.68&lt;/stddev&gt;&lt;median&gt;26310000.00&lt;/median&gt;&lt;percentile&gt;26480000.00&lt;/percentile&gt;&lt;max&gt;26480000.00&lt;/max&gt;&lt;min&gt;24770000.00&lt;/min&gt;&lt;/buy&gt;&lt;sell&gt;&lt;volume&gt;316&lt;/volume&gt;&lt;avg&gt;32978259.49&lt;/avg&gt;&lt;stddev&gt;1350508.25&lt;/stddev&gt;&lt;median&gt;32760000.00&lt;/median&gt;&lt;percentile&gt;31163529.41&lt;/percentile&gt;&lt;max&gt;34900000.00&lt;/max&gt;&lt;min&gt;31160000.00&lt;/min&gt;&lt;/sell&gt;&lt;/type&gt;&lt;type id="4383"&gt;&lt;buy&gt;&lt;volume&gt;1108&lt;/volume&gt;&lt;avg&gt;2209264.44&lt;/avg&gt;&lt;stddev&gt;374709.51&lt;/stddev&gt;&lt;median&gt;2171500.00&lt;/median&gt;&lt;percentile&gt;2488375.00&lt;/percentile&gt;&lt;max&gt;2489000.00&lt;/max&gt;&lt;min&gt;1000000.00&lt;/min&gt;&lt;/buy&gt;&lt;sell&gt;&lt;volume&gt;1114&lt;/volume&gt;&lt;avg&gt;3545796.23&lt;/avg&gt;&lt;stddev&gt;506119.49&lt;/stddev&gt;&lt;median&gt;3436000.00&lt;/median&gt;&lt;percentile&gt;3080900.90&lt;/percentile&gt;&lt;max&gt;4900000.00&lt;/max&gt;&lt;min&gt;3080000.00&lt;/min&gt;&lt;/sell&gt;&lt;/type&gt;&lt;type id="33915"&gt;&lt;buy&gt;&lt;volume&gt;385&lt;/volume&gt;&lt;avg&gt;387146.75&lt;/avg&gt;&lt;stddev&gt;62325.73&lt;/stddev&gt;&lt;median&gt;390050.00&lt;/median&gt;&lt;percentile&gt;393400.00&lt;/percentile&gt;&lt;max&gt;393400.00&lt;/max&gt;&lt;min&gt;235900.00&lt;/min&gt;&lt;/buy&gt;&lt;sell&gt;&lt;volume&gt;3567&lt;/volume&gt;&lt;avg&gt;828326.44&lt;/avg&gt;&lt;stddev&gt;161826.49&lt;/stddev&gt;&lt;median&gt;950000.00&lt;/median&gt;&lt;percentile&gt;520178.24&lt;/percentile&gt;&lt;max&gt;970000.00&lt;/max&gt;&lt;min&gt;519900.00&lt;/min&gt;&lt;/sell&gt;&lt;/type&gt;&lt;type id="5975"&gt;&lt;buy&gt;&lt;volume&gt;42300&lt;/volume&gt;&lt;avg&gt;9938.26&lt;/avg&gt;&lt;stddev&gt;1617.87&lt;/stddev&gt;&lt;median&gt;9000.00&lt;/median&gt;&lt;percentile&gt;12512.73&lt;/percentile&gt;&lt;max&gt;12640.00&lt;/max&gt;&lt;min&gt;9000.00&lt;/min&gt;&lt;/buy&gt;&lt;sell&gt;&lt;volume&gt;19742&lt;/volume&gt;&lt;avg&gt;17829.75&lt;/avg&gt;&lt;stddev&gt;14827.47&lt;/stddev&gt;&lt;median&gt;13960.00&lt;/median&gt;&lt;percentile&gt;13949.99&lt;/percentile&gt;&lt;max&gt;90000.00&lt;/max&gt;&lt;min&gt;13940.00&lt;/min&gt;&lt;/sell&gt;&lt;/type&gt;&lt;type id="35660"&gt;&lt;buy&gt;&lt;volume&gt;23878&lt;/volume&gt;&lt;avg&gt;22917.03&lt;/avg&gt;&lt;stddev&gt;7693.23&lt;/stddev&gt;&lt;median&gt;25060.00&lt;/median&gt;&lt;percentile&gt;30920.00&lt;/percentile&gt;&lt;max&gt;30930.00&lt;/max&gt;&lt;min&gt;10980.00&lt;/min&gt;&lt;/buy&gt;&lt;sell&gt;&lt;volume&gt;5889&lt;/volume&gt;&lt;avg&gt;42923.13&lt;/avg&gt;&lt;stddev&gt;2513.60&lt;/stddev&gt;&lt;median&gt;42810.00&lt;/median&gt;&lt;percentile&gt;41850.00&lt;/percentile&gt;&lt;max&gt;49990.00&lt;/max&gt;&lt;min&gt;41850.00&lt;/min&gt;&lt;/sell&gt;&lt;/type&gt;&lt;type id="35659"&gt;&lt;buy&gt;&lt;volume&gt;116001&lt;/volume&gt;&lt;avg&gt;8517.33&lt;/avg&gt;&lt;stddev&gt;8695.83&lt;/stddev&gt;&lt;median&gt;5004.00&lt;/median&gt;&lt;percentile&gt;35836.00&lt;/percentile&gt;&lt;max&gt;35930.00&lt;/max&gt;&lt;min&gt;5004.00&lt;/min&gt;&lt;/buy&gt;&lt;sell&gt;&lt;volume&gt;11099&lt;/volume&gt;&lt;avg&gt;127070.25&lt;/avg&gt;&lt;stddev&gt;379366.41&lt;/stddev&gt;&lt;median&gt;74880.00&lt;/median&gt;&lt;percentile&gt;47324.12&lt;/percentile&gt;&lt;max&gt;2776000.00&lt;/max&gt;&lt;min&gt;47280.00&lt;/min&gt;&lt;/sell&gt;&lt;/type&gt;&lt;type id="5971"&gt;&lt;buy&gt;&lt;volume&gt;31815&lt;/volume&gt;&lt;avg&gt;13253.95&lt;/avg&gt;&lt;stddev&gt;4073.89&lt;/stddev&gt;&lt;median&gt;13530.00&lt;/median&gt;&lt;percentile&gt;17435.00&lt;/percentile&gt;&lt;max&gt;17440.00&lt;/max&gt;&lt;min&gt;6000.00&lt;/min&gt;&lt;/buy&gt;&lt;sell&gt;&lt;volume&gt;12835&lt;/volume&gt;&lt;avg&gt;52492.80&lt;/avg&gt;&lt;stddev&gt;30516.67&lt;/stddev&gt;&lt;median&gt;35000.00&lt;/median&gt;&lt;percentile&gt;26723.79&lt;/percentile&gt;&lt;max&gt;126500.00&lt;/max&gt;&lt;min&gt;24400.00&lt;/min&gt;&lt;/sell&gt;&lt;/type&gt;&lt;type id="35658"&gt;&lt;buy&gt;&lt;volume&gt;10941&lt;/volume&gt;&lt;avg&gt;34111.22&lt;/avg&gt;&lt;stddev&gt;5528.31&lt;/stddev&gt;&lt;median&gt;36115.00&lt;/median&gt;&lt;percentile&gt;36140.00&lt;/percentile&gt;&lt;max&gt;36140.00&lt;/max&gt;&lt;min&gt;21000.00&lt;/min&gt;&lt;/buy&gt;&lt;sell&gt;&lt;volume&gt;9005&lt;/volume&gt;&lt;avg&gt;117103.45&lt;/avg&gt;&lt;stddev&gt;94660.74&lt;/stddev&gt;&lt;median&gt;76280.00&lt;/median&gt;&lt;percentile&gt;44970.00&lt;/percentile&gt;&lt;max&gt;340000.00&lt;/max&gt;&lt;min&gt;44970.00&lt;/min&gt;&lt;/sell&gt;&lt;/type&gt;&lt;type id="5973"&gt;&lt;buy&gt;&lt;volume&gt;7056&lt;/volume&gt;&lt;avg&gt;200071.29&lt;/avg&gt;&lt;stddev&gt;83529.93&lt;/stddev&gt;&lt;median&gt;246100.00&lt;/median&gt;&lt;percentile&gt;275100.00&lt;/percentile&gt;&lt;max&gt;275100.00&lt;/max&gt;&lt;min&gt;74020.00&lt;/min&gt;&lt;/buy&gt;&lt;sell&gt;&lt;volume&gt;5964&lt;/volume&gt;&lt;avg&gt;334714.40&lt;/avg&gt;&lt;stddev&gt;71306.05&lt;/stddev&gt;&lt;median&gt;334800.00&lt;/median&gt;&lt;percentile&gt;300823.20&lt;/percentile&gt;&lt;max&gt;920000.00&lt;/max&gt;&lt;min&gt;275100.00&lt;/min&gt;&lt;/sell&gt;&lt;/type&gt;&lt;type id="440"&gt;&lt;buy&gt;&lt;volume&gt;653&lt;/volume&gt;&lt;avg&gt;3109810.11&lt;/avg&gt;&lt;stddev&gt;963777.83&lt;/stddev&gt;&lt;median&gt;3522000.00&lt;/median&gt;&lt;percentile&gt;3954272.73&lt;/percentile&gt;&lt;max&gt;3955000.00&lt;/max&gt;&lt;min&gt;1871000.00&lt;/min&gt;&lt;/buy&gt;&lt;sell&gt;&lt;volume&gt;1334&lt;/volume&gt;&lt;avg&gt;4899751.12&lt;/avg&gt;&lt;stddev&gt;1043629.27&lt;/stddev&gt;&lt;median&gt;4477000.00&lt;/median&gt;&lt;percentile&gt;4451372.09&lt;/percentile&gt;&lt;max&gt;7996000.00&lt;/max&gt;&lt;min&gt;4451000.00&lt;/min&gt;&lt;/sell&gt;&lt;/type&gt;&lt;type id="1405"&gt;&lt;buy&gt;&lt;volume&gt;6100&lt;/volume&gt;&lt;avg&gt;402462.84&lt;/avg&gt;&lt;stddev&gt;58772.12&lt;/stddev&gt;&lt;median&gt;412400.00&lt;/median&gt;&lt;percentile&gt;414669.12&lt;/percentile&gt;&lt;max&gt;420000.00&lt;/max&gt;&lt;min&gt;200000.00&lt;/min&gt;&lt;/buy&gt;&lt;sell&gt;&lt;volume&gt;5098&lt;/volume&gt;&lt;avg&gt;524728.83&lt;/avg&gt;&lt;stddev&gt;174778.35&lt;/stddev&gt;&lt;median&gt;485000.00&lt;/median&gt;&lt;percentile&gt;463584.75&lt;/percentile&gt;&lt;max&gt;1430000.00&lt;/max&gt;&lt;min&gt;463500.00&lt;/min&gt;&lt;/sell&gt;&lt;/type&gt;&lt;type id="58919"&gt;&lt;buy&gt;&lt;volume&gt;1125&lt;/volume&gt;&lt;avg&gt;19804.22&lt;/avg&gt;&lt;stddev&gt;98.66&lt;/stddev&gt;&lt;median&gt;19810.00&lt;/median&gt;&lt;percentile&gt;19830.00&lt;/percentile&gt;&lt;max&gt;19830.00&lt;/max&gt;&lt;min&gt;19650.00&lt;/min&gt;&lt;/buy&gt;&lt;sell&gt;&lt;volume&gt;9307&lt;/volume&gt;&lt;avg&gt;69388.16&lt;/avg&gt;&lt;stddev&gt;37441.71&lt;/stddev&gt;&lt;median&gt;49525.00&lt;/median&gt;&lt;percentile&gt;47820.00&lt;/percentile&gt;&lt;max&gt;169000.00&lt;/max&gt;&lt;min&gt;47820.00&lt;/min&gt;&lt;/sell&gt;&lt;/type&gt;&lt;type id="58972"&gt;&lt;buy&gt;&lt;volume&gt;1428&lt;/volume&gt;&lt;avg&gt;879767.65&lt;/avg&gt;&lt;stddev&gt;25235.78&lt;/stddev&gt;&lt;median&gt;882350.00&lt;/median&gt;&lt;percentile&gt;902000.00&lt;/percentile&gt;&lt;max&gt;902000.00&lt;/max&gt;&lt;min&gt;830000.00&lt;/min&gt;&lt;/buy&gt;&lt;sell&gt;&lt;volume&gt;1534&lt;/volume&gt;&lt;avg&gt;1032427.05&lt;/avg&gt;&lt;stddev&gt;86143.97&lt;/stddev&gt;&lt;median&gt;999000.00&lt;/median&gt;&lt;percentile&gt;972000.00&lt;/percentile&gt;&lt;max&gt;1250000.00&lt;/max&gt;&lt;min&gt;972000.00&lt;/min&gt;&lt;/sell&gt;&lt;/type&gt;&lt;type id="1236"&gt;&lt;buy&gt;&lt;volume&gt;1595&lt;/volume&gt;&lt;avg&gt;421347.34&lt;/avg&gt;&lt;stddev&gt;163038.62&lt;/stddev&gt;&lt;median&gt;491050.00&lt;/median&gt;&lt;percentile&gt;527200.00&lt;/percentile&gt;&lt;max&gt;527200.00&lt;/max&gt;&lt;min&gt;203000.00&lt;/min&gt;&lt;/buy&gt;&lt;sell&gt;&lt;volume&gt;8386&lt;/volume&gt;&lt;avg&gt;706734.90&lt;/avg&gt;&lt;stddev&gt;144495.77&lt;/stddev&gt;&lt;median&gt;658200.00&lt;/median&gt;&lt;percentile&gt;616385.71&lt;/percentile&gt;&lt;max&gt;1596000.00&lt;/max&gt;&lt;min&gt;616300.00&lt;/min&gt;&lt;/sell&gt;&lt;/type&gt;&lt;type id="10998"&gt;&lt;buy&gt;&lt;volume&gt;10392&lt;/volume&gt;&lt;avg&gt;6058.92&lt;/avg&gt;&lt;stddev&gt;954.60&lt;/stddev&gt;&lt;median&gt;5301.00&lt;/median&gt;&lt;percentile&gt;7542.77&lt;/percentile&gt;&lt;max&gt;7544.00&lt;/max&gt;&lt;min&gt;5154.00&lt;/min&gt;&lt;/buy&gt;&lt;sell&gt;&lt;volume&gt;10574&lt;/volume&gt;&lt;avg&gt;17422.82&lt;/avg&gt;&lt;stddev&gt;3864.59&lt;/stddev&gt;&lt;median&gt;16660.00&lt;/median&gt;&lt;percentile&gt;14496.34&lt;/percentile&gt;&lt;max&gt;30000.00&lt;/max&gt;&lt;min&gt;14490.00&lt;/min&gt;&lt;/sell&gt;&lt;/type&gt;&lt;type id="11640"&gt;&lt;buy&gt;&lt;volume&gt;2659&lt;/volume&gt;&lt;avg&gt;558776.12&lt;/avg&gt;&lt;stddev&gt;96838.27&lt;/stddev&gt;&lt;median&gt;624400.00&lt;/median&gt;&lt;percentile&gt;625960.59&lt;/percentile&gt;&lt;max&gt;630000.00&lt;/max&gt;&lt;min&gt;316800.00&lt;/min&gt;&lt;/buy&gt;&lt;sell&gt;&lt;volume&gt;1532&lt;/volume&gt;&lt;avg&gt;883343.41&lt;/avg&gt;&lt;stddev&gt;105073.27&lt;/stddev&gt;&lt;median&gt;815000.00&lt;/median&gt;&lt;percentile&gt;777672.26&lt;/percentile&gt;&lt;max&gt;1129000.00&lt;/max&gt;&lt;min&gt;777300.00&lt;/min&gt;&lt;/sell&gt;&lt;/type&gt;&lt;type id="22175"&gt;&lt;buy&gt;&lt;volume&gt;15900&lt;/volume&gt;&lt;avg&gt;43186.98&lt;/avg&gt;&lt;stddev&gt;891.87&lt;/stddev&gt;&lt;median&gt;43040.00&lt;/median&gt;&lt;percentile&gt;43862.19&lt;/percentile&gt;&lt;max&gt;43870.00&lt;/max&gt;&lt;min&gt;41260.00&lt;/min&gt;&lt;/buy&gt;&lt;sell&gt;&lt;volume&gt;7230&lt;/volume&gt;&lt;avg&gt;69701.64&lt;/avg&gt;&lt;stddev&gt;8519.47&lt;/stddev&gt;&lt;median&gt;67780.00&lt;/median&gt;&lt;percentile&gt;55255.60&lt;/percentile&gt;&lt;max&gt;100000.00&lt;/max&gt;&lt;min&gt;55230.00&lt;/min&gt;&lt;/sell&gt;&lt;/type&gt;&lt;type id="17938"&gt;&lt;buy&gt;&lt;volume&gt;5000&lt;/volume&gt;&lt;avg&gt;9889.40&lt;/avg&gt;&lt;stddev&gt;31.01&lt;/stddev&gt;&lt;median&gt;9870.50&lt;/median&gt;&lt;percentile&gt;9903.00&lt;/percentile&gt;&lt;max&gt;9903.00&lt;/max&gt;&lt;min&gt;9840.00&lt;/min&gt;&lt;/buy&gt;&lt;sell&gt;&lt;volume&gt;31772&lt;/volume&gt;&lt;avg&gt;22186.94&lt;/avg&gt;&lt;stddev&gt;4731.63&lt;/stddev&gt;&lt;median&gt;20000.00&lt;/median&gt;&lt;percentile&gt;17572.67&lt;/percentile&gt;&lt;max&gt;44980.00&lt;/max&gt;&lt;min&gt;16970.00&lt;/min&gt;&lt;/sell&gt;&lt;/type&gt;&lt;type id="18639"&gt;&lt;buy&gt;&lt;volume&gt;1000&lt;/volume&gt;&lt;avg&gt;10030.00&lt;/avg&gt;&lt;stddev&gt;0.00&lt;/stddev&gt;&lt;median&gt;10030.00&lt;/median&gt;&lt;percentile&gt;10030.00&lt;/percentile&gt;&lt;max&gt;10030.00&lt;/max&gt;&lt;min&gt;10030.00&lt;/min&gt;&lt;/buy&gt;&lt;sell&gt;&lt;volume&gt;8285&lt;/volume&gt;&lt;avg&gt;29994.61&lt;/avg&gt;&lt;stddev&gt;5624.48&lt;/stddev&gt;&lt;median&gt;29990.00&lt;/median&gt;&lt;percentile&gt;25497.14&lt;/percentile&gt;&lt;max&gt;52570.00&lt;/max&gt;&lt;min&gt;25490.00&lt;/min&gt;&lt;/sell&gt;&lt;/type&gt;&lt;type id="28758"&gt;&lt;buy&gt;&lt;volume&gt;184&lt;/volume&gt;&lt;avg&gt;26514076.09&lt;/avg&gt;&lt;stddev&gt;2999383.39&lt;/stddev&gt;&lt;median&gt;27260000.00&lt;/median&gt;&lt;percentile&gt;27552500.00&lt;/percentile&gt;&lt;max&gt;27560000.00&lt;/max&gt;&lt;min&gt;15000000.00&lt;/min&gt;&lt;/buy&gt;&lt;sell&gt;&lt;volume&gt;431&lt;/volume&gt;&lt;avg&gt;33743271.46&lt;/avg&gt;&lt;stddev&gt;2516937.01&lt;/stddev&gt;&lt;median&gt;32995000.00&lt;/median&gt;&lt;percentile&gt;29997636.36&lt;/percentile&gt;&lt;max&gt;38500000.00&lt;/max&gt;&lt;min&gt;29970000.00&lt;/min&gt;&lt;/sell&gt;&lt;/type&gt;&lt;type id="28756"&gt;&lt;buy&gt;&lt;volume&gt;176&lt;/volume&gt;&lt;avg&gt;25025113.64&lt;/avg&gt;&lt;stddev&gt;1754318.48&lt;/stddev&gt;&lt;median&gt;23785000.00&lt;/median&gt;&lt;percentile&gt;27268333.33&lt;/percentile&gt;&lt;max&gt;27310000.00&lt;/max&gt;&lt;min&gt;21990000.00&lt;/min&gt;&lt;/buy&gt;&lt;sell&gt;&lt;volume&gt;523&lt;/volume&gt;&lt;avg&gt;32508661.57&lt;/avg&gt;&lt;stddev&gt;3875219.12&lt;/stddev&gt;&lt;median&gt;30000000.00&lt;/median&gt;&lt;percentile&gt;29999848.48&lt;/percentile&gt;&lt;max&gt;45010000.00&lt;/max&gt;&lt;min&gt;29990000.00&lt;/min&gt;&lt;/sell&gt;&lt;/type&gt;&lt;type id="33180"&gt;&lt;buy&gt;&lt;volume&gt;862&lt;/volume&gt;&lt;avg&gt;120948.61&lt;/avg&gt;&lt;stddev&gt;30053.10&lt;/stddev&gt;&lt;median&gt;135800.00&lt;/median&gt;&lt;percentile&gt;153100.00&lt;/percentile&gt;&lt;max&gt;153100.00&lt;/max&gt;&lt;min&gt;80540.00&lt;/min&gt;&lt;/buy&gt;&lt;sell&gt;&lt;volume&gt;7943&lt;/volume&gt;&lt;avg&gt;199829.17&lt;/avg&gt;&lt;stddev&gt;15345.39&lt;/stddev&gt;&lt;median&gt;193100.00&lt;/median&gt;&lt;percentile&gt;185455.75&lt;/percentile&gt;&lt;max&gt;235000.00&lt;/max&gt;&lt;min&gt;185400.00&lt;/min&gt;&lt;/sell&gt;&lt;/type&gt;&lt;type id="24443"&gt;&lt;buy&gt;&lt;volume&gt;381&lt;/volume&gt;&lt;avg&gt;741323.36&lt;/avg&gt;&lt;stddev&gt;484659.93&lt;/stddev&gt;&lt;median&gt;719250.00&lt;/median&gt;&lt;percentile&gt;1222000.00&lt;/percentile&gt;&lt;max&gt;1222000.00&lt;/max&gt;&lt;min&gt;250200.00&lt;/min&gt;&lt;/buy&gt;&lt;sell&gt;&lt;volume&gt;1687&lt;/volume&gt;&lt;avg&gt;1513139.30&lt;/avg&gt;&lt;stddev&gt;349613.43&lt;/stddev&gt;&lt;median&gt;1434500.00&lt;/median&gt;&lt;percentile&gt;1398306.93&lt;/percentile&gt;&lt;max&gt;2685000.00&lt;/max&gt;&lt;min&gt;1398000.00&lt;/min&gt;&lt;/sell&gt;&lt;/type&gt;&lt;type id="32780"&gt;&lt;buy&gt;&lt;volume&gt;1179&lt;/volume&gt;&lt;avg&gt;2352253.60&lt;/avg&gt;&lt;stddev&gt;566576.99&lt;/stddev&gt;&lt;median&gt;2638000.00&lt;/median&gt;&lt;percentile&gt;2663000.00&lt;/percentile&gt;&lt;max&gt;2663000.00&lt;/max&gt;&lt;min&gt;1015000.00&lt;/min&gt;&lt;/buy&gt;&lt;sell&gt;&lt;volume&gt;3052&lt;/volume&gt;&lt;avg&gt;4538680.21&lt;/avg&gt;&lt;stddev&gt;1023950.09&lt;/stddev&gt;&lt;median&gt;4399000.00&lt;/median&gt;&lt;percentile&gt;3734921.26&lt;/percentile&gt;&lt;max&gt;8493000.00&lt;/max&gt;&lt;min&gt;3497000.00&lt;/min&gt;&lt;/sell&gt;&lt;/type&gt;&lt;type id="10888"&gt;&lt;buy&gt;&lt;volume&gt;6500&lt;/volume&gt;&lt;avg&gt;186707.69&lt;/avg&gt;&lt;stddev&gt;607.59&lt;/stddev&gt;&lt;median&gt;186650.00&lt;/median&gt;&lt;percentile&gt;186800.00&lt;/percentile&gt;&lt;max&gt;186800.00&lt;/max&gt;&lt;min&gt;185400.00&lt;/min&gt;&lt;/buy&gt;&lt;sell&gt;&lt;volume&gt;485&lt;/volume&gt;&lt;avg&gt;261973.81&lt;/avg&gt;&lt;stddev&gt;12711.78&lt;/stddev&gt;&lt;median&gt;262900.00&lt;/median&gt;&lt;percentile&gt;257869.39&lt;/percentile&gt;&lt;max&gt;300000.00&lt;/max&gt;&lt;min&gt;257000.00&lt;/min&gt;&lt;/sell&gt;&lt;/type&gt;&lt;type id="10858"&gt;&lt;buy&gt;&lt;volume&gt;699&lt;/volume&gt;&lt;avg&gt;1113444.92&lt;/avg&gt;&lt;stddev&gt;122551.74&lt;/stddev&gt;&lt;median&gt;1048950.00&lt;/median&gt;&lt;percentile&gt;1274000.00&lt;/percentile&gt;&lt;max&gt;1274000.00&lt;/max&gt;&lt;min&gt;973600.00&lt;/min&gt;&lt;/buy&gt;&lt;sell&gt;&lt;volume&gt;4656&lt;/volume&gt;&lt;avg&gt;1573197.38&lt;/avg&gt;&lt;stddev&gt;494379.31&lt;/stddev&gt;&lt;median&gt;1574000.00&lt;/median&gt;&lt;percentile&gt;1418454.85&lt;/percentile&gt;&lt;max&gt;3548000.00&lt;/max&gt;&lt;min&gt;1416000.00&lt;/min&gt;&lt;/sell&gt;&lt;/type&gt;&lt;type id="32772"&gt;&lt;buy&gt;&lt;volume&gt;3562&lt;/volume&gt;&lt;avg&gt;531631.47&lt;/avg&gt;&lt;stddev&gt;63600.98&lt;/stddev&gt;&lt;median&gt;559300.00&lt;/median&gt;&lt;percentile&gt;563020.06&lt;/percentile&gt;&lt;max&gt;564100.00&lt;/max&gt;&lt;min&gt;321700.00&lt;/min&gt;&lt;/buy&gt;&lt;sell&gt;&lt;volume&gt;5392&lt;/volume&gt;&lt;avg&gt;914163.98&lt;/avg&gt;&lt;stddev&gt;365794.39&lt;/stddev&gt;&lt;median&gt;764450.00&lt;/median&gt;&lt;percentile&gt;694326.55&lt;/percentile&gt;&lt;max&gt;1900000.00&lt;/max&gt;&lt;min&gt;693000.00&lt;/min&gt;&lt;/sell&gt;&lt;/type&gt;&lt;type id="8529"&gt;&lt;buy&gt;&lt;volume&gt;3608&lt;/volume&gt;&lt;avg&gt;180175.39&lt;/avg&gt;&lt;stddev&gt;65801.15&lt;/stddev&gt;&lt;median&gt;140300.00&lt;/median&gt;&lt;percentile&gt;271881.58&lt;/percentile&gt;&lt;max&gt;274100.00&lt;/max&gt;&lt;min&gt;100100.00&lt;/min&gt;&lt;/buy&gt;&lt;sell&gt;&lt;volume&gt;2471&lt;/volume&gt;&lt;avg&gt;658036.54&lt;/avg&gt;&lt;stddev&gt;171483.21&lt;/stddev&gt;&lt;median&gt;710700.00&lt;/median&gt;&lt;percentile&gt;482095.21&lt;/percentile&gt;&lt;max&gt;1250000.00&lt;/max&gt;&lt;min&gt;274100.00&lt;/min&gt;&lt;/sell&gt;&lt;/type&gt;&lt;type id="3841"&gt;&lt;buy&gt;&lt;volume&gt;3957&lt;/volume&gt;&lt;avg&gt;1043625.73&lt;/avg&gt;&lt;stddev&gt;210441.58&lt;/stddev&gt;&lt;median&gt;1050000.00&lt;/median&gt;&lt;percentile&gt;1216476.19&lt;/percentile&gt;&lt;max&gt;1220000.00&lt;/max&gt;&lt;min&gt;500000.00&lt;/min&gt;&lt;/buy&gt;&lt;sell&gt;&lt;volume&gt;9809&lt;/volume&gt;&lt;avg&gt;1492768.17&lt;/avg&gt;&lt;stddev&gt;370369.36&lt;/stddev&gt;&lt;median&gt;1305000.00&lt;/median&gt;&lt;percentile&gt;1294600.00&lt;/percentile&gt;&lt;max&gt;3999000.00&lt;/max&gt;&lt;min&gt;1294000.00&lt;/min&gt;&lt;/sell&gt;&lt;/type&gt;&lt;type id="31930"&gt;&lt;buy&gt;&lt;volume&gt;553&lt;/volume&gt;&lt;avg&gt;23216039.78&lt;/avg&gt;&lt;stddev&gt;2428773.60&lt;/stddev&gt;&lt;median&gt;23085000.00&lt;/median&gt;&lt;percentile&gt;24541428.57&lt;/percentile&gt;&lt;max&gt;24580000.00&lt;/max&gt;&lt;min&gt;15000000.00&lt;/min&gt;&lt;/buy&gt;&lt;sell&gt;&lt;volume&gt;1010&lt;/volume&gt;&lt;avg&gt;32189732.67&lt;/avg&gt;&lt;stddev&gt;2646199.58&lt;/stddev&gt;&lt;median&gt;29965000.00&lt;/median&gt;&lt;percentile&gt;27820461.54&lt;/percentile&gt;&lt;max&gt;38960000.00&lt;/max&gt;&lt;min&gt;27740000.00&lt;/min&gt;&lt;/sell&gt;&lt;/type&gt;&lt;type id="31932"&gt;&lt;buy&gt;&lt;volume&gt;200&lt;/volume&gt;&lt;avg&gt;28655150.00&lt;/avg&gt;&lt;stddev&gt;2623750.50&lt;/stddev&gt;&lt;median&gt;30700000.00&lt;/median&gt;&lt;percentile&gt;30923571.43&lt;/percentile&gt;&lt;max&gt;30930000.00&lt;/max&gt;&lt;min&gt;21120000.00&lt;/min&gt;&lt;/buy&gt;&lt;sell&gt;&lt;volume&gt;685&lt;/volume&gt;&lt;avg&gt;36436058.39&lt;/avg&gt;&lt;stddev&gt;2922134.12&lt;/stddev&gt;&lt;median&gt;35480000.00&lt;/median&gt;&lt;percentile&gt;34878200.00&lt;/percentile&gt;&lt;max&gt;49600000.00&lt;/max&gt;&lt;min&gt;34850000.00&lt;/min&gt;&lt;/sell&gt;&lt;/type&gt;&lt;type id="3829"&gt;&lt;buy&gt;&lt;volume&gt;4656&lt;/volume&gt;&lt;avg&gt;19465.40&lt;/avg&gt;&lt;stddev&gt;7887.52&lt;/stddev&gt;&lt;median&gt;16960.00&lt;/median&gt;&lt;percentile&gt;25130.00&lt;/percentile&gt;&lt;max&gt;25140.00&lt;/max&gt;&lt;min&gt;8777.00&lt;/min&gt;&lt;/buy&gt;&lt;sell&gt;&lt;volume&gt;8516&lt;/volume&gt;&lt;avg&gt;43731.27&lt;/avg&gt;&lt;stddev&gt;12818.08&lt;/stddev&gt;&lt;median&gt;46810.00&lt;/median&gt;&lt;percentile&gt;34857.99&lt;/percentile&gt;&lt;max&gt;90860.00&lt;/max&gt;&lt;min&gt;34840.00&lt;/min&gt;&lt;/sell&gt;&lt;/type&gt;&lt;type id="8517"&gt;&lt;buy&gt;&lt;volume&gt;1130&lt;/volume&gt;&lt;avg&gt;3419955.75&lt;/avg&gt;&lt;stddev&gt;448538.55&lt;/stddev&gt;&lt;median&gt;3500000.00&lt;/median&gt;&lt;percentile&gt;3852000.00&lt;/percentile&gt;&lt;max&gt;3852000.00&lt;/max&gt;&lt;min&gt;2538000.00&lt;/min&gt;&lt;/buy&gt;&lt;sell&gt;&lt;volume&gt;1640&lt;/volume&gt;&lt;avg&gt;5267571.34&lt;/avg&gt;&lt;stddev&gt;3248647.93&lt;/stddev&gt;&lt;median&gt;4487000.00&lt;/median&gt;&lt;percentile&gt;4175354.84&lt;/percentile&gt;&lt;max&gt;14980000.00&lt;/max&gt;&lt;min&gt;4175000.00&lt;/min&gt;&lt;/sell&gt;&lt;/type&gt;&lt;type id="3831"&gt;&lt;buy&gt;&lt;volume&gt;541&lt;/volume&gt;&lt;avg&gt;666564.70&lt;/avg&gt;&lt;stddev&gt;112715.22&lt;/stddev&gt;&lt;median&gt;713950.00&lt;/median&gt;&lt;percentile&gt;741142.86&lt;/percentile&gt;&lt;max&gt;742000.00&lt;/max&gt;&lt;min&gt;471000.00&lt;/min&gt;&lt;/buy&gt;&lt;sell&gt;&lt;volume&gt;17632&lt;/volume&gt;&lt;avg&gt;837298.85&lt;/avg&gt;&lt;stddev&gt;66334.76&lt;/stddev&gt;&lt;median&gt;808500.00&lt;/median&gt;&lt;percentile&gt;803847.23&lt;/percentile&gt;&lt;max&gt;1100000.00&lt;/max&gt;&lt;min&gt;800000.00&lt;/min&gt;&lt;/sell&gt;&lt;/type&gt;&lt;type id="31926"&gt;&lt;buy&gt;&lt;volume&gt;65&lt;/volume&gt;&lt;avg&gt;9644415.38&lt;/avg&gt;&lt;stddev&gt;94803.83&lt;/stddev&gt;&lt;median&gt;9615000.00&lt;/median&gt;&lt;percentile&gt;9819000.00&lt;/percentile&gt;&lt;max&gt;9819000.00&lt;/max&gt;&lt;min&gt;9544000.00&lt;/min&gt;&lt;/buy&gt;&lt;sell&gt;&lt;volume&gt;829&lt;/volume&gt;&lt;avg&gt;17825536.79&lt;/avg&gt;&lt;stddev&gt;5329598.17&lt;/stddev&gt;&lt;median&gt;12800000.00&lt;/median&gt;&lt;percentile&gt;10500000.00&lt;/percentile&gt;&lt;max&gt;48040000.00&lt;/max&gt;&lt;min&gt;10500000.00&lt;/min&gt;&lt;/sell&gt;&lt;/type&gt;&lt;type id="31928"&gt;&lt;buy&gt;&lt;volume&gt;1837&lt;/volume&gt;&lt;avg&gt;9928494.28&lt;/avg&gt;&lt;stddev&gt;708116.83&lt;/stddev&gt;&lt;median&gt;9226000.00&lt;/median&gt;&lt;percentile&gt;11322553.19&lt;/percentile&gt;&lt;max&gt;11500000.00&lt;/max&gt;&lt;min&gt;9226000.00&lt;/min&gt;&lt;/buy&gt;&lt;sell&gt;&lt;volume&gt;718&lt;/volume&gt;&lt;avg&gt;14223328.69&lt;/avg&gt;&lt;stddev&gt;2891644.09&lt;/stddev&gt;&lt;median&gt;13900000.00&lt;/median&gt;&lt;percentile&gt;13470000.00&lt;/percentile&gt;&lt;max&gt;31000000.00&lt;/max&gt;&lt;min&gt;13470000.00&lt;/min&gt;&lt;/sell&gt;&lt;/type&gt;&lt;type id="8521"&gt;&lt;buy&gt;&lt;volume&gt;2047&lt;/volume&gt;&lt;avg&gt;442961.94&lt;/avg&gt;&lt;stddev&gt;59494.05&lt;/stddev&gt;&lt;median&gt;460000.00&lt;/median&gt;&lt;percentile&gt;460000.00&lt;/percentile&gt;&lt;max&gt;460000.00&lt;/max&gt;&lt;min&gt;329600.00&lt;/min&gt;&lt;/buy&gt;&lt;sell&gt;&lt;volume&gt;3086&lt;/volume&gt;&lt;avg&gt;699544.82&lt;/avg&gt;&lt;stddev&gt;212248.92&lt;/stddev&gt;&lt;median&gt;589200.00&lt;/median&gt;&lt;percentile&gt;524871.16&lt;/percentile&gt;&lt;max&gt;1499000.00&lt;/max&gt;&lt;min&gt;524700.00&lt;/min&gt;&lt;/sell&gt;&lt;/type&gt;&lt;type id="380"&gt;&lt;buy&gt;&lt;volume&gt;2710&lt;/volume&gt;&lt;avg&gt;329895.94&lt;/avg&gt;&lt;stddev&gt;49182.29&lt;/stddev&gt;&lt;median&gt;352300.00&lt;/median&gt;&lt;percentile&gt;352500.00&lt;/percentile&gt;&lt;max&gt;352500.00&lt;/max&gt;&lt;min&gt;183500.00&lt;/min&gt;&lt;/buy&gt;&lt;sell&gt;&lt;volume&gt;9497&lt;/volume&gt;&lt;avg&gt;412013.54&lt;/avg&gt;&lt;stddev&gt;22162.91&lt;/stddev&gt;&lt;median&gt;412400.00&lt;/median&gt;&lt;percentile&gt;375171.26&lt;/percentile&gt;&lt;max&gt;438800.00&lt;/max&gt;&lt;min&gt;374700.00&lt;/min&gt;&lt;/sell&gt;&lt;/type&gt;&lt;type id="31922"&gt;&lt;buy&gt;&lt;volume&gt;110&lt;/volume&gt;&lt;avg&gt;1482454.55&lt;/avg&gt;&lt;stddev&gt;446891.49&lt;/stddev&gt;&lt;median&gt;1425000.00&lt;/median&gt;&lt;percentile&gt;2057000.00&lt;/percentile&gt;&lt;max&gt;2057000.00&lt;/max&gt;&lt;min&gt;1425000.00&lt;/min&gt;&lt;/buy&gt;&lt;sell&gt;&lt;volume&gt;2081&lt;/volume&gt;&lt;avg&gt;3351218.16&lt;/avg&gt;&lt;stddev&gt;717526.22&lt;/stddev&gt;&lt;median&gt;2924000.00&lt;/median&gt;&lt;percentile&gt;2696804.76&lt;/percentile&gt;&lt;max&gt;5089000.00&lt;/max&gt;&lt;min&gt;2690000.00&lt;/min&gt;&lt;/sell&gt;&lt;/type&gt;&lt;type id="31924"&gt;&lt;buy&gt;&lt;volume&gt;397&lt;/volume&gt;&lt;avg&gt;1777027.71&lt;/avg&gt;&lt;stddev&gt;165820.15&lt;/stddev&gt;&lt;median&gt;1836000.00&lt;/median&gt;&lt;percentile&gt;1993000.00&lt;/percentile&gt;&lt;max&gt;1993000.00&lt;/max&gt;&lt;min&gt;1263000.00&lt;/min&gt;&lt;/buy&gt;&lt;sell&gt;&lt;volume&gt;1827&lt;/volume&gt;&lt;avg&gt;2878472.91&lt;/avg&gt;&lt;stddev&gt;349352.98&lt;/stddev&gt;&lt;median&gt;2969500.00&lt;/median&gt;&lt;percentile&gt;2562991.07&lt;/percentile&gt;&lt;max&gt;3731000.00&lt;/max&gt;&lt;min&gt;2562000.00&lt;/min&gt;&lt;/sell&gt;&lt;/type&gt;&lt;type id="2301"&gt;&lt;buy&gt;&lt;volume&gt;801&lt;/volume&gt;&lt;avg&gt;1822802.75&lt;/avg&gt;&lt;stddev&gt;129335.09&lt;/stddev&gt;&lt;median&gt;1887500.00&lt;/median&gt;&lt;percentile&gt;1901000.00&lt;/percentile&gt;&lt;max&gt;1901000.00&lt;/max&gt;&lt;min&gt;1523000.00&lt;/min&gt;&lt;/buy&gt;&lt;sell&gt;&lt;volume&gt;2564&lt;/volume&gt;&lt;avg&gt;2189843.60&lt;/avg&gt;&lt;stddev&gt;119135.19&lt;/stddev&gt;&lt;median&gt;2105500.00&lt;/median&gt;&lt;percentile&gt;2071000.00&lt;/percentile&gt;&lt;max&gt;2443000.00&lt;/max&gt;&lt;min&gt;2071000.00&lt;/min&gt;&lt;/sell&gt;&lt;/type&gt;&lt;type id="578"&gt;&lt;buy&gt;&lt;volume&gt;886&lt;/volume&gt;&lt;avg&gt;118487.02&lt;/avg&gt;&lt;stddev&gt;14630.41&lt;/stddev&gt;&lt;median&gt;121200.00&lt;/median&gt;&lt;percentile&gt;122000.00&lt;/percentile&gt;&lt;max&gt;122000.00&lt;/max&gt;&lt;min&gt;86110.00&lt;/min&gt;&lt;/buy&gt;&lt;sell&gt;&lt;volume&gt;3699&lt;/volume&gt;&lt;avg&gt;171600.19&lt;/avg&gt;&lt;stddev&gt;102077.28&lt;/stddev&gt;&lt;median&gt;159800.00&lt;/median&gt;&lt;percentile&gt;153392.97&lt;/percentile&gt;&lt;max&gt;565900.00&lt;/max&gt;&lt;min&gt;122000.00&lt;/min&gt;&lt;/sell&gt;&lt;/type&gt;&lt;type id="9632"&gt;&lt;buy&gt;&lt;volume&gt;2627&lt;/volume&gt;&lt;avg&gt;144733.54&lt;/avg&gt;&lt;stddev&gt;47169.44&lt;/stddev&gt;&lt;median&gt;115200.00&lt;/median&gt;&lt;percentile&gt;196109.09&lt;/percentile&gt;&lt;max&gt;196200.00&lt;/max&gt;&lt;min&gt;81000.00&lt;/min&gt;&lt;/buy&gt;&lt;sell&gt;&lt;volume&gt;5219&lt;/volume&gt;&lt;avg&gt;288186.53&lt;/avg&gt;&lt;stddev&gt;45348.47&lt;/stddev&gt;&lt;median&gt;266800.00&lt;/median&gt;&lt;percentile&gt;239700.00&lt;/percentile&gt;&lt;max&gt;480000.00&lt;/max&gt;&lt;min&gt;239700.00&lt;/min&gt;&lt;/sell&gt;&lt;/type&gt;&lt;/marketstat&gt;&lt;/exec_api&gt;</v>
      </c>
      <c r="BG47" s="3"/>
    </row>
    <row r="48" spans="1:59">
      <c r="A48" s="13" t="s">
        <v>11249</v>
      </c>
      <c r="B48" s="63">
        <f>VLOOKUP(A48,TypeIDs!B:C,2,FALSE)</f>
        <v>23031</v>
      </c>
      <c r="C48" s="36">
        <v>799.7</v>
      </c>
      <c r="D48" s="36">
        <f t="shared" si="0"/>
        <v>846.53665000000001</v>
      </c>
      <c r="E48" s="35">
        <f>INDEX(MARKET_INPUT[Column1.price],MATCH(B48,MARKET_INPUT[Column1.type_id]))</f>
        <v>949.4</v>
      </c>
      <c r="F48" s="35">
        <f t="shared" si="1"/>
        <v>907.15170000000001</v>
      </c>
      <c r="G48" s="18">
        <f>VLOOKUP(B48,TypeIDs!C:D,2,FALSE)</f>
        <v>1.2500000000000001E-2</v>
      </c>
      <c r="I48" s="15">
        <f>IF(H48="",AverageVolume!A705,H48)</f>
        <v>4865.8374999999996</v>
      </c>
      <c r="J48" s="17">
        <f t="shared" si="4"/>
        <v>15375.779549749999</v>
      </c>
      <c r="K48" s="20">
        <f t="shared" si="5"/>
        <v>34060.862499999996</v>
      </c>
      <c r="L48" s="19">
        <f t="shared" si="2"/>
        <v>425.76078125000004</v>
      </c>
      <c r="M48" s="8">
        <f t="shared" si="8"/>
        <v>1.0716035743992891</v>
      </c>
      <c r="N48" s="9">
        <f t="shared" si="9"/>
        <v>28833768.436860621</v>
      </c>
      <c r="O48" s="10">
        <f t="shared" si="6"/>
        <v>2064600.8834806245</v>
      </c>
      <c r="P48" s="11">
        <f t="shared" si="7"/>
        <v>4849.2039999999997</v>
      </c>
      <c r="Q48" s="23">
        <f t="shared" si="3"/>
        <v>30898369.320341244</v>
      </c>
      <c r="R48" s="3" t="e">
        <f>VLOOKUP(B48,Buylist!B:B,1,FALSE)</f>
        <v>#N/A</v>
      </c>
      <c r="S48" s="3" t="e">
        <f>VLOOKUP(B48,Buylist!B:O,13,FALSE)</f>
        <v>#N/A</v>
      </c>
      <c r="T48" s="78">
        <v>47</v>
      </c>
      <c r="BE48" s="3" t="s">
        <v>41767</v>
      </c>
      <c r="BF48" s="3" t="str">
        <f t="shared" si="10"/>
        <v>&lt;?xml version="1.0" encoding="UTF-8"?&gt;
&lt;exec_api version="2.0" method="marketstat_xml"&gt;&lt;marketstat&gt;&lt;type id="54291"&gt;&lt;buy&gt;&lt;volume&gt;4117&lt;/volume&gt;&lt;avg&gt;83014.56&lt;/avg&gt;&lt;stddev&gt;7515.71&lt;/stddev&gt;&lt;median&gt;90030.00&lt;/median&gt;&lt;percentile&gt;90120.00&lt;/percentile&gt;&lt;max&gt;90120.00&lt;/max&gt;&lt;min&gt;66300.00&lt;/min&gt;&lt;/buy&gt;&lt;sell&gt;&lt;volume&gt;4483&lt;/volume&gt;&lt;avg&gt;123965.87&lt;/avg&gt;&lt;stddev&gt;29591.15&lt;/stddev&gt;&lt;median&gt;111900.00&lt;/median&gt;&lt;percentile&gt;104692.66&lt;/percentile&gt;&lt;max&gt;196500.00&lt;/max&gt;&lt;min&gt;104600.00&lt;/min&gt;&lt;/sell&gt;&lt;/type&gt;&lt;type id="2281"&gt;&lt;buy&gt;&lt;volume&gt;346&lt;/volume&gt;&lt;avg&gt;2110176.30&lt;/avg&gt;&lt;stddev&gt;272985.31&lt;/stddev&gt;&lt;median&gt;2118500.00&lt;/median&gt;&lt;percentile&gt;2384000.00&lt;/percentile&gt;&lt;max&gt;2384000.00&lt;/max&gt;&lt;min&gt;1706000.00&lt;/min&gt;&lt;/buy&gt;&lt;sell&gt;&lt;volume&gt;13540&lt;/volume&gt;&lt;avg&gt;2908524.59&lt;/avg&gt;&lt;stddev&gt;209556.38&lt;/stddev&gt;&lt;median&gt;2592000.00&lt;/median&gt;&lt;percentile&gt;2515580.05&lt;/percentile&gt;&lt;max&gt;4138000.00&lt;/max&gt;&lt;min&gt;2515000.00&lt;/min&gt;&lt;/sell&gt;&lt;/type&gt;&lt;type id="4349"&gt;&lt;buy&gt;&lt;volume&gt;29&lt;/volume&gt;&lt;avg&gt;193265517.24&lt;/avg&gt;&lt;stddev&gt;13834403.76&lt;/stddev&gt;&lt;median&gt;195100000.00&lt;/median&gt;&lt;percentile&gt;202940000.00&lt;/percentile&gt;&lt;max&gt;203100000.00&lt;/max&gt;&lt;min&gt;155000000.00&lt;/min&gt;&lt;/buy&gt;&lt;sell&gt;&lt;volume&gt;180&lt;/volume&gt;&lt;avg&gt;239506666.67&lt;/avg&gt;&lt;stddev&gt;18209973.77&lt;/stddev&gt;&lt;median&gt;236150000.00&lt;/median&gt;&lt;percentile&gt;222158333.33&lt;/percentile&gt;&lt;max&gt;330900000.00&lt;/max&gt;&lt;min&gt;220200000.00&lt;/min&gt;&lt;/sell&gt;&lt;/type&gt;&lt;type id="9580"&gt;&lt;buy&gt;&lt;volume&gt;20166&lt;/volume&gt;&lt;avg&gt;95449.99&lt;/avg&gt;&lt;stddev&gt;510.51&lt;/stddev&gt;&lt;median&gt;95075.00&lt;/median&gt;&lt;percentile&gt;96000.00&lt;/percentile&gt;&lt;max&gt;96000.00&lt;/max&gt;&lt;min&gt;95000.00&lt;/min&gt;&lt;/buy&gt;&lt;sell&gt;&lt;volume&gt;8345&lt;/volume&gt;&lt;avg&gt;171073.54&lt;/avg&gt;&lt;stddev&gt;70558.84&lt;/stddev&gt;&lt;median&gt;179800.00&lt;/median&gt;&lt;percentile&gt;113793.06&lt;/percentile&gt;&lt;max&gt;500100.00&lt;/max&gt;&lt;min&gt;113700.00&lt;/min&gt;&lt;/sell&gt;&lt;/type&gt;&lt;type id="2553"&gt;&lt;buy&gt;&lt;volume&gt;2330&lt;/volume&gt;&lt;avg&gt;894119.74&lt;/avg&gt;&lt;stddev&gt;182740.62&lt;/stddev&gt;&lt;median&gt;892450.00&lt;/median&gt;&lt;percentile&gt;950500.00&lt;/percentile&gt;&lt;max&gt;950500.00&lt;/max&gt;&lt;min&gt;298000.00&lt;/min&gt;&lt;/buy&gt;&lt;sell&gt;&lt;volume&gt;5680&lt;/volume&gt;&lt;avg&gt;1301329.23&lt;/avg&gt;&lt;stddev&gt;371981.15&lt;/stddev&gt;&lt;median&gt;1094000.00&lt;/median&gt;&lt;percentile&gt;1053013.26&lt;/percentile&gt;&lt;max&gt;2493000.00&lt;/max&gt;&lt;min&gt;1000000.00&lt;/min&gt;&lt;/sell&gt;&lt;/type&gt;&lt;type id="2539"&gt;&lt;buy&gt;&lt;volume&gt;1300&lt;/volume&gt;&lt;avg&gt;768915.00&lt;/avg&gt;&lt;stddev&gt;4240.37&lt;/stddev&gt;&lt;median&gt;769800.00&lt;/median&gt;&lt;percentile&gt;770300.00&lt;/percentile&gt;&lt;max&gt;770300.00&lt;/max&gt;&lt;min&gt;756100.00&lt;/min&gt;&lt;/buy&gt;&lt;sell&gt;&lt;volume&gt;1288&lt;/volume&gt;&lt;avg&gt;1210321.43&lt;/avg&gt;&lt;stddev&gt;85406.88&lt;/stddev&gt;&lt;median&gt;1300000.00&lt;/median&gt;&lt;percentile&gt;1087966.39&lt;/percentile&gt;&lt;max&gt;1400000.00&lt;/max&gt;&lt;min&gt;1081000.00&lt;/min&gt;&lt;/sell&gt;&lt;/type&gt;&lt;type id="3130"&gt;&lt;buy&gt;&lt;volume&gt;430&lt;/volume&gt;&lt;avg&gt;1690139.53&lt;/avg&gt;&lt;stddev&gt;111760.01&lt;/stddev&gt;&lt;median&gt;1711000.00&lt;/median&gt;&lt;percentile&gt;1806000.00&lt;/percentile&gt;&lt;max&gt;1806000.00&lt;/max&gt;&lt;min&gt;1582000.00&lt;/min&gt;&lt;/buy&gt;&lt;sell&gt;&lt;volume&gt;2439&lt;/volume&gt;&lt;avg&gt;2440003.28&lt;/avg&gt;&lt;stddev&gt;393505.51&lt;/stddev&gt;&lt;median&gt;2309000.00&lt;/median&gt;&lt;percentile&gt;1939000.00&lt;/percentile&gt;&lt;max&gt;3295000.00&lt;/max&gt;&lt;min&gt;1939000.00&lt;/min&gt;&lt;/sell&gt;&lt;/type&gt;&lt;type id="3138"&gt;&lt;buy&gt;&lt;volume&gt;452&lt;/volume&gt;&lt;avg&gt;2088234.51&lt;/avg&gt;&lt;stddev&gt;28696.69&lt;/stddev&gt;&lt;median&gt;2104000.00&lt;/median&gt;&lt;percentile&gt;2109000.00&lt;/percentile&gt;&lt;max&gt;2109000.00&lt;/max&gt;&lt;min&gt;2041000.00&lt;/min&gt;&lt;/buy&gt;&lt;sell&gt;&lt;volume&gt;2448&lt;/volume&gt;&lt;avg&gt;3054921.98&lt;/avg&gt;&lt;stddev&gt;1306474.88&lt;/stddev&gt;&lt;median&gt;2559500.00&lt;/median&gt;&lt;percentile&gt;2437760.00&lt;/percentile&gt;&lt;max&gt;8900000.00&lt;/max&gt;&lt;min&gt;2435000.00&lt;/min&gt;&lt;/sell&gt;&lt;/type&gt;&lt;type id="3146"&gt;&lt;buy&gt;&lt;volume&gt;180&lt;/volume&gt;&lt;avg&gt;2148333.33&lt;/avg&gt;&lt;stddev&gt;65760.93&lt;/stddev&gt;&lt;median&gt;2107000.00&lt;/median&gt;&lt;percentile&gt;2200000.00&lt;/percentile&gt;&lt;max&gt;2200000.00&lt;/max&gt;&lt;min&gt;2107000.00&lt;/min&gt;&lt;/buy&gt;&lt;sell&gt;&lt;volume&gt;4650&lt;/volume&gt;&lt;avg&gt;3142230.11&lt;/avg&gt;&lt;stddev&gt;612815.22&lt;/stddev&gt;&lt;median&gt;2896500.00&lt;/median&gt;&lt;percentile&gt;2488267.78&lt;/percentile&gt;&lt;max&gt;4364000.00&lt;/max&gt;&lt;min&gt;2484000.00&lt;/min&gt;&lt;/sell&gt;&lt;/type&gt;&lt;type id="3162"&gt;&lt;buy&gt;&lt;volume&gt;935&lt;/volume&gt;&lt;avg&gt;227915.83&lt;/avg&gt;&lt;stddev&gt;68703.86&lt;/stddev&gt;&lt;median&gt;228450.00&lt;/median&gt;&lt;percentile&gt;307467.44&lt;/percentile&gt;&lt;max&gt;307700.00&lt;/max&gt;&lt;min&gt;118000.00&lt;/min&gt;&lt;/buy&gt;&lt;sell&gt;&lt;volume&gt;13352&lt;/volume&gt;&lt;avg&gt;667045.77&lt;/avg&gt;&lt;stddev&gt;72643.86&lt;/stddev&gt;&lt;median&gt;669000.00&lt;/median&gt;&lt;percentile&gt;561947.52&lt;/percentile&gt;&lt;max&gt;909500.00&lt;/max&gt;&lt;min&gt;557900.00&lt;/min&gt;&lt;/sell&gt;&lt;/type&gt;&lt;type id="3178"&gt;&lt;buy&gt;&lt;volume&gt;7651&lt;/volume&gt;&lt;avg&gt;891850.74&lt;/avg&gt;&lt;stddev&gt;77510.09&lt;/stddev&gt;&lt;median&gt;860050.00&lt;/median&gt;&lt;percentile&gt;918200.00&lt;/percentile&gt;&lt;max&gt;918200.00&lt;/max&gt;&lt;min&gt;690000.00&lt;/min&gt;&lt;/buy&gt;&lt;sell&gt;&lt;volume&gt;5812&lt;/volume&gt;&lt;avg&gt;1032989.97&lt;/avg&gt;&lt;stddev&gt;65683.93&lt;/stddev&gt;&lt;median&gt;1008500.00&lt;/median&gt;&lt;percentile&gt;994058.33&lt;/percentile&gt;&lt;max&gt;1229000.00&lt;/max&gt;&lt;min&gt;994000.00&lt;/min&gt;&lt;/sell&gt;&lt;/type&gt;&lt;type id="3082"&gt;&lt;buy&gt;&lt;volume&gt;1532&lt;/volume&gt;&lt;avg&gt;2514470.63&lt;/avg&gt;&lt;stddev&gt;119518.88&lt;/stddev&gt;&lt;median&gt;2560500.00&lt;/median&gt;&lt;percentile&gt;2575000.00&lt;/percentile&gt;&lt;max&gt;2575000.00&lt;/max&gt;&lt;min&gt;2266000.00&lt;/min&gt;&lt;/buy&gt;&lt;sell&gt;&lt;volume&gt;4770&lt;/volume&gt;&lt;avg&gt;3042219.50&lt;/avg&gt;&lt;stddev&gt;260792.21&lt;/stddev&gt;&lt;median&gt;3039000.00&lt;/median&gt;&lt;percentile&gt;2741455.25&lt;/percentile&gt;&lt;max&gt;4250000.00&lt;/max&gt;&lt;min&gt;2739000.00&lt;/min&gt;&lt;/sell&gt;&lt;/type&gt;&lt;type id="19739"&gt;&lt;buy&gt;&lt;volume&gt;809&lt;/volume&gt;&lt;avg&gt;2220305.32&lt;/avg&gt;&lt;stddev&gt;168433.91&lt;/stddev&gt;&lt;median&gt;2261000.00&lt;/median&gt;&lt;percentile&gt;2354000.00&lt;/percentile&gt;&lt;max&gt;2354000.00&lt;/max&gt;&lt;min&gt;1804000.00&lt;/min&gt;&lt;/buy&gt;&lt;sell&gt;&lt;volume&gt;3799&lt;/volume&gt;&lt;avg&gt;2756466.96&lt;/avg&gt;&lt;stddev&gt;171557.21&lt;/stddev&gt;&lt;median&gt;2567000.00&lt;/median&gt;&lt;percentile&gt;2516000.00&lt;/percentile&gt;&lt;max&gt;3121000.00&lt;/max&gt;&lt;min&gt;2516000.00&lt;/min&gt;&lt;/sell&gt;&lt;/type&gt;&lt;type id="25715"&gt;&lt;buy&gt;&lt;volume&gt;1550&lt;/volume&gt;&lt;avg&gt;1063980.65&lt;/avg&gt;&lt;stddev&gt;214211.03&lt;/stddev&gt;&lt;median&gt;1107000.00&lt;/median&gt;&lt;percentile&gt;1139000.00&lt;/percentile&gt;&lt;max&gt;1139000.00&lt;/max&gt;&lt;min&gt;603900.00&lt;/min&gt;&lt;/buy&gt;&lt;sell&gt;&lt;volume&gt;8943&lt;/volume&gt;&lt;avg&gt;1418389.91&lt;/avg&gt;&lt;stddev&gt;306507.43&lt;/stddev&gt;&lt;median&gt;1356000.00&lt;/median&gt;&lt;percentile&gt;1305955.88&lt;/percentile&gt;&lt;max&gt;3300000.00&lt;/max&gt;&lt;min&gt;1305000.00&lt;/min&gt;&lt;/sell&gt;&lt;/type&gt;&lt;type id="8105"&gt;&lt;buy&gt;&lt;volume&gt;1214&lt;/volume&gt;&lt;avg&gt;1741060.13&lt;/avg&gt;&lt;stddev&gt;397353.15&lt;/stddev&gt;&lt;median&gt;1722000.00&lt;/median&gt;&lt;percentile&gt;2065000.00&lt;/percentile&gt;&lt;max&gt;2065000.00&lt;/max&gt;&lt;min&gt;500000.00&lt;/min&gt;&lt;/buy&gt;&lt;sell&gt;&lt;volume&gt;3943&lt;/volume&gt;&lt;avg&gt;2603064.42&lt;/avg&gt;&lt;stddev&gt;373755.84&lt;/stddev&gt;&lt;median&gt;2550000.00&lt;/median&gt;&lt;percentile&gt;2281641.41&lt;/percentile&gt;&lt;max&gt;3997000.00&lt;/max&gt;&lt;min&gt;2280000.00&lt;/min&gt;&lt;/sell&gt;&lt;/type&gt;&lt;type id="2410"&gt;&lt;buy&gt;&lt;volume&gt;415&lt;/volume&gt;&lt;avg&gt;919995.18&lt;/avg&gt;&lt;stddev&gt;213276.98&lt;/stddev&gt;&lt;median&gt;994000.00&lt;/median&gt;&lt;percentile&gt;1004000.00&lt;/percentile&gt;&lt;max&gt;1004000.00&lt;/max&gt;&lt;min&gt;557700.00&lt;/min&gt;&lt;/buy&gt;&lt;sell&gt;&lt;volume&gt;6805&lt;/volume&gt;&lt;avg&gt;1343102.28&lt;/avg&gt;&lt;stddev&gt;113781.38&lt;/stddev&gt;&lt;median&gt;1270500.00&lt;/median&gt;&lt;percentile&gt;1259682.54&lt;/percentile&gt;&lt;max&gt;1692000.00&lt;/max&gt;&lt;min&gt;1259000.00&lt;/min&gt;&lt;/sell&gt;&lt;/type&gt;&lt;type id="2404"&gt;&lt;buy&gt;&lt;volume&gt;2360&lt;/volume&gt;&lt;avg&gt;900015.25&lt;/avg&gt;&lt;stddev&gt;256033.03&lt;/stddev&gt;&lt;median&gt;933500.00&lt;/median&gt;&lt;percentile&gt;933900.00&lt;/percentile&gt;&lt;max&gt;933900.00&lt;/max&gt;&lt;min&gt;303800.00&lt;/min&gt;&lt;/buy&gt;&lt;sell&gt;&lt;volume&gt;7985&lt;/volume&gt;&lt;avg&gt;1236973.45&lt;/avg&gt;&lt;stddev&gt;196408.18&lt;/stddev&gt;&lt;median&gt;1171000.00&lt;/median&gt;&lt;percentile&gt;1020523.81&lt;/percentile&gt;&lt;max&gt;1699000.00&lt;/max&gt;&lt;min&gt;1020000.00&lt;/min&gt;&lt;/sell&gt;&lt;/type&gt;&lt;type id="33450"&gt;&lt;buy&gt;&lt;volume&gt;699&lt;/volume&gt;&lt;avg&gt;2176374.82&lt;/avg&gt;&lt;stddev&gt;509372.06&lt;/stddev&gt;&lt;median&gt;2233500.00&lt;/median&gt;&lt;percentile&gt;2286306.75&lt;/percentile&gt;&lt;max&gt;2290000.00&lt;/max&gt;&lt;min&gt;1000000.00&lt;/min&gt;&lt;/buy&gt;&lt;sell&gt;&lt;volume&gt;8624&lt;/volume&gt;&lt;avg&gt;2808703.15&lt;/avg&gt;&lt;stddev&gt;565314.41&lt;/stddev&gt;&lt;median&gt;2578000.00&lt;/median&gt;&lt;percentile&gt;2502000.00&lt;/percentile&gt;&lt;max&gt;5394000.00&lt;/max&gt;&lt;min&gt;2502000.00&lt;/min&gt;&lt;/sell&gt;&lt;/type&gt;&lt;type id="1877"&gt;&lt;buy&gt;&lt;volume&gt;4253&lt;/volume&gt;&lt;avg&gt;761541.17&lt;/avg&gt;&lt;stddev&gt;67481.34&lt;/stddev&gt;&lt;median&gt;778200.00&lt;/median&gt;&lt;percentile&gt;801200.00&lt;/percentile&gt;&lt;max&gt;801200.00&lt;/max&gt;&lt;min&gt;510000.00&lt;/min&gt;&lt;/buy&gt;&lt;sell&gt;&lt;volume&gt;14500&lt;/volume&gt;&lt;avg&gt;1108478.16&lt;/avg&gt;&lt;stddev&gt;241632.57&lt;/stddev&gt;&lt;median&gt;999500.00&lt;/median&gt;&lt;percentile&gt;939864.90&lt;/percentile&gt;&lt;max&gt;1860000.00&lt;/max&gt;&lt;min&gt;934900.00&lt;/min&gt;&lt;/sell&gt;&lt;/type&gt;&lt;type id="10631"&gt;&lt;buy&gt;&lt;volume&gt;1742&lt;/volume&gt;&lt;avg&gt;349394.72&lt;/avg&gt;&lt;stddev&gt;74644.81&lt;/stddev&gt;&lt;median&gt;370500.00&lt;/median&gt;&lt;percentile&gt;380642.56&lt;/percentile&gt;&lt;max&gt;380800.00&lt;/max&gt;&lt;min&gt;163900.00&lt;/min&gt;&lt;/buy&gt;&lt;sell&gt;&lt;volume&gt;12820&lt;/volume&gt;&lt;avg&gt;442719.14&lt;/avg&gt;&lt;stddev&gt;64647.22&lt;/stddev&gt;&lt;median&gt;434300.00&lt;/median&gt;&lt;percentile&gt;423348.88&lt;/percentile&gt;&lt;max&gt;739800.00&lt;/max&gt;&lt;min&gt;419900.00&lt;/min&gt;&lt;/sell&gt;&lt;/type&gt;&lt;type id="8117"&gt;&lt;buy&gt;&lt;volume&gt;10440&lt;/volume&gt;&lt;avg&gt;73673.24&lt;/avg&gt;&lt;stddev&gt;6959.83&lt;/stddev&gt;&lt;median&gt;77795.00&lt;/median&gt;&lt;percentile&gt;78050.67&lt;/percentile&gt;&lt;max&gt;78120.00&lt;/max&gt;&lt;min&gt;60000.00&lt;/min&gt;&lt;/buy&gt;&lt;sell&gt;&lt;volume&gt;5873&lt;/volume&gt;&lt;avg&gt;125266.78&lt;/avg&gt;&lt;stddev&gt;17465.47&lt;/stddev&gt;&lt;median&gt;117700.00&lt;/median&gt;&lt;percentile&gt;98415.09&lt;/percentile&gt;&lt;max&gt;168600.00&lt;/max&gt;&lt;min&gt;96750.00&lt;/min&gt;&lt;/sell&gt;&lt;/type&gt;&lt;type id="2420"&gt;&lt;buy&gt;&lt;volume&gt;615&lt;/volume&gt;&lt;avg&gt;4468235.77&lt;/avg&gt;&lt;stddev&gt;649269.02&lt;/stddev&gt;&lt;median&gt;4667000.00&lt;/median&gt;&lt;percentile&gt;5071000.00&lt;/percentile&gt;&lt;max&gt;5071000.00&lt;/max&gt;&lt;min&gt;3121000.00&lt;/min&gt;&lt;/buy&gt;&lt;sell&gt;&lt;volume&gt;3975&lt;/volume&gt;&lt;avg&gt;5504432.70&lt;/avg&gt;&lt;stddev&gt;217080.09&lt;/stddev&gt;&lt;median&gt;5441500.00&lt;/median&gt;&lt;percentile&gt;5350931.30&lt;/percentile&gt;&lt;max&gt;6362000.00&lt;/max&gt;&lt;min&gt;5350000.00&lt;/min&gt;&lt;/sell&gt;&lt;/type&gt;&lt;type id="47914"&gt;&lt;buy&gt;&lt;volume&gt;127&lt;/volume&gt;&lt;avg&gt;17334724.41&lt;/avg&gt;&lt;stddev&gt;2078119.53&lt;/stddev&gt;&lt;median&gt;17120000.00&lt;/median&gt;&lt;percentile&gt;19001666.67&lt;/percentile&gt;&lt;max&gt;19010000.00&lt;/max&gt;&lt;min&gt;13060000.00&lt;/min&gt;&lt;/buy&gt;&lt;sell&gt;&lt;volume&gt;802&lt;/volume&gt;&lt;avg&gt;24296795.51&lt;/avg&gt;&lt;stddev&gt;3608312.42&lt;/stddev&gt;&lt;median&gt;22830000.00&lt;/median&gt;&lt;percentile&gt;22263617.02&lt;/percentile&gt;&lt;max&gt;39120000.00&lt;/max&gt;&lt;min&gt;22180000.00&lt;/min&gt;&lt;/sell&gt;&lt;/type&gt;&lt;type id="2969"&gt;&lt;buy&gt;&lt;volume&gt;1705&lt;/volume&gt;&lt;avg&gt;2447564.81&lt;/avg&gt;&lt;stddev&gt;224476.30&lt;/stddev&gt;&lt;median&gt;2490000.00&lt;/median&gt;&lt;percentile&gt;2516000.00&lt;/percentile&gt;&lt;max&gt;2516000.00&lt;/max&gt;&lt;min&gt;1650000.00&lt;/min&gt;&lt;/buy&gt;&lt;sell&gt;&lt;volume&gt;3493&lt;/volume&gt;&lt;avg&gt;3181966.22&lt;/avg&gt;&lt;stddev&gt;682172.20&lt;/stddev&gt;&lt;median&gt;2928000.00&lt;/median&gt;&lt;percentile&gt;2923310.47&lt;/percentile&gt;&lt;max&gt;5000000.00&lt;/max&gt;&lt;min&gt;2921000.00&lt;/min&gt;&lt;/sell&gt;&lt;/type&gt;&lt;type id="2977"&gt;&lt;buy&gt;&lt;volume&gt;1577&lt;/volume&gt;&lt;avg&gt;832963.60&lt;/avg&gt;&lt;stddev&gt;57608.28&lt;/stddev&gt;&lt;median&gt;862100.00&lt;/median&gt;&lt;percentile&gt;865200.00&lt;/percentile&gt;&lt;max&gt;865200.00&lt;/max&gt;&lt;min&gt;701400.00&lt;/min&gt;&lt;/buy&gt;&lt;sell&gt;&lt;volume&gt;2636&lt;/volume&gt;&lt;avg&gt;1215921.85&lt;/avg&gt;&lt;stddev&gt;59218.36&lt;/stddev&gt;&lt;median&gt;1237000.00&lt;/median&gt;&lt;percentile&gt;1096168.83&lt;/percentile&gt;&lt;max&gt;1250000.00&lt;/max&gt;&lt;min&gt;1093000.00&lt;/min&gt;&lt;/sell&gt;&lt;/type&gt;&lt;type id="2897"&gt;&lt;buy&gt;&lt;volume&gt;298&lt;/volume&gt;&lt;avg&gt;2042684.56&lt;/avg&gt;&lt;stddev&gt;92405.63&lt;/stddev&gt;&lt;median&gt;2016000.00&lt;/median&gt;&lt;percentile&gt;2150000.00&lt;/percentile&gt;&lt;max&gt;2150000.00&lt;/max&gt;&lt;min&gt;1934000.00&lt;/min&gt;&lt;/buy&gt;&lt;sell&gt;&lt;volume&gt;5875&lt;/volume&gt;&lt;avg&gt;2562046.13&lt;/avg&gt;&lt;stddev&gt;230783.55&lt;/stddev&gt;&lt;median&gt;2600000.00&lt;/median&gt;&lt;percentile&gt;2237000.00&lt;/percentile&gt;&lt;max&gt;3521000.00&lt;/max&gt;&lt;min&gt;2237000.00&lt;/min&gt;&lt;/sell&gt;&lt;/type&gt;&lt;type id="2913"&gt;&lt;buy&gt;&lt;volume&gt;1080&lt;/volume&gt;&lt;avg&gt;1954740.74&lt;/avg&gt;&lt;stddev&gt;247429.27&lt;/stddev&gt;&lt;median&gt;2018000.00&lt;/median&gt;&lt;percentile&gt;2162000.00&lt;/percentile&gt;&lt;max&gt;2162000.00&lt;/max&gt;&lt;min&gt;1350000.00&lt;/min&gt;&lt;/buy&gt;&lt;sell&gt;&lt;volume&gt;8085&lt;/volume&gt;&lt;avg&gt;2468217.44&lt;/avg&gt;&lt;stddev&gt;304136.33&lt;/stddev&gt;&lt;median&gt;2315500.00&lt;/median&gt;&lt;percentile&gt;2301198.35&lt;/percentile&gt;&lt;max&gt;3490000.00&lt;/max&gt;&lt;min&gt;2300000.00&lt;/min&gt;&lt;/sell&gt;&lt;/type&gt;&lt;type id="8863"&gt;&lt;buy&gt;&lt;volume&gt;2190&lt;/volume&gt;&lt;avg&gt;60795.02&lt;/avg&gt;&lt;stddev&gt;206069.92&lt;/stddev&gt;&lt;median&gt;37095.00&lt;/median&gt;&lt;percentile&gt;396091.27&lt;/percentile&gt;&lt;max&gt;397500.00&lt;/max&gt;&lt;min&gt;33650.00&lt;/min&gt;&lt;/buy&gt;&lt;sell&gt;&lt;volume&gt;1277&lt;/volume&gt;&lt;avg&gt;609321.06&lt;/avg&gt;&lt;stddev&gt;228258.67&lt;/stddev&gt;&lt;median&gt;525000.00&lt;/median&gt;&lt;percentile&gt;464473.46&lt;/percentile&gt;&lt;max&gt;1498000.00&lt;/max&gt;&lt;min&gt;459900.00&lt;/min&gt;&lt;/sell&gt;&lt;/type&gt;&lt;type id="2873"&gt;&lt;buy&gt;&lt;volume&gt;1771&lt;/volume&gt;&lt;avg&gt;401558.05&lt;/avg&gt;&lt;stddev&gt;7406.48&lt;/stddev&gt;&lt;median&gt;404800.00&lt;/median&gt;&lt;percentile&gt;405269.23&lt;/percentile&gt;&lt;max&gt;405500.00&lt;/max&gt;&lt;min&gt;380100.00&lt;/min&gt;&lt;/buy&gt;&lt;sell&gt;&lt;volume&gt;21046&lt;/volume&gt;&lt;avg&gt;472557.31&lt;/avg&gt;&lt;stddev&gt;58444.56&lt;/stddev&gt;&lt;median&gt;464100.00&lt;/median&gt;&lt;percentile&gt;456069.86&lt;/percentile&gt;&lt;max&gt;900700.00&lt;/max&gt;&lt;min&gt;455000.00&lt;/min&gt;&lt;/sell&gt;&lt;/type&gt;&lt;type id="2881"&gt;&lt;buy&gt;&lt;volume&gt;330&lt;/volume&gt;&lt;avg&gt;451524.24&lt;/avg&gt;&lt;stddev&gt;494.97&lt;/stddev&gt;&lt;median&gt;451450.00&lt;/median&gt;&lt;percentile&gt;451800.00&lt;/percentile&gt;&lt;max&gt;451800.00&lt;/max&gt;&lt;min&gt;451100.00&lt;/min&gt;&lt;/buy&gt;&lt;sell&gt;&lt;volume&gt;7978&lt;/volume&gt;&lt;avg&gt;755431.34&lt;/avg&gt;&lt;stddev&gt;128020.28&lt;/stddev&gt;&lt;median&gt;592400.00&lt;/median&gt;&lt;percentile&gt;562700.00&lt;/percentile&gt;&lt;max&gt;1299000.00&lt;/max&gt;&lt;min&gt;562700.00&lt;/min&gt;&lt;/sell&gt;&lt;/type&gt;&lt;type id="2889"&gt;&lt;buy&gt;&lt;volume&gt;2510&lt;/volume&gt;&lt;avg&gt;642233.23&lt;/avg&gt;&lt;stddev&gt;130123.06&lt;/stddev&gt;&lt;median&gt;655200.00&lt;/median&gt;&lt;percentile&gt;656900.00&lt;/percentile&gt;&lt;max&gt;656900.00&lt;/max&gt;&lt;min&gt;251000.00&lt;/min&gt;&lt;/buy&gt;&lt;sell&gt;&lt;volume&gt;17218&lt;/volume&gt;&lt;avg&gt;796815.72&lt;/avg&gt;&lt;stddev&gt;124338.42&lt;/stddev&gt;&lt;median&gt;749500.00&lt;/median&gt;&lt;percentile&gt;734493.23&lt;/percentile&gt;&lt;max&gt;1098000.00&lt;/max&gt;&lt;min&gt;734300.00&lt;/min&gt;&lt;/sell&gt;&lt;/type&gt;&lt;type id="22291"&gt;&lt;buy&gt;&lt;volume&gt;1585&lt;/volume&gt;&lt;avg&gt;980388.01&lt;/avg&gt;&lt;stddev&gt;202267.59&lt;/stddev&gt;&lt;median&gt;1035000.00&lt;/median&gt;&lt;percentile&gt;1037000.00&lt;/percentile&gt;&lt;max&gt;1037000.00&lt;/max&gt;&lt;min&gt;615200.00&lt;/min&gt;&lt;/buy&gt;&lt;sell&gt;&lt;volume&gt;20017&lt;/volume&gt;&lt;avg&gt;1277931.56&lt;/avg&gt;&lt;stddev&gt;181254.44&lt;/stddev&gt;&lt;median&gt;1217000.00&lt;/median&gt;&lt;percentile&gt;1126400.60&lt;/percentile&gt;&lt;max&gt;1999000.00&lt;/max&gt;&lt;min&gt;1120000.00&lt;/min&gt;&lt;/sell&gt;&lt;/type&gt;&lt;type id="15681"&gt;&lt;buy&gt;&lt;volume&gt;92&lt;/volume&gt;&lt;avg&gt;86625543.48&lt;/avg&gt;&lt;stddev&gt;7533388.86&lt;/stddev&gt;&lt;median&gt;89890000.00&lt;/median&gt;&lt;percentile&gt;95356000.00&lt;/percentile&gt;&lt;max&gt;95360000.00&lt;/max&gt;&lt;min&gt;70000000.00&lt;/min&gt;&lt;/buy&gt;&lt;sell&gt;&lt;volume&gt;418&lt;/volume&gt;&lt;avg&gt;153959808.61&lt;/avg&gt;&lt;stddev&gt;23818066.50&lt;/stddev&gt;&lt;median&gt;170200000.00&lt;/median&gt;&lt;percentile&gt;121242857.14&lt;/percentile&gt;&lt;max&gt;186900000.00&lt;/max&gt;&lt;min&gt;120800000.00&lt;/min&gt;&lt;/sell&gt;&lt;/type&gt;&lt;type id="47911"&gt;&lt;buy&gt;&lt;volume&gt;556&lt;/volume&gt;&lt;avg&gt;1225321.94&lt;/avg&gt;&lt;stddev&gt;9055.39&lt;/stddev&gt;&lt;median&gt;1218000.00&lt;/median&gt;&lt;percentile&gt;1234043.48&lt;/percentile&gt;&lt;max&gt;1235000.00&lt;/max&gt;&lt;min&gt;1211000.00&lt;/min&gt;&lt;/buy&gt;&lt;sell&gt;&lt;volume&gt;4355&lt;/volume&gt;&lt;avg&gt;3246382.09&lt;/avg&gt;&lt;stddev&gt;326991.54&lt;/stddev&gt;&lt;median&gt;3320000.00&lt;/median&gt;&lt;percentile&gt;2854878.33&lt;/percentile&gt;&lt;max&gt;4685000.00&lt;/max&gt;&lt;min&gt;2853000.00&lt;/min&gt;&lt;/sell&gt;&lt;/type&gt;&lt;type id="519"&gt;&lt;buy&gt;&lt;volume&gt;1512&lt;/volume&gt;&lt;avg&gt;964211.51&lt;/avg&gt;&lt;stddev&gt;152996.51&lt;/stddev&gt;&lt;median&gt;992800.00&lt;/median&gt;&lt;percentile&gt;998700.00&lt;/percentile&gt;&lt;max&gt;998700.00&lt;/max&gt;&lt;min&gt;635000.00&lt;/min&gt;&lt;/buy&gt;&lt;sell&gt;&lt;volume&gt;11505&lt;/volume&gt;&lt;avg&gt;1184536.81&lt;/avg&gt;&lt;stddev&gt;171989.64&lt;/stddev&gt;&lt;median&gt;1133000.00&lt;/median&gt;&lt;percentile&gt;1117264.26&lt;/percentile&gt;&lt;max&gt;1740000.00&lt;/max&gt;&lt;min&gt;1115000.00&lt;/min&gt;&lt;/sell&gt;&lt;/type&gt;&lt;type id="15806"&gt;&lt;buy&gt;&lt;volume&gt;30&lt;/volume&gt;&lt;avg&gt;82794666.67&lt;/avg&gt;&lt;stddev&gt;1699910.87&lt;/stddev&gt;&lt;median&gt;83290000.00&lt;/median&gt;&lt;percentile&gt;84530000.00&lt;/percentile&gt;&lt;max&gt;84530000.00&lt;/max&gt;&lt;min&gt;80550000.00&lt;/min&gt;&lt;/buy&gt;&lt;sell&gt;&lt;volume&gt;578&lt;/volume&gt;&lt;avg&gt;97295328.72&lt;/avg&gt;&lt;stddev&gt;3329046.32&lt;/stddev&gt;&lt;median&gt;95985000.00&lt;/median&gt;&lt;percentile&gt;93727058.82&lt;/percentile&gt;&lt;max&gt;115000000.00&lt;/max&gt;&lt;min&gt;93480000.00&lt;/min&gt;&lt;/sell&gt;&lt;/type&gt;&lt;type id="2364"&gt;&lt;buy&gt;&lt;volume&gt;2092&lt;/volume&gt;&lt;avg&gt;1012739.01&lt;/avg&gt;&lt;stddev&gt;164556.65&lt;/stddev&gt;&lt;median&gt;1031000.00&lt;/median&gt;&lt;percentile&gt;1061250.00&lt;/percentile&gt;&lt;max&gt;1062000.00&lt;/max&gt;&lt;min&gt;553200.00&lt;/min&gt;&lt;/buy&gt;&lt;sell&gt;&lt;volume&gt;6744&lt;/volume&gt;&lt;avg&gt;1246741.84&lt;/avg&gt;&lt;stddev&gt;232370.46&lt;/stddev&gt;&lt;median&gt;1196000.00&lt;/median&gt;&lt;percentile&gt;1181062.27&lt;/percentile&gt;&lt;max&gt;2362000.00&lt;/max&gt;&lt;min&gt;1179000.00&lt;/min&gt;&lt;/sell&gt;&lt;/type&gt;&lt;type id="10190"&gt;&lt;buy&gt;&lt;volume&gt;6573&lt;/volume&gt;&lt;avg&gt;1056360.72&lt;/avg&gt;&lt;stddev&gt;123086.87&lt;/stddev&gt;&lt;median&gt;1039000.00&lt;/median&gt;&lt;percentile&gt;1128535.71&lt;/percentile&gt;&lt;max&gt;1130000.00&lt;/max&gt;&lt;min&gt;621200.00&lt;/min&gt;&lt;/buy&gt;&lt;sell&gt;&lt;volume&gt;1952&lt;/volume&gt;&lt;avg&gt;1383549.18&lt;/avg&gt;&lt;stddev&gt;13559.46&lt;/stddev&gt;&lt;median&gt;1379000.00&lt;/median&gt;&lt;percentile&gt;1367861.11&lt;/percentile&gt;&lt;max&gt;1403000.00&lt;/max&gt;&lt;min&gt;1367000.00&lt;/min&gt;&lt;/sell&gt;&lt;/type&gt;&lt;type id="35790"&gt;&lt;buy&gt;&lt;volume&gt;490&lt;/volume&gt;&lt;avg&gt;1659316.33&lt;/avg&gt;&lt;stddev&gt;47825.73&lt;/stddev&gt;&lt;median&gt;1666000.00&lt;/median&gt;&lt;percentile&gt;1667000.00&lt;/percentile&gt;&lt;max&gt;1667000.00&lt;/max&gt;&lt;min&gt;1557000.00&lt;/min&gt;&lt;/buy&gt;&lt;sell&gt;&lt;volume&gt;4433&lt;/volume&gt;&lt;avg&gt;1917161.29&lt;/avg&gt;&lt;stddev&gt;250424.47&lt;/stddev&gt;&lt;median&gt;1865000.00&lt;/median&gt;&lt;percentile&gt;1841666.67&lt;/percentile&gt;&lt;max&gt;2592000.00&lt;/max&gt;&lt;min&gt;1841000.00&lt;/min&gt;&lt;/sell&gt;&lt;/type&gt;&lt;type id="1978"&gt;&lt;buy&gt;&lt;volume&gt;378&lt;/volume&gt;&lt;avg&gt;1107169.31&lt;/avg&gt;&lt;stddev&gt;376556.87&lt;/stddev&gt;&lt;median&gt;1040000.00&lt;/median&gt;&lt;percentile&gt;1370000.00&lt;/percentile&gt;&lt;max&gt;1370000.00&lt;/max&gt;&lt;min&gt;705800.00&lt;/min&gt;&lt;/buy&gt;&lt;sell&gt;&lt;volume&gt;4227&lt;/volume&gt;&lt;avg&gt;1557419.45&lt;/avg&gt;&lt;stddev&gt;182997.02&lt;/stddev&gt;&lt;median&gt;1487000.00&lt;/median&gt;&lt;percentile&gt;1471730.63&lt;/percentile&gt;&lt;max&gt;2025000.00&lt;/max&gt;&lt;min&gt;1469000.00&lt;/min&gt;&lt;/sell&gt;&lt;/type&gt;&lt;type id="1999"&gt;&lt;buy&gt;&lt;volume&gt;2176&lt;/volume&gt;&lt;avg&gt;814326.84&lt;/avg&gt;&lt;stddev&gt;72176.79&lt;/stddev&gt;&lt;median&gt;841700.00&lt;/median&gt;&lt;percentile&gt;843900.00&lt;/percentile&gt;&lt;max&gt;843900.00&lt;/max&gt;&lt;min&gt;651800.00&lt;/min&gt;&lt;/buy&gt;&lt;sell&gt;&lt;volume&gt;948&lt;/volume&gt;&lt;avg&gt;1008632.17&lt;/avg&gt;&lt;stddev&gt;97913.13&lt;/stddev&gt;&lt;median&gt;988400.00&lt;/median&gt;&lt;percentile&gt;885600.00&lt;/percentile&gt;&lt;max&gt;1240000.00&lt;/max&gt;&lt;min&gt;885600.00&lt;/min&gt;&lt;/sell&gt;&lt;/type&gt;&lt;type id="9950"&gt;&lt;buy&gt;&lt;volume&gt;432&lt;/volume&gt;&lt;avg&gt;1673546.30&lt;/avg&gt;&lt;stddev&gt;423187.90&lt;/stddev&gt;&lt;median&gt;1750500.00&lt;/median&gt;&lt;percentile&gt;2000000.00&lt;/percentile&gt;&lt;max&gt;2000000.00&lt;/max&gt;&lt;min&gt;1000000.00&lt;/min&gt;&lt;/buy&gt;&lt;sell&gt;&lt;volume&gt;5079&lt;/volume&gt;&lt;avg&gt;2482322.90&lt;/avg&gt;&lt;stddev&gt;197165.12&lt;/stddev&gt;&lt;median&gt;2399000.00&lt;/median&gt;&lt;percentile&gt;2298146.75&lt;/percentile&gt;&lt;max&gt;2800000.00&lt;/max&gt;&lt;min&gt;2267000.00&lt;/min&gt;&lt;/sell&gt;&lt;/type&gt;&lt;type id="15479"&gt;&lt;buy&gt;&lt;volume&gt;1298&lt;/volume&gt;&lt;avg&gt;1126007.70&lt;/avg&gt;&lt;stddev&gt;82590.54&lt;/stddev&gt;&lt;median&gt;1125000.00&lt;/median&gt;&lt;percentile&gt;1185000.00&lt;/percentile&gt;&lt;max&gt;1185000.00&lt;/max&gt;&lt;min&gt;903000.00&lt;/min&gt;&lt;/buy&gt;&lt;sell&gt;&lt;volume&gt;5801&lt;/volume&gt;&lt;avg&gt;1824082.92&lt;/avg&gt;&lt;stddev&gt;385603.33&lt;/stddev&gt;&lt;median&gt;1523000.00&lt;/median&gt;&lt;percentile&gt;1448154.47&lt;/percentile&gt;&lt;max&gt;3516000.00&lt;/max&gt;&lt;min&gt;1447000.00&lt;/min&gt;&lt;/sell&gt;&lt;/type&gt;&lt;type id="15463"&gt;&lt;buy&gt;&lt;volume&gt;1021&lt;/volume&gt;&lt;avg&gt;1384674.83&lt;/avg&gt;&lt;stddev&gt;80289.28&lt;/stddev&gt;&lt;median&gt;1435500.00&lt;/median&gt;&lt;percentile&gt;1455714.29&lt;/percentile&gt;&lt;max&gt;1500000.00&lt;/max&gt;&lt;min&gt;1200000.00&lt;/min&gt;&lt;/buy&gt;&lt;sell&gt;&lt;volume&gt;5864&lt;/volume&gt;&lt;avg&gt;1855478.00&lt;/avg&gt;&lt;stddev&gt;500502.42&lt;/stddev&gt;&lt;median&gt;1625500.00&lt;/median&gt;&lt;percentile&gt;1605000.00&lt;/percentile&gt;&lt;max&gt;3000000.00&lt;/max&gt;&lt;min&gt;1605000.00&lt;/min&gt;&lt;/sell&gt;&lt;/type&gt;&lt;type id="3898"&gt;&lt;buy&gt;&lt;volume&gt;561&lt;/volume&gt;&lt;avg&gt;15796470.59&lt;/avg&gt;&lt;stddev&gt;2310109.36&lt;/stddev&gt;&lt;median&gt;15720000.00&lt;/median&gt;&lt;percentile&gt;18685000.00&lt;/percentile&gt;&lt;max&gt;18710000.00&lt;/max&gt;&lt;min&gt;11920000.00&lt;/min&gt;&lt;/buy&gt;&lt;sell&gt;&lt;volume&gt;2862&lt;/volume&gt;&lt;avg&gt;21545317.96&lt;/avg&gt;&lt;stddev&gt;1944188.34&lt;/stddev&gt;&lt;median&gt;20400000.00&lt;/median&gt;&lt;percentile&gt;19986027.40&lt;/percentile&gt;&lt;max&gt;25990000.00&lt;/max&gt;&lt;min&gt;19980000.00&lt;/min&gt;&lt;/sell&gt;&lt;/type&gt;&lt;type id="15466"&gt;&lt;buy&gt;&lt;volume&gt;853&lt;/volume&gt;&lt;avg&gt;2868165.30&lt;/avg&gt;&lt;stddev&gt;237445.92&lt;/stddev&gt;&lt;median&gt;2700000.00&lt;/median&gt;&lt;percentile&gt;3302428.57&lt;/percentile&gt;&lt;max&gt;3311000.00&lt;/max&gt;&lt;min&gt;2700000.00&lt;/min&gt;&lt;/buy&gt;&lt;sell&gt;&lt;volume&gt;601&lt;/volume&gt;&lt;avg&gt;3866427.62&lt;/avg&gt;&lt;stddev&gt;378208.09&lt;/stddev&gt;&lt;median&gt;3809000.00&lt;/median&gt;&lt;percentile&gt;3600000.00&lt;/percentile&gt;&lt;max&gt;5000000.00&lt;/max&gt;&lt;min&gt;3600000.00&lt;/min&gt;&lt;/sell&gt;&lt;/type&gt;&lt;type id="15460"&gt;&lt;buy&gt;&lt;volume&gt;385&lt;/volume&gt;&lt;avg&gt;2104649.35&lt;/avg&gt;&lt;stddev&gt;965910.23&lt;/stddev&gt;&lt;median&gt;1200000.00&lt;/median&gt;&lt;percentile&gt;3226000.00&lt;/percentile&gt;&lt;max&gt;3226000.00&lt;/max&gt;&lt;min&gt;1200000.00&lt;/min&gt;&lt;/buy&gt;&lt;sell&gt;&lt;volume&gt;876&lt;/volume&gt;&lt;avg&gt;3757174.66&lt;/avg&gt;&lt;stddev&gt;123222.49&lt;/stddev&gt;&lt;median&gt;3729000.00&lt;/median&gt;&lt;percentile&gt;3650612.24&lt;/percentile&gt;&lt;max&gt;4000000.00&lt;/max&gt;&lt;min&gt;3650000.00&lt;/min&gt;&lt;/sell&gt;&lt;/type&gt;&lt;type id="46002"&gt;&lt;buy&gt;&lt;volume&gt;1772&lt;/volume&gt;&lt;avg&gt;3546362.87&lt;/avg&gt;&lt;stddev&gt;573139.79&lt;/stddev&gt;&lt;median&gt;3445500.00&lt;/median&gt;&lt;percentile&gt;4024098.84&lt;/percentile&gt;&lt;max&gt;4026000.00&lt;/max&gt;&lt;min&gt;1501000.00&lt;/min&gt;&lt;/buy&gt;&lt;sell&gt;&lt;volume&gt;4136&lt;/volume&gt;&lt;avg&gt;5732074.23&lt;/avg&gt;&lt;stddev&gt;1008122.78&lt;/stddev&gt;&lt;median&gt;5498000.00&lt;/median&gt;&lt;percentile&gt;4249289.10&lt;/percentile&gt;&lt;max&gt;12560000.00&lt;/max&gt;&lt;min&gt;4249000.00&lt;/min&gt;&lt;/sell&gt;&lt;/type&gt;&lt;type id="46004"&gt;&lt;buy&gt;&lt;volume&gt;6531&lt;/volume&gt;&lt;avg&gt;137654.80&lt;/avg&gt;&lt;stddev&gt;10541.60&lt;/stddev&gt;&lt;median&gt;138500.00&lt;/median&gt;&lt;percentile&gt;152363.64&lt;/percentile&gt;&lt;max&gt;155000.00&lt;/max&gt;&lt;min&gt;118800.00&lt;/min&gt;&lt;/buy&gt;&lt;sell&gt;&lt;volume&gt;1659&lt;/volume&gt;&lt;avg&gt;346439.66&lt;/avg&gt;&lt;stddev&gt;143286.41&lt;/stddev&gt;&lt;median&gt;324300.00&lt;/median&gt;&lt;percentile&gt;300000.00&lt;/percentile&gt;&lt;max&gt;749900.00&lt;/max&gt;&lt;min&gt;300000.00&lt;/min&gt;&lt;/sell&gt;&lt;/type&gt;&lt;type id="46005"&gt;&lt;buy&gt;&lt;volume&gt;1282&lt;/volume&gt;&lt;avg&gt;3397723.87&lt;/avg&gt;&lt;stddev&gt;376315.88&lt;/stddev&gt;&lt;median&gt;3308000.00&lt;/median&gt;&lt;percentile&gt;4008312.10&lt;/percentile&gt;&lt;max&gt;4016000.00&lt;/max&gt;&lt;min&gt;2928000.00&lt;/min&gt;&lt;/buy&gt;&lt;sell&gt;&lt;volume&gt;3519&lt;/volume&gt;&lt;avg&gt;5470663.54&lt;/avg&gt;&lt;stddev&gt;748304.74&lt;/stddev&gt;&lt;median&gt;5493500.00&lt;/median&gt;&lt;percentile&gt;4599739.70&lt;/percentile&gt;&lt;max&gt;8000000.00&lt;/max&gt;&lt;min&gt;4598000.00&lt;/min&gt;&lt;/sell&gt;&lt;/type&gt;&lt;/marketstat&gt;&lt;/exec_api&gt;</v>
      </c>
      <c r="BG48" s="3"/>
    </row>
    <row r="49" spans="1:59">
      <c r="A49" s="13" t="s">
        <v>11252</v>
      </c>
      <c r="B49" s="63">
        <f>VLOOKUP(A49,TypeIDs!B:C,2,FALSE)</f>
        <v>23037</v>
      </c>
      <c r="C49" s="36">
        <v>720</v>
      </c>
      <c r="D49" s="36">
        <f t="shared" si="0"/>
        <v>763.29</v>
      </c>
      <c r="E49" s="35">
        <f>INDEX(MARKET_INPUT[Column1.price],MATCH(B49,MARKET_INPUT[Column1.type_id]))</f>
        <v>940</v>
      </c>
      <c r="F49" s="35">
        <f t="shared" si="1"/>
        <v>898.17</v>
      </c>
      <c r="G49" s="18">
        <f>VLOOKUP(B49,TypeIDs!C:D,2,FALSE)</f>
        <v>1.2500000000000001E-2</v>
      </c>
      <c r="I49" s="15">
        <f>IF(H49="",AverageVolume!A720,H49)</f>
        <v>2741.189393939394</v>
      </c>
      <c r="J49" s="17">
        <f t="shared" si="4"/>
        <v>8618.3244545454545</v>
      </c>
      <c r="K49" s="20">
        <f t="shared" si="5"/>
        <v>19188.32575757576</v>
      </c>
      <c r="L49" s="19">
        <f t="shared" si="2"/>
        <v>239.85407196969697</v>
      </c>
      <c r="M49" s="8">
        <f t="shared" si="8"/>
        <v>1.1767087214558032</v>
      </c>
      <c r="N49" s="9">
        <f t="shared" si="9"/>
        <v>14646257.1675</v>
      </c>
      <c r="O49" s="10">
        <f t="shared" si="6"/>
        <v>2588121.3781818184</v>
      </c>
      <c r="P49" s="11">
        <f t="shared" si="7"/>
        <v>10790.4</v>
      </c>
      <c r="Q49" s="23">
        <f t="shared" si="3"/>
        <v>17234378.545681819</v>
      </c>
      <c r="R49" s="3" t="e">
        <f>VLOOKUP(B49,Buylist!B:B,1,FALSE)</f>
        <v>#N/A</v>
      </c>
      <c r="S49" s="3" t="e">
        <f>VLOOKUP(B49,Buylist!B:O,13,FALSE)</f>
        <v>#N/A</v>
      </c>
      <c r="T49" s="78">
        <v>48</v>
      </c>
      <c r="BE49" s="3" t="s">
        <v>40279</v>
      </c>
      <c r="BF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3000&lt;/volume&gt;&lt;avg&gt;10000.00&lt;/avg&gt;&lt;stddev&gt;0.00&lt;/stddev&gt;&lt;median&gt;10000.00&lt;/median&gt;&lt;percentile&gt;10000.00&lt;/percentile&gt;&lt;max&gt;10000.00&lt;/max&gt;&lt;min&gt;10000.00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G49" s="3"/>
    </row>
    <row r="50" spans="1:59">
      <c r="A50" s="39" t="s">
        <v>11222</v>
      </c>
      <c r="B50" s="63">
        <f>VLOOKUP(A50,TypeIDs!B:C,2,FALSE)</f>
        <v>22977</v>
      </c>
      <c r="C50" s="36">
        <v>748.9</v>
      </c>
      <c r="D50" s="36">
        <f t="shared" si="0"/>
        <v>793.47604999999999</v>
      </c>
      <c r="E50" s="35">
        <f>INDEX(MARKET_INPUT[Column1.price],MATCH(B50,MARKET_INPUT[Column1.type_id]))</f>
        <v>844</v>
      </c>
      <c r="F50" s="35">
        <f t="shared" si="1"/>
        <v>806.44200000000001</v>
      </c>
      <c r="G50" s="18">
        <f>VLOOKUP(B50,TypeIDs!C:D,2,FALSE)</f>
        <v>1.2500000000000001E-2</v>
      </c>
      <c r="H50" s="13">
        <v>0</v>
      </c>
      <c r="I50" s="15">
        <f>IF(H50="",AverageVolume!A735,H50)</f>
        <v>0</v>
      </c>
      <c r="J50" s="17" t="e">
        <f t="shared" si="4"/>
        <v>#DIV/0!</v>
      </c>
      <c r="K50" s="20">
        <f t="shared" si="5"/>
        <v>0</v>
      </c>
      <c r="L50" s="19">
        <f t="shared" si="2"/>
        <v>0</v>
      </c>
      <c r="M50" s="8">
        <f t="shared" si="8"/>
        <v>1.016340694845169</v>
      </c>
      <c r="N50" s="9">
        <f t="shared" si="9"/>
        <v>0</v>
      </c>
      <c r="O50" s="10">
        <f t="shared" si="6"/>
        <v>0</v>
      </c>
      <c r="P50" s="11">
        <f t="shared" si="7"/>
        <v>1037.2760000000017</v>
      </c>
      <c r="Q50" s="23">
        <f t="shared" si="3"/>
        <v>0</v>
      </c>
      <c r="R50" s="3" t="e">
        <f>VLOOKUP(B50,Buylist!B:B,1,FALSE)</f>
        <v>#N/A</v>
      </c>
      <c r="S50" s="3" t="e">
        <f>VLOOKUP(B50,Buylist!B:O,13,FALSE)</f>
        <v>#N/A</v>
      </c>
      <c r="T50" s="78">
        <v>49</v>
      </c>
      <c r="BE50" s="3" t="s">
        <v>40280</v>
      </c>
      <c r="BF50" s="3" t="e">
        <f t="shared" si="10"/>
        <v>#VALUE!</v>
      </c>
      <c r="BG50" s="3"/>
    </row>
    <row r="51" spans="1:59">
      <c r="A51" s="13" t="s">
        <v>11238</v>
      </c>
      <c r="B51" s="63">
        <f>VLOOKUP(A51,TypeIDs!B:C,2,FALSE)</f>
        <v>23009</v>
      </c>
      <c r="C51" s="36">
        <v>453.9</v>
      </c>
      <c r="D51" s="36">
        <f t="shared" si="0"/>
        <v>476.34854999999999</v>
      </c>
      <c r="E51" s="35">
        <f>INDEX(MARKET_INPUT[Column1.price],MATCH(B51,MARKET_INPUT[Column1.type_id]))</f>
        <v>549</v>
      </c>
      <c r="F51" s="35">
        <f t="shared" si="1"/>
        <v>524.56949999999995</v>
      </c>
      <c r="G51" s="18">
        <f>VLOOKUP(B51,TypeIDs!C:D,2,FALSE)</f>
        <v>2.5000000000000001E-3</v>
      </c>
      <c r="I51" s="15">
        <f>IF(H51="",AverageVolume!A750,H51)</f>
        <v>3741.7333333333331</v>
      </c>
      <c r="J51" s="17">
        <f t="shared" si="4"/>
        <v>11564.879551999999</v>
      </c>
      <c r="K51" s="20">
        <f t="shared" si="5"/>
        <v>26192.133333333331</v>
      </c>
      <c r="L51" s="19">
        <f t="shared" si="2"/>
        <v>65.480333333333334</v>
      </c>
      <c r="M51" s="8">
        <f t="shared" si="8"/>
        <v>1.1012303910655337</v>
      </c>
      <c r="N51" s="9">
        <f t="shared" si="9"/>
        <v>12476584.734739998</v>
      </c>
      <c r="O51" s="10">
        <f t="shared" si="6"/>
        <v>1263009.5518599988</v>
      </c>
      <c r="P51" s="11">
        <f t="shared" si="7"/>
        <v>19288.379999999983</v>
      </c>
      <c r="Q51" s="23">
        <f t="shared" si="3"/>
        <v>13739594.286599997</v>
      </c>
      <c r="R51" s="3" t="e">
        <f>VLOOKUP(B51,Buylist!B:B,1,FALSE)</f>
        <v>#N/A</v>
      </c>
      <c r="S51" s="3" t="e">
        <f>VLOOKUP(B51,Buylist!B:O,13,FALSE)</f>
        <v>#N/A</v>
      </c>
      <c r="T51" s="78">
        <v>50</v>
      </c>
      <c r="BE51" s="3" t="s">
        <v>40281</v>
      </c>
      <c r="BF51" s="3" t="e">
        <f t="shared" si="10"/>
        <v>#VALUE!</v>
      </c>
      <c r="BG51" s="3"/>
    </row>
    <row r="52" spans="1:59">
      <c r="A52" s="18" t="s">
        <v>12559</v>
      </c>
      <c r="B52" s="63">
        <f>VLOOKUP(A52,TypeIDs!B:C,2,FALSE)</f>
        <v>24535</v>
      </c>
      <c r="C52" s="36">
        <v>683.8</v>
      </c>
      <c r="D52" s="36">
        <f t="shared" si="0"/>
        <v>759.2290999999999</v>
      </c>
      <c r="E52" s="35">
        <f>INDEX(MARKET_INPUT[Column1.price],MATCH(B52,MARKET_INPUT[Column1.type_id]))</f>
        <v>970</v>
      </c>
      <c r="F52" s="35">
        <f t="shared" si="1"/>
        <v>926.83500000000004</v>
      </c>
      <c r="G52" s="18">
        <f>VLOOKUP(B52,TypeIDs!C:D,2,FALSE)</f>
        <v>0.05</v>
      </c>
      <c r="I52" s="15">
        <f>IF(H52="",AverageVolume!A765,H52)</f>
        <v>21824.204166666666</v>
      </c>
      <c r="J52" s="17">
        <f t="shared" si="4"/>
        <v>68457.390661833342</v>
      </c>
      <c r="K52" s="20">
        <f t="shared" si="5"/>
        <v>152769.42916666667</v>
      </c>
      <c r="L52" s="19">
        <f t="shared" si="2"/>
        <v>7638.4714583333334</v>
      </c>
      <c r="M52" s="8">
        <f t="shared" si="8"/>
        <v>1.2207580030849716</v>
      </c>
      <c r="N52" s="9">
        <f t="shared" si="9"/>
        <v>115986996.21372207</v>
      </c>
      <c r="O52" s="10">
        <f t="shared" si="6"/>
        <v>25605057.667965438</v>
      </c>
      <c r="P52" s="11">
        <f t="shared" si="7"/>
        <v>3352.1180000000027</v>
      </c>
      <c r="Q52" s="23">
        <f t="shared" si="3"/>
        <v>141592053.88168749</v>
      </c>
      <c r="R52" s="3">
        <f>VLOOKUP(B52,Buylist!B:B,1,FALSE)</f>
        <v>24535</v>
      </c>
      <c r="S52" s="3">
        <f>VLOOKUP(B52,Buylist!B:O,13,FALSE)</f>
        <v>0</v>
      </c>
      <c r="T52" s="78">
        <v>51</v>
      </c>
    </row>
    <row r="53" spans="1:59">
      <c r="A53" s="18" t="s">
        <v>12563</v>
      </c>
      <c r="B53" s="63">
        <f>VLOOKUP(A53,TypeIDs!B:C,2,FALSE)</f>
        <v>24539</v>
      </c>
      <c r="C53" s="36">
        <v>611.6</v>
      </c>
      <c r="D53" s="36">
        <f t="shared" si="0"/>
        <v>683.81619999999998</v>
      </c>
      <c r="E53" s="35">
        <f>INDEX(MARKET_INPUT[Column1.price],MATCH(B53,MARKET_INPUT[Column1.type_id]))</f>
        <v>892.4</v>
      </c>
      <c r="F53" s="35">
        <f t="shared" si="1"/>
        <v>852.68819999999994</v>
      </c>
      <c r="G53" s="18">
        <f>VLOOKUP(B53,TypeIDs!C:D,2,FALSE)</f>
        <v>0.05</v>
      </c>
      <c r="I53" s="15">
        <f>IF(H53="",AverageVolume!A780,H53)</f>
        <v>11860.891666666666</v>
      </c>
      <c r="J53" s="17">
        <f t="shared" si="4"/>
        <v>37033.599268666672</v>
      </c>
      <c r="K53" s="20">
        <f t="shared" si="5"/>
        <v>83026.241666666669</v>
      </c>
      <c r="L53" s="19">
        <f t="shared" si="2"/>
        <v>4151.3120833333332</v>
      </c>
      <c r="M53" s="8">
        <f t="shared" si="8"/>
        <v>1.2469552490859386</v>
      </c>
      <c r="N53" s="9">
        <f t="shared" si="9"/>
        <v>56774689.076781668</v>
      </c>
      <c r="O53" s="10">
        <f t="shared" si="6"/>
        <v>14020807.48273333</v>
      </c>
      <c r="P53" s="11">
        <f t="shared" si="7"/>
        <v>3377.4399999999991</v>
      </c>
      <c r="Q53" s="23">
        <f t="shared" si="3"/>
        <v>70795496.559514999</v>
      </c>
      <c r="R53" s="3" t="e">
        <f>VLOOKUP(B53,Buylist!B:B,1,FALSE)</f>
        <v>#N/A</v>
      </c>
      <c r="S53" s="3" t="e">
        <f>VLOOKUP(B53,Buylist!B:O,13,FALSE)</f>
        <v>#N/A</v>
      </c>
      <c r="T53" s="78">
        <v>52</v>
      </c>
    </row>
    <row r="54" spans="1:59">
      <c r="A54" s="28" t="s">
        <v>14611</v>
      </c>
      <c r="B54" s="63">
        <f>VLOOKUP(A54,TypeIDs!B:C,2,FALSE)</f>
        <v>27377</v>
      </c>
      <c r="C54" s="36">
        <v>2053</v>
      </c>
      <c r="D54" s="36">
        <f t="shared" si="0"/>
        <v>2189.3584999999998</v>
      </c>
      <c r="E54" s="35">
        <f>INDEX(MARKET_INPUT[Column1.price],MATCH(B54,MARKET_INPUT[Column1.type_id]))</f>
        <v>2201</v>
      </c>
      <c r="F54" s="35">
        <f t="shared" si="1"/>
        <v>2103.0554999999999</v>
      </c>
      <c r="G54" s="18">
        <f>VLOOKUP(B54,TypeIDs!C:D,2,FALSE)</f>
        <v>0.05</v>
      </c>
      <c r="I54" s="15">
        <f>IF(H54="",AverageVolume!A795,H54)</f>
        <v>4336.5666666666666</v>
      </c>
      <c r="J54" s="17">
        <f t="shared" si="4"/>
        <v>14790.394273333333</v>
      </c>
      <c r="K54" s="20">
        <f t="shared" si="5"/>
        <v>30355.966666666667</v>
      </c>
      <c r="L54" s="19">
        <f t="shared" si="2"/>
        <v>1517.7983333333334</v>
      </c>
      <c r="M54" s="8">
        <f t="shared" si="8"/>
        <v>0.96058069064522789</v>
      </c>
      <c r="N54" s="9">
        <f t="shared" si="9"/>
        <v>66460093.647383332</v>
      </c>
      <c r="O54" s="10">
        <f t="shared" si="6"/>
        <v>-2619810.9912333298</v>
      </c>
      <c r="P54" s="11">
        <f t="shared" si="7"/>
        <v>-1726.0599999999977</v>
      </c>
      <c r="Q54" s="23">
        <f t="shared" si="3"/>
        <v>63840282.656150006</v>
      </c>
      <c r="R54" s="3" t="e">
        <f>VLOOKUP(B54,Buylist!B:B,1,FALSE)</f>
        <v>#N/A</v>
      </c>
      <c r="S54" s="3" t="e">
        <f>VLOOKUP(B54,Buylist!B:O,13,FALSE)</f>
        <v>#N/A</v>
      </c>
      <c r="T54" s="78">
        <v>53</v>
      </c>
    </row>
    <row r="55" spans="1:59">
      <c r="A55" s="18" t="s">
        <v>12510</v>
      </c>
      <c r="B55" s="63">
        <f>VLOOKUP(A55,TypeIDs!B:C,2,FALSE)</f>
        <v>24486</v>
      </c>
      <c r="C55" s="36">
        <v>108.7</v>
      </c>
      <c r="D55" s="36">
        <f t="shared" si="0"/>
        <v>127.03715</v>
      </c>
      <c r="E55" s="35">
        <f>INDEX(MARKET_INPUT[Column1.price],MATCH(B55,MARKET_INPUT[Column1.type_id]))</f>
        <v>190</v>
      </c>
      <c r="F55" s="35">
        <f t="shared" si="1"/>
        <v>181.54499999999999</v>
      </c>
      <c r="G55" s="18">
        <f>VLOOKUP(B55,TypeIDs!C:D,2,FALSE)</f>
        <v>1.4999999999999999E-2</v>
      </c>
      <c r="I55" s="15">
        <f>IF(H55="",AverageVolume!A810,H55)</f>
        <v>4672.40625</v>
      </c>
      <c r="J55" s="17">
        <f t="shared" si="4"/>
        <v>14118.826861875001</v>
      </c>
      <c r="K55" s="20">
        <f t="shared" si="5"/>
        <v>32706.84375</v>
      </c>
      <c r="L55" s="19">
        <f t="shared" si="2"/>
        <v>490.60265625</v>
      </c>
      <c r="M55" s="8">
        <f t="shared" si="8"/>
        <v>1.429070157823912</v>
      </c>
      <c r="N55" s="9">
        <f t="shared" si="9"/>
        <v>4154984.2154953126</v>
      </c>
      <c r="O55" s="10">
        <f t="shared" si="6"/>
        <v>1782779.7330984371</v>
      </c>
      <c r="P55" s="11">
        <f t="shared" si="7"/>
        <v>3633.8566666666661</v>
      </c>
      <c r="Q55" s="23">
        <f t="shared" si="3"/>
        <v>5937763.9485937497</v>
      </c>
      <c r="R55" s="3" t="e">
        <f>VLOOKUP(B55,Buylist!B:B,1,FALSE)</f>
        <v>#N/A</v>
      </c>
      <c r="S55" s="3" t="e">
        <f>VLOOKUP(B55,Buylist!B:O,13,FALSE)</f>
        <v>#N/A</v>
      </c>
      <c r="T55" s="78">
        <v>54</v>
      </c>
    </row>
    <row r="56" spans="1:59">
      <c r="A56" s="18" t="s">
        <v>12514</v>
      </c>
      <c r="B56" s="63">
        <f>VLOOKUP(A56,TypeIDs!B:C,2,FALSE)</f>
        <v>24490</v>
      </c>
      <c r="C56" s="36">
        <v>109</v>
      </c>
      <c r="D56" s="36">
        <f t="shared" si="0"/>
        <v>127.3505</v>
      </c>
      <c r="E56" s="35">
        <f>INDEX(MARKET_INPUT[Column1.price],MATCH(B56,MARKET_INPUT[Column1.type_id]))</f>
        <v>199</v>
      </c>
      <c r="F56" s="35">
        <f t="shared" si="1"/>
        <v>190.14449999999999</v>
      </c>
      <c r="G56" s="18">
        <f>VLOOKUP(B56,TypeIDs!C:D,2,FALSE)</f>
        <v>1.4999999999999999E-2</v>
      </c>
      <c r="I56" s="15">
        <f>IF(H56="",AverageVolume!A825,H56)</f>
        <v>66224.279166666674</v>
      </c>
      <c r="J56" s="17">
        <f t="shared" si="4"/>
        <v>200116.55678583335</v>
      </c>
      <c r="K56" s="20">
        <f t="shared" si="5"/>
        <v>463569.95416666672</v>
      </c>
      <c r="L56" s="19">
        <f t="shared" si="2"/>
        <v>6953.5493125000003</v>
      </c>
      <c r="M56" s="8">
        <f t="shared" si="8"/>
        <v>1.4930801213972462</v>
      </c>
      <c r="N56" s="9">
        <f t="shared" si="9"/>
        <v>59035865.448102087</v>
      </c>
      <c r="O56" s="10">
        <f t="shared" si="6"/>
        <v>29109411.701941669</v>
      </c>
      <c r="P56" s="11">
        <f t="shared" si="7"/>
        <v>4186.2666666666664</v>
      </c>
      <c r="Q56" s="23">
        <f t="shared" si="3"/>
        <v>88145277.150043756</v>
      </c>
      <c r="R56" s="3" t="e">
        <f>VLOOKUP(B56,Buylist!B:B,1,FALSE)</f>
        <v>#N/A</v>
      </c>
      <c r="S56" s="3" t="e">
        <f>VLOOKUP(B56,Buylist!B:O,13,FALSE)</f>
        <v>#N/A</v>
      </c>
      <c r="T56" s="78">
        <v>55</v>
      </c>
    </row>
    <row r="57" spans="1:59">
      <c r="A57" s="18" t="s">
        <v>12512</v>
      </c>
      <c r="B57" s="63">
        <f>VLOOKUP(A57,TypeIDs!B:C,2,FALSE)</f>
        <v>24488</v>
      </c>
      <c r="C57" s="36">
        <v>95.95</v>
      </c>
      <c r="D57" s="36">
        <f t="shared" si="0"/>
        <v>113.719775</v>
      </c>
      <c r="E57" s="35">
        <f>INDEX(MARKET_INPUT[Column1.price],MATCH(B57,MARKET_INPUT[Column1.type_id]))</f>
        <v>350</v>
      </c>
      <c r="F57" s="35">
        <f t="shared" si="1"/>
        <v>334.42500000000001</v>
      </c>
      <c r="G57" s="18">
        <f>VLOOKUP(B57,TypeIDs!C:D,2,FALSE)</f>
        <v>1.4999999999999999E-2</v>
      </c>
      <c r="H57" s="13">
        <v>200</v>
      </c>
      <c r="I57" s="15">
        <f>IF(H57="",AverageVolume!A840,H57)</f>
        <v>200</v>
      </c>
      <c r="J57" s="17">
        <f t="shared" si="4"/>
        <v>603.86800000000005</v>
      </c>
      <c r="K57" s="20">
        <f t="shared" si="5"/>
        <v>1400</v>
      </c>
      <c r="L57" s="19">
        <f t="shared" si="2"/>
        <v>21</v>
      </c>
      <c r="M57" s="8">
        <f t="shared" si="8"/>
        <v>2.9407814076311709</v>
      </c>
      <c r="N57" s="9">
        <f t="shared" si="9"/>
        <v>159207.685</v>
      </c>
      <c r="O57" s="10">
        <f t="shared" si="6"/>
        <v>308987.315</v>
      </c>
      <c r="P57" s="11">
        <f t="shared" si="7"/>
        <v>14713.681666666667</v>
      </c>
      <c r="Q57" s="23">
        <f t="shared" si="3"/>
        <v>468195</v>
      </c>
      <c r="R57" s="3">
        <f>VLOOKUP(B57,Buylist!B:B,1,FALSE)</f>
        <v>24488</v>
      </c>
      <c r="S57" s="3">
        <f>VLOOKUP(B57,Buylist!B:O,13,FALSE)</f>
        <v>0</v>
      </c>
      <c r="T57" s="78">
        <v>56</v>
      </c>
    </row>
    <row r="58" spans="1:59">
      <c r="A58" s="18" t="s">
        <v>1427</v>
      </c>
      <c r="B58" s="63">
        <f>VLOOKUP(A58,TypeIDs!B:C,2,FALSE)</f>
        <v>2679</v>
      </c>
      <c r="C58" s="36">
        <v>125</v>
      </c>
      <c r="D58" s="36">
        <f t="shared" si="0"/>
        <v>144.0625</v>
      </c>
      <c r="E58" s="35">
        <f>INDEX(MARKET_INPUT[Column1.price],MATCH(B58,MARKET_INPUT[Column1.type_id]))</f>
        <v>696.9</v>
      </c>
      <c r="F58" s="35">
        <f t="shared" si="1"/>
        <v>665.88794999999993</v>
      </c>
      <c r="G58" s="18">
        <f>VLOOKUP(B58,TypeIDs!C:D,2,FALSE)</f>
        <v>1.4999999999999999E-2</v>
      </c>
      <c r="I58" s="15">
        <f>IF(H58="",AverageVolume!A855,H58)</f>
        <v>12569.266666666666</v>
      </c>
      <c r="J58" s="17">
        <f t="shared" si="4"/>
        <v>38022.061666666668</v>
      </c>
      <c r="K58" s="20">
        <f t="shared" si="5"/>
        <v>87984.866666666669</v>
      </c>
      <c r="L58" s="19">
        <f t="shared" si="2"/>
        <v>1319.7729999999999</v>
      </c>
      <c r="M58" s="8">
        <f t="shared" si="8"/>
        <v>4.6222157049891539</v>
      </c>
      <c r="N58" s="9">
        <f t="shared" si="9"/>
        <v>12675319.854166666</v>
      </c>
      <c r="O58" s="10">
        <f t="shared" si="6"/>
        <v>45912742.641523331</v>
      </c>
      <c r="P58" s="11">
        <f t="shared" si="7"/>
        <v>34788.363333333327</v>
      </c>
      <c r="Q58" s="23">
        <f t="shared" si="3"/>
        <v>58588062.495689996</v>
      </c>
      <c r="R58" s="3">
        <f>VLOOKUP(B58,Buylist!B:B,1,FALSE)</f>
        <v>2679</v>
      </c>
      <c r="S58" s="3">
        <f>VLOOKUP(B58,Buylist!B:O,13,FALSE)</f>
        <v>0</v>
      </c>
      <c r="T58" s="78">
        <v>57</v>
      </c>
    </row>
    <row r="59" spans="1:59">
      <c r="A59" s="18" t="s">
        <v>12517</v>
      </c>
      <c r="B59" s="63">
        <f>VLOOKUP(A59,TypeIDs!B:C,2,FALSE)</f>
        <v>24493</v>
      </c>
      <c r="C59" s="36">
        <v>96.3</v>
      </c>
      <c r="D59" s="36">
        <f t="shared" si="0"/>
        <v>114.08534999999999</v>
      </c>
      <c r="E59" s="35">
        <f>INDEX(MARKET_INPUT[Column1.price],MATCH(B59,MARKET_INPUT[Column1.type_id]))</f>
        <v>180</v>
      </c>
      <c r="F59" s="35">
        <f t="shared" si="1"/>
        <v>171.99</v>
      </c>
      <c r="G59" s="18">
        <f>VLOOKUP(B59,TypeIDs!C:D,2,FALSE)</f>
        <v>1.4999999999999999E-2</v>
      </c>
      <c r="I59" s="15">
        <f>IF(H59="",AverageVolume!A870,H59)</f>
        <v>30467.631944444445</v>
      </c>
      <c r="J59" s="17">
        <f t="shared" si="4"/>
        <v>91989.732424583344</v>
      </c>
      <c r="K59" s="20">
        <f t="shared" si="5"/>
        <v>213273.42361111112</v>
      </c>
      <c r="L59" s="19">
        <f t="shared" si="2"/>
        <v>3199.1013541666666</v>
      </c>
      <c r="M59" s="8">
        <f t="shared" si="8"/>
        <v>1.5075555275063803</v>
      </c>
      <c r="N59" s="9">
        <f t="shared" si="9"/>
        <v>24331373.178371873</v>
      </c>
      <c r="O59" s="10">
        <f t="shared" si="6"/>
        <v>12349522.948503129</v>
      </c>
      <c r="P59" s="11">
        <f t="shared" si="7"/>
        <v>3860.3100000000013</v>
      </c>
      <c r="Q59" s="23">
        <f t="shared" si="3"/>
        <v>36680896.126874998</v>
      </c>
      <c r="R59" s="3" t="e">
        <f>VLOOKUP(B59,Buylist!B:B,1,FALSE)</f>
        <v>#N/A</v>
      </c>
      <c r="S59" s="3" t="e">
        <f>VLOOKUP(B59,Buylist!B:O,13,FALSE)</f>
        <v>#N/A</v>
      </c>
      <c r="T59" s="78">
        <v>58</v>
      </c>
    </row>
    <row r="60" spans="1:59">
      <c r="A60" s="18" t="s">
        <v>12516</v>
      </c>
      <c r="B60" s="63">
        <f>VLOOKUP(A60,TypeIDs!B:C,2,FALSE)</f>
        <v>24492</v>
      </c>
      <c r="C60" s="36">
        <v>106.9</v>
      </c>
      <c r="D60" s="36">
        <f t="shared" si="0"/>
        <v>125.15705000000001</v>
      </c>
      <c r="E60" s="35">
        <f>INDEX(MARKET_INPUT[Column1.price],MATCH(B60,MARKET_INPUT[Column1.type_id]))</f>
        <v>365</v>
      </c>
      <c r="F60" s="35">
        <f t="shared" si="1"/>
        <v>348.75749999999999</v>
      </c>
      <c r="G60" s="18">
        <f>VLOOKUP(B60,TypeIDs!C:D,2,FALSE)</f>
        <v>1.4999999999999999E-2</v>
      </c>
      <c r="I60" s="15">
        <f>IF(H60="",AverageVolume!A885,H60)</f>
        <v>2667.2833333333333</v>
      </c>
      <c r="J60" s="17">
        <f t="shared" si="4"/>
        <v>8058.9065176666672</v>
      </c>
      <c r="K60" s="20">
        <f t="shared" si="5"/>
        <v>18670.983333333334</v>
      </c>
      <c r="L60" s="19">
        <f t="shared" si="2"/>
        <v>280.06475</v>
      </c>
      <c r="M60" s="8">
        <f t="shared" si="8"/>
        <v>2.786558967313467</v>
      </c>
      <c r="N60" s="9">
        <f t="shared" si="9"/>
        <v>2336805.194599167</v>
      </c>
      <c r="O60" s="10">
        <f t="shared" si="6"/>
        <v>4174840.275275833</v>
      </c>
      <c r="P60" s="11">
        <f t="shared" si="7"/>
        <v>14906.696666666665</v>
      </c>
      <c r="Q60" s="23">
        <f t="shared" si="3"/>
        <v>6511645.4698750004</v>
      </c>
      <c r="R60" s="3">
        <f>VLOOKUP(B60,Buylist!B:B,1,FALSE)</f>
        <v>24492</v>
      </c>
      <c r="S60" s="3">
        <f>VLOOKUP(B60,Buylist!B:O,13,FALSE)</f>
        <v>0</v>
      </c>
      <c r="T60" s="78">
        <v>59</v>
      </c>
    </row>
    <row r="61" spans="1:59">
      <c r="A61" s="18" t="s">
        <v>14625</v>
      </c>
      <c r="B61" s="63">
        <f>VLOOKUP(A61,TypeIDs!B:C,2,FALSE)</f>
        <v>27405</v>
      </c>
      <c r="C61" s="36">
        <v>1200</v>
      </c>
      <c r="D61" s="36">
        <f t="shared" si="0"/>
        <v>1266.9000000000001</v>
      </c>
      <c r="E61" s="35">
        <f>INDEX(MARKET_INPUT[Column1.price],MATCH(B61,MARKET_INPUT[Column1.type_id]))</f>
        <v>1414</v>
      </c>
      <c r="F61" s="35">
        <f t="shared" si="1"/>
        <v>1351.077</v>
      </c>
      <c r="G61" s="18">
        <f>VLOOKUP(B61,TypeIDs!C:D,2,FALSE)</f>
        <v>1.4999999999999999E-2</v>
      </c>
      <c r="H61" s="13">
        <v>0</v>
      </c>
      <c r="I61" s="15">
        <f>IF(H61="",AverageVolume!A900,H61)</f>
        <v>0</v>
      </c>
      <c r="J61" s="17" t="e">
        <f t="shared" si="4"/>
        <v>#DIV/0!</v>
      </c>
      <c r="K61" s="20">
        <f t="shared" si="5"/>
        <v>0</v>
      </c>
      <c r="L61" s="19">
        <f t="shared" si="2"/>
        <v>0</v>
      </c>
      <c r="M61" s="8">
        <f t="shared" si="8"/>
        <v>1.0664432867629647</v>
      </c>
      <c r="N61" s="9">
        <f t="shared" si="9"/>
        <v>0</v>
      </c>
      <c r="O61" s="10">
        <f t="shared" si="6"/>
        <v>0</v>
      </c>
      <c r="P61" s="11">
        <f t="shared" si="7"/>
        <v>5611.7999999999938</v>
      </c>
      <c r="Q61" s="23">
        <f t="shared" si="3"/>
        <v>0</v>
      </c>
      <c r="R61" s="3" t="e">
        <f>VLOOKUP(B61,Buylist!B:B,1,FALSE)</f>
        <v>#N/A</v>
      </c>
      <c r="S61" s="3" t="e">
        <f>VLOOKUP(B61,Buylist!B:O,13,FALSE)</f>
        <v>#N/A</v>
      </c>
      <c r="T61" s="78">
        <v>60</v>
      </c>
    </row>
    <row r="62" spans="1:59">
      <c r="A62" s="18" t="s">
        <v>14632</v>
      </c>
      <c r="B62" s="63">
        <f>VLOOKUP(A62,TypeIDs!B:C,2,FALSE)</f>
        <v>27419</v>
      </c>
      <c r="C62" s="36">
        <v>1198</v>
      </c>
      <c r="D62" s="36">
        <f t="shared" si="0"/>
        <v>1264.8109999999999</v>
      </c>
      <c r="E62" s="35">
        <f>INDEX(MARKET_INPUT[Column1.price],MATCH(B62,MARKET_INPUT[Column1.type_id]))</f>
        <v>1780</v>
      </c>
      <c r="F62" s="35">
        <f t="shared" si="1"/>
        <v>1700.79</v>
      </c>
      <c r="G62" s="18">
        <f>VLOOKUP(B62,TypeIDs!C:D,2,FALSE)</f>
        <v>1.4999999999999999E-2</v>
      </c>
      <c r="I62" s="15">
        <f>IF(H62="",AverageVolume!A915,H62)</f>
        <v>35278.652777777781</v>
      </c>
      <c r="J62" s="17">
        <f t="shared" si="4"/>
        <v>114288.75353888891</v>
      </c>
      <c r="K62" s="20">
        <f t="shared" si="5"/>
        <v>246950.56944444447</v>
      </c>
      <c r="L62" s="19">
        <f t="shared" si="2"/>
        <v>3704.258541666667</v>
      </c>
      <c r="M62" s="8">
        <f t="shared" si="8"/>
        <v>1.3446989313027797</v>
      </c>
      <c r="N62" s="9">
        <f t="shared" si="9"/>
        <v>312345796.68959725</v>
      </c>
      <c r="O62" s="10">
        <f t="shared" si="6"/>
        <v>107665262.31581947</v>
      </c>
      <c r="P62" s="11">
        <f t="shared" si="7"/>
        <v>29065.26666666667</v>
      </c>
      <c r="Q62" s="23">
        <f t="shared" si="3"/>
        <v>420011059.00541675</v>
      </c>
      <c r="R62" s="3" t="e">
        <f>VLOOKUP(B62,Buylist!B:B,1,FALSE)</f>
        <v>#N/A</v>
      </c>
      <c r="S62" s="3" t="e">
        <f>VLOOKUP(B62,Buylist!B:O,13,FALSE)</f>
        <v>#N/A</v>
      </c>
      <c r="T62" s="78">
        <v>61</v>
      </c>
    </row>
    <row r="63" spans="1:59">
      <c r="A63" s="18" t="s">
        <v>14623</v>
      </c>
      <c r="B63" s="63">
        <f>VLOOKUP(A63,TypeIDs!B:C,2,FALSE)</f>
        <v>27401</v>
      </c>
      <c r="C63" s="36">
        <v>1199</v>
      </c>
      <c r="D63" s="36">
        <f t="shared" si="0"/>
        <v>1265.8554999999999</v>
      </c>
      <c r="E63" s="35">
        <f>INDEX(MARKET_INPUT[Column1.price],MATCH(B63,MARKET_INPUT[Column1.type_id]))</f>
        <v>1397</v>
      </c>
      <c r="F63" s="35">
        <f t="shared" si="1"/>
        <v>1334.8335</v>
      </c>
      <c r="G63" s="18">
        <f>VLOOKUP(B63,TypeIDs!C:D,2,FALSE)</f>
        <v>1.4999999999999999E-2</v>
      </c>
      <c r="H63" s="13">
        <v>0</v>
      </c>
      <c r="I63" s="15">
        <f>IF(H63="",AverageVolume!A930,H63)</f>
        <v>0</v>
      </c>
      <c r="J63" s="17" t="e">
        <f t="shared" si="4"/>
        <v>#DIV/0!</v>
      </c>
      <c r="K63" s="20">
        <f t="shared" si="5"/>
        <v>0</v>
      </c>
      <c r="L63" s="19">
        <f t="shared" si="2"/>
        <v>0</v>
      </c>
      <c r="M63" s="8">
        <f t="shared" si="8"/>
        <v>1.0544912116746343</v>
      </c>
      <c r="N63" s="9">
        <f t="shared" si="9"/>
        <v>0</v>
      </c>
      <c r="O63" s="10">
        <f t="shared" si="6"/>
        <v>0</v>
      </c>
      <c r="P63" s="11">
        <f t="shared" si="7"/>
        <v>4598.5333333333383</v>
      </c>
      <c r="Q63" s="23">
        <f t="shared" si="3"/>
        <v>0</v>
      </c>
      <c r="R63" s="3" t="e">
        <f>VLOOKUP(B63,Buylist!B:B,1,FALSE)</f>
        <v>#N/A</v>
      </c>
      <c r="S63" s="3" t="e">
        <f>VLOOKUP(B63,Buylist!B:O,13,FALSE)</f>
        <v>#N/A</v>
      </c>
      <c r="T63" s="78">
        <v>62</v>
      </c>
    </row>
    <row r="64" spans="1:59">
      <c r="A64" s="18" t="s">
        <v>14629</v>
      </c>
      <c r="B64" s="63">
        <f>VLOOKUP(A64,TypeIDs!B:C,2,FALSE)</f>
        <v>27413</v>
      </c>
      <c r="C64" s="36">
        <v>1293</v>
      </c>
      <c r="D64" s="36">
        <f t="shared" si="0"/>
        <v>1364.0385000000001</v>
      </c>
      <c r="E64" s="35">
        <f>INDEX(MARKET_INPUT[Column1.price],MATCH(B64,MARKET_INPUT[Column1.type_id]))</f>
        <v>1394</v>
      </c>
      <c r="F64" s="35">
        <f t="shared" si="1"/>
        <v>1331.9670000000001</v>
      </c>
      <c r="G64" s="18">
        <f>VLOOKUP(B64,TypeIDs!C:D,2,FALSE)</f>
        <v>1.4999999999999999E-2</v>
      </c>
      <c r="I64" s="15">
        <f>IF(H64="",AverageVolume!A945,H64)</f>
        <v>9019.0499999999993</v>
      </c>
      <c r="J64" s="17">
        <f t="shared" si="4"/>
        <v>29389.506329999997</v>
      </c>
      <c r="K64" s="20">
        <f t="shared" si="5"/>
        <v>63133.349999999991</v>
      </c>
      <c r="L64" s="19">
        <f t="shared" si="2"/>
        <v>947.00024999999982</v>
      </c>
      <c r="M64" s="8">
        <f t="shared" si="8"/>
        <v>0.97648783373783066</v>
      </c>
      <c r="N64" s="9">
        <f t="shared" si="9"/>
        <v>86116320.03397499</v>
      </c>
      <c r="O64" s="10">
        <f t="shared" si="6"/>
        <v>-2024781.2345250007</v>
      </c>
      <c r="P64" s="11">
        <f t="shared" si="7"/>
        <v>-2138.1000000000013</v>
      </c>
      <c r="Q64" s="23">
        <f t="shared" si="3"/>
        <v>84091538.799449995</v>
      </c>
      <c r="R64" s="3" t="e">
        <f>VLOOKUP(B64,Buylist!B:B,1,FALSE)</f>
        <v>#N/A</v>
      </c>
      <c r="S64" s="3" t="e">
        <f>VLOOKUP(B64,Buylist!B:O,13,FALSE)</f>
        <v>#N/A</v>
      </c>
      <c r="T64" s="78">
        <v>63</v>
      </c>
    </row>
    <row r="65" spans="1:20">
      <c r="A65" s="18" t="s">
        <v>12535</v>
      </c>
      <c r="B65" s="63">
        <f>VLOOKUP(A65,TypeIDs!B:C,2,FALSE)</f>
        <v>24511</v>
      </c>
      <c r="C65" s="36">
        <v>395</v>
      </c>
      <c r="D65" s="36">
        <f t="shared" si="0"/>
        <v>439.57749999999999</v>
      </c>
      <c r="E65" s="35">
        <f>INDEX(MARKET_INPUT[Column1.price],MATCH(B65,MARKET_INPUT[Column1.type_id]))</f>
        <v>898.1</v>
      </c>
      <c r="F65" s="35">
        <f t="shared" si="1"/>
        <v>858.13454999999999</v>
      </c>
      <c r="G65" s="18">
        <f>VLOOKUP(B65,TypeIDs!C:D,2,FALSE)</f>
        <v>0.03</v>
      </c>
      <c r="I65" s="15">
        <f>IF(H65="",AverageVolume!A960,H65)</f>
        <v>8961.0083333333332</v>
      </c>
      <c r="J65" s="17">
        <f t="shared" si="4"/>
        <v>27591.004658333335</v>
      </c>
      <c r="K65" s="20">
        <f t="shared" si="5"/>
        <v>62727.058333333334</v>
      </c>
      <c r="L65" s="19">
        <f t="shared" si="2"/>
        <v>1881.8117499999998</v>
      </c>
      <c r="M65" s="8">
        <f t="shared" si="8"/>
        <v>1.9521803322508546</v>
      </c>
      <c r="N65" s="9">
        <f t="shared" si="9"/>
        <v>27573403.484520834</v>
      </c>
      <c r="O65" s="10">
        <f t="shared" si="6"/>
        <v>26254852.491177917</v>
      </c>
      <c r="P65" s="11">
        <f t="shared" si="7"/>
        <v>13951.901666666667</v>
      </c>
      <c r="Q65" s="23">
        <f t="shared" si="3"/>
        <v>53828255.975698754</v>
      </c>
      <c r="R65" s="3" t="e">
        <f>VLOOKUP(B65,Buylist!B:B,1,FALSE)</f>
        <v>#N/A</v>
      </c>
      <c r="S65" s="3" t="e">
        <f>VLOOKUP(B65,Buylist!B:O,13,FALSE)</f>
        <v>#N/A</v>
      </c>
      <c r="T65" s="78">
        <v>64</v>
      </c>
    </row>
    <row r="66" spans="1:20">
      <c r="A66" s="18" t="s">
        <v>12533</v>
      </c>
      <c r="B66" s="63">
        <f>VLOOKUP(A66,TypeIDs!B:C,2,FALSE)</f>
        <v>24509</v>
      </c>
      <c r="C66" s="36">
        <v>435</v>
      </c>
      <c r="D66" s="36">
        <f t="shared" ref="D66:D129" si="11">(C66+(C66*TaxRate))+(G66*ShippingCost)</f>
        <v>481.35750000000002</v>
      </c>
      <c r="E66" s="35">
        <f>INDEX(MARKET_INPUT[Column1.price],MATCH(B66,MARKET_INPUT[Column1.type_id]))</f>
        <v>900</v>
      </c>
      <c r="F66" s="35">
        <f t="shared" ref="F66:F129" si="12">E66-(E66*TaxRate)</f>
        <v>859.95</v>
      </c>
      <c r="G66" s="18">
        <f>VLOOKUP(B66,TypeIDs!C:D,2,FALSE)</f>
        <v>0.03</v>
      </c>
      <c r="I66" s="15">
        <f>IF(H66="",AverageVolume!A975,H66)</f>
        <v>40536.295833333337</v>
      </c>
      <c r="J66" s="17">
        <f t="shared" si="4"/>
        <v>125135.60523750001</v>
      </c>
      <c r="K66" s="20">
        <f t="shared" si="5"/>
        <v>283754.07083333336</v>
      </c>
      <c r="L66" s="19">
        <f t="shared" ref="L66:L129" si="13">(G66*I66)*7</f>
        <v>8512.6221250000017</v>
      </c>
      <c r="M66" s="8">
        <f t="shared" si="8"/>
        <v>1.7865100263317806</v>
      </c>
      <c r="N66" s="9">
        <f t="shared" si="9"/>
        <v>136587150.15115628</v>
      </c>
      <c r="O66" s="10">
        <f t="shared" si="6"/>
        <v>107427163.06196877</v>
      </c>
      <c r="P66" s="11">
        <f t="shared" si="7"/>
        <v>12619.750000000002</v>
      </c>
      <c r="Q66" s="23">
        <f t="shared" ref="Q66:Q129" si="14">N66+O66</f>
        <v>244014313.21312505</v>
      </c>
      <c r="R66" s="3">
        <f>VLOOKUP(B66,Buylist!B:B,1,FALSE)</f>
        <v>24509</v>
      </c>
      <c r="S66" s="3">
        <f>VLOOKUP(B66,Buylist!B:O,13,FALSE)</f>
        <v>0</v>
      </c>
      <c r="T66" s="78">
        <v>65</v>
      </c>
    </row>
    <row r="67" spans="1:20">
      <c r="A67" s="18" t="s">
        <v>1386</v>
      </c>
      <c r="B67" s="63">
        <f>VLOOKUP(A67,TypeIDs!B:C,2,FALSE)</f>
        <v>2629</v>
      </c>
      <c r="C67" s="36">
        <v>455</v>
      </c>
      <c r="D67" s="36">
        <f t="shared" si="11"/>
        <v>502.2475</v>
      </c>
      <c r="E67" s="35">
        <f>INDEX(MARKET_INPUT[Column1.price],MATCH(B67,MARKET_INPUT[Column1.type_id]))</f>
        <v>615.20000000000005</v>
      </c>
      <c r="F67" s="35">
        <f t="shared" si="12"/>
        <v>587.82360000000006</v>
      </c>
      <c r="G67" s="18">
        <f>VLOOKUP(B67,TypeIDs!C:D,2,FALSE)</f>
        <v>0.03</v>
      </c>
      <c r="I67" s="15">
        <f>IF(H67="",AverageVolume!A990,H67)</f>
        <v>7905.8229166666661</v>
      </c>
      <c r="J67" s="17">
        <f t="shared" ref="J67:J130" si="15">((C67/(5000/I67))+(G67*2)+(I67*3))</f>
        <v>24436.958635416668</v>
      </c>
      <c r="K67" s="20">
        <f t="shared" ref="K67:K130" si="16">I67*7</f>
        <v>55340.760416666664</v>
      </c>
      <c r="L67" s="19">
        <f t="shared" si="13"/>
        <v>1660.2228124999999</v>
      </c>
      <c r="M67" s="8">
        <f t="shared" si="8"/>
        <v>1.1703863135207244</v>
      </c>
      <c r="N67" s="9">
        <f t="shared" si="9"/>
        <v>27794758.567369789</v>
      </c>
      <c r="O67" s="10">
        <f t="shared" ref="O67:O130" si="17">(F67-D67)*K67</f>
        <v>4735846.4474927112</v>
      </c>
      <c r="P67" s="11">
        <f t="shared" ref="P67:P130" si="18">(F67-D67)/G67</f>
        <v>2852.5366666666687</v>
      </c>
      <c r="Q67" s="23">
        <f t="shared" si="14"/>
        <v>32530605.0148625</v>
      </c>
      <c r="R67" s="3" t="e">
        <f>VLOOKUP(B67,Buylist!B:B,1,FALSE)</f>
        <v>#N/A</v>
      </c>
      <c r="S67" s="3" t="e">
        <f>VLOOKUP(B67,Buylist!B:O,13,FALSE)</f>
        <v>#N/A</v>
      </c>
      <c r="T67" s="78">
        <v>66</v>
      </c>
    </row>
    <row r="68" spans="1:20">
      <c r="A68" s="18" t="s">
        <v>12541</v>
      </c>
      <c r="B68" s="63">
        <f>VLOOKUP(A68,TypeIDs!B:C,2,FALSE)</f>
        <v>24517</v>
      </c>
      <c r="C68" s="36">
        <v>432.9</v>
      </c>
      <c r="D68" s="36">
        <f t="shared" si="11"/>
        <v>479.16404999999997</v>
      </c>
      <c r="E68" s="35">
        <f>INDEX(MARKET_INPUT[Column1.price],MATCH(B68,MARKET_INPUT[Column1.type_id]))</f>
        <v>1799</v>
      </c>
      <c r="F68" s="35">
        <f t="shared" si="12"/>
        <v>1718.9445000000001</v>
      </c>
      <c r="G68" s="18">
        <f>VLOOKUP(B68,TypeIDs!C:D,2,FALSE)</f>
        <v>0.03</v>
      </c>
      <c r="I68" s="15">
        <f>IF(H68="",AverageVolume!A1005,H68)</f>
        <v>8620</v>
      </c>
      <c r="J68" s="17">
        <f t="shared" si="15"/>
        <v>26606.3796</v>
      </c>
      <c r="K68" s="20">
        <f t="shared" si="16"/>
        <v>60340</v>
      </c>
      <c r="L68" s="19">
        <f t="shared" si="13"/>
        <v>1810.1999999999998</v>
      </c>
      <c r="M68" s="8">
        <f t="shared" ref="M68:M131" si="19">F68/D68</f>
        <v>3.587382025007928</v>
      </c>
      <c r="N68" s="9">
        <f t="shared" ref="N68:N131" si="20">D68*K68</f>
        <v>28912758.776999999</v>
      </c>
      <c r="O68" s="10">
        <f t="shared" si="17"/>
        <v>74808352.353000015</v>
      </c>
      <c r="P68" s="11">
        <f t="shared" si="18"/>
        <v>41326.015000000007</v>
      </c>
      <c r="Q68" s="23">
        <f t="shared" si="14"/>
        <v>103721111.13000001</v>
      </c>
      <c r="R68" s="3">
        <f>VLOOKUP(B68,Buylist!B:B,1,FALSE)</f>
        <v>24517</v>
      </c>
      <c r="S68" s="3">
        <f>VLOOKUP(B68,Buylist!B:O,13,FALSE)</f>
        <v>0</v>
      </c>
      <c r="T68" s="78">
        <v>67</v>
      </c>
    </row>
    <row r="69" spans="1:20">
      <c r="A69" s="28" t="s">
        <v>14646</v>
      </c>
      <c r="B69" s="63">
        <f>VLOOKUP(A69,TypeIDs!B:C,2,FALSE)</f>
        <v>27447</v>
      </c>
      <c r="C69" s="36">
        <v>1307</v>
      </c>
      <c r="D69" s="36">
        <f t="shared" si="11"/>
        <v>1392.1614999999999</v>
      </c>
      <c r="E69" s="35">
        <f>INDEX(MARKET_INPUT[Column1.price],MATCH(B69,MARKET_INPUT[Column1.type_id]))</f>
        <v>1553</v>
      </c>
      <c r="F69" s="35">
        <f t="shared" si="12"/>
        <v>1483.8915</v>
      </c>
      <c r="G69" s="18">
        <f>VLOOKUP(B69,TypeIDs!C:D,2,FALSE)</f>
        <v>0.03</v>
      </c>
      <c r="I69" s="15">
        <f>IF(H69="",AverageVolume!A1020,H69)</f>
        <v>2567.3583333333336</v>
      </c>
      <c r="J69" s="17">
        <f t="shared" si="15"/>
        <v>8373.2424683333338</v>
      </c>
      <c r="K69" s="20">
        <f t="shared" si="16"/>
        <v>17971.508333333335</v>
      </c>
      <c r="L69" s="19">
        <f t="shared" si="13"/>
        <v>539.14525000000003</v>
      </c>
      <c r="M69" s="8">
        <f t="shared" si="19"/>
        <v>1.0658903439004741</v>
      </c>
      <c r="N69" s="9">
        <f t="shared" si="20"/>
        <v>25019241.998595834</v>
      </c>
      <c r="O69" s="10">
        <f t="shared" si="17"/>
        <v>1648526.4594166672</v>
      </c>
      <c r="P69" s="11">
        <f t="shared" si="18"/>
        <v>3057.6666666666674</v>
      </c>
      <c r="Q69" s="23">
        <f t="shared" si="14"/>
        <v>26667768.458012503</v>
      </c>
      <c r="R69" s="3" t="e">
        <f>VLOOKUP(B69,Buylist!B:B,1,FALSE)</f>
        <v>#N/A</v>
      </c>
      <c r="S69" s="3" t="e">
        <f>VLOOKUP(B69,Buylist!B:O,13,FALSE)</f>
        <v>#N/A</v>
      </c>
      <c r="T69" s="78">
        <v>68</v>
      </c>
    </row>
    <row r="70" spans="1:20">
      <c r="A70" s="28" t="s">
        <v>14640</v>
      </c>
      <c r="B70" s="63">
        <f>VLOOKUP(A70,TypeIDs!B:C,2,FALSE)</f>
        <v>27435</v>
      </c>
      <c r="C70" s="36">
        <v>1310</v>
      </c>
      <c r="D70" s="36">
        <f t="shared" si="11"/>
        <v>1395.2950000000001</v>
      </c>
      <c r="E70" s="35">
        <f>INDEX(MARKET_INPUT[Column1.price],MATCH(B70,MARKET_INPUT[Column1.type_id]))</f>
        <v>1998</v>
      </c>
      <c r="F70" s="35">
        <f t="shared" si="12"/>
        <v>1909.0889999999999</v>
      </c>
      <c r="G70" s="18">
        <f>VLOOKUP(B70,TypeIDs!C:D,2,FALSE)</f>
        <v>0.03</v>
      </c>
      <c r="I70" s="15">
        <f>IF(H70="",AverageVolume!A1035,H70)</f>
        <v>4438.2916666666661</v>
      </c>
      <c r="J70" s="17">
        <f t="shared" si="15"/>
        <v>14477.767416666664</v>
      </c>
      <c r="K70" s="20">
        <f t="shared" si="16"/>
        <v>31068.041666666664</v>
      </c>
      <c r="L70" s="19">
        <f t="shared" si="13"/>
        <v>932.04124999999988</v>
      </c>
      <c r="M70" s="8">
        <f t="shared" si="19"/>
        <v>1.3682332409992151</v>
      </c>
      <c r="N70" s="9">
        <f t="shared" si="20"/>
        <v>43349083.197291665</v>
      </c>
      <c r="O70" s="10">
        <f t="shared" si="17"/>
        <v>15962573.400083328</v>
      </c>
      <c r="P70" s="11">
        <f t="shared" si="18"/>
        <v>17126.466666666664</v>
      </c>
      <c r="Q70" s="23">
        <f t="shared" si="14"/>
        <v>59311656.597374991</v>
      </c>
      <c r="R70" s="3" t="e">
        <f>VLOOKUP(B70,Buylist!B:B,1,FALSE)</f>
        <v>#N/A</v>
      </c>
      <c r="S70" s="3" t="e">
        <f>VLOOKUP(B70,Buylist!B:O,13,FALSE)</f>
        <v>#N/A</v>
      </c>
      <c r="T70" s="78">
        <v>69</v>
      </c>
    </row>
    <row r="71" spans="1:20">
      <c r="A71" s="28" t="s">
        <v>14649</v>
      </c>
      <c r="B71" s="63">
        <f>VLOOKUP(A71,TypeIDs!B:C,2,FALSE)</f>
        <v>27453</v>
      </c>
      <c r="C71" s="36">
        <v>1209</v>
      </c>
      <c r="D71" s="36">
        <f t="shared" si="11"/>
        <v>1289.8005000000001</v>
      </c>
      <c r="E71" s="35">
        <f>INDEX(MARKET_INPUT[Column1.price],MATCH(B71,MARKET_INPUT[Column1.type_id]))</f>
        <v>1372</v>
      </c>
      <c r="F71" s="35">
        <f t="shared" si="12"/>
        <v>1310.9459999999999</v>
      </c>
      <c r="G71" s="18">
        <f>VLOOKUP(B71,TypeIDs!C:D,2,FALSE)</f>
        <v>0.03</v>
      </c>
      <c r="I71" s="15">
        <f>IF(H71="",AverageVolume!A1050,H71)</f>
        <v>1090.4583333333335</v>
      </c>
      <c r="J71" s="17">
        <f t="shared" si="15"/>
        <v>3535.1078250000005</v>
      </c>
      <c r="K71" s="20">
        <f t="shared" si="16"/>
        <v>7633.2083333333339</v>
      </c>
      <c r="L71" s="19">
        <f t="shared" si="13"/>
        <v>228.99625000000003</v>
      </c>
      <c r="M71" s="8">
        <f t="shared" si="19"/>
        <v>1.0163943958775019</v>
      </c>
      <c r="N71" s="9">
        <f t="shared" si="20"/>
        <v>9845315.9249375015</v>
      </c>
      <c r="O71" s="10">
        <f t="shared" si="17"/>
        <v>161408.0068124989</v>
      </c>
      <c r="P71" s="11">
        <f t="shared" si="18"/>
        <v>704.84999999999525</v>
      </c>
      <c r="Q71" s="23">
        <f t="shared" si="14"/>
        <v>10006723.93175</v>
      </c>
      <c r="R71" s="3" t="e">
        <f>VLOOKUP(B71,Buylist!B:B,1,FALSE)</f>
        <v>#N/A</v>
      </c>
      <c r="S71" s="3" t="e">
        <f>VLOOKUP(B71,Buylist!B:O,13,FALSE)</f>
        <v>#N/A</v>
      </c>
      <c r="T71" s="78">
        <v>70</v>
      </c>
    </row>
    <row r="72" spans="1:20">
      <c r="A72" s="28" t="s">
        <v>14643</v>
      </c>
      <c r="B72" s="63">
        <f>VLOOKUP(A72,TypeIDs!B:C,2,FALSE)</f>
        <v>27441</v>
      </c>
      <c r="C72" s="36">
        <v>1195</v>
      </c>
      <c r="D72" s="36">
        <f t="shared" si="11"/>
        <v>1275.1775</v>
      </c>
      <c r="E72" s="35">
        <f>INDEX(MARKET_INPUT[Column1.price],MATCH(B72,MARKET_INPUT[Column1.type_id]))</f>
        <v>1396</v>
      </c>
      <c r="F72" s="35">
        <f t="shared" si="12"/>
        <v>1333.8779999999999</v>
      </c>
      <c r="G72" s="18">
        <f>VLOOKUP(B72,TypeIDs!C:D,2,FALSE)</f>
        <v>0.03</v>
      </c>
      <c r="I72" s="15">
        <f>IF(H72="",AverageVolume!A1065,H72)</f>
        <v>4632.1833333333334</v>
      </c>
      <c r="J72" s="17">
        <f t="shared" si="15"/>
        <v>15003.701816666666</v>
      </c>
      <c r="K72" s="20">
        <f t="shared" si="16"/>
        <v>32425.283333333333</v>
      </c>
      <c r="L72" s="19">
        <f t="shared" si="13"/>
        <v>972.75849999999991</v>
      </c>
      <c r="M72" s="8">
        <f t="shared" si="19"/>
        <v>1.0460331992997052</v>
      </c>
      <c r="N72" s="9">
        <f t="shared" si="20"/>
        <v>41347991.737791665</v>
      </c>
      <c r="O72" s="10">
        <f t="shared" si="17"/>
        <v>1903380.3443083307</v>
      </c>
      <c r="P72" s="11">
        <f t="shared" si="18"/>
        <v>1956.6833333333307</v>
      </c>
      <c r="Q72" s="23">
        <f t="shared" si="14"/>
        <v>43251372.082099997</v>
      </c>
      <c r="R72" s="3" t="e">
        <f>VLOOKUP(B72,Buylist!B:B,1,FALSE)</f>
        <v>#N/A</v>
      </c>
      <c r="S72" s="3" t="e">
        <f>VLOOKUP(B72,Buylist!B:O,13,FALSE)</f>
        <v>#N/A</v>
      </c>
      <c r="T72" s="78">
        <v>71</v>
      </c>
    </row>
    <row r="73" spans="1:20">
      <c r="A73" s="28" t="s">
        <v>132</v>
      </c>
      <c r="B73" s="63">
        <f>VLOOKUP(A73,TypeIDs!B:C,2,FALSE)</f>
        <v>207</v>
      </c>
      <c r="C73" s="36">
        <v>100.8</v>
      </c>
      <c r="D73" s="36">
        <f t="shared" si="11"/>
        <v>132.28559999999999</v>
      </c>
      <c r="E73" s="35">
        <f>INDEX(MARKET_INPUT[Column1.price],MATCH(B73,MARKET_INPUT[Column1.type_id]))</f>
        <v>295</v>
      </c>
      <c r="F73" s="35">
        <f t="shared" si="12"/>
        <v>281.8725</v>
      </c>
      <c r="G73" s="18">
        <f>VLOOKUP(B73,TypeIDs!C:D,2,FALSE)</f>
        <v>0.03</v>
      </c>
      <c r="H73" s="13">
        <v>0</v>
      </c>
      <c r="I73" s="15">
        <f>IF(H73="",AverageVolume!A1080,H73)</f>
        <v>0</v>
      </c>
      <c r="J73" s="17" t="e">
        <f t="shared" si="15"/>
        <v>#DIV/0!</v>
      </c>
      <c r="K73" s="20">
        <f t="shared" si="16"/>
        <v>0</v>
      </c>
      <c r="L73" s="19">
        <f t="shared" si="13"/>
        <v>0</v>
      </c>
      <c r="M73" s="8">
        <f t="shared" si="19"/>
        <v>2.1307874780021412</v>
      </c>
      <c r="N73" s="9">
        <f t="shared" si="20"/>
        <v>0</v>
      </c>
      <c r="O73" s="10">
        <f t="shared" si="17"/>
        <v>0</v>
      </c>
      <c r="P73" s="11">
        <f t="shared" si="18"/>
        <v>4986.2300000000005</v>
      </c>
      <c r="Q73" s="23">
        <f t="shared" si="14"/>
        <v>0</v>
      </c>
      <c r="R73" s="3">
        <f>VLOOKUP(B73,Buylist!B:B,1,FALSE)</f>
        <v>207</v>
      </c>
      <c r="S73" s="3">
        <f>VLOOKUP(B73,Buylist!B:O,13,FALSE)</f>
        <v>0</v>
      </c>
      <c r="T73" s="78">
        <v>72</v>
      </c>
    </row>
    <row r="74" spans="1:20">
      <c r="A74" s="28" t="s">
        <v>12523</v>
      </c>
      <c r="B74" s="63">
        <f>VLOOKUP(A74,TypeIDs!B:C,2,FALSE)</f>
        <v>24499</v>
      </c>
      <c r="C74" s="36">
        <v>105.9</v>
      </c>
      <c r="D74" s="36">
        <f t="shared" si="11"/>
        <v>124.11255</v>
      </c>
      <c r="E74" s="35">
        <f>INDEX(MARKET_INPUT[Column1.price],MATCH(B74,MARKET_INPUT[Column1.type_id]))</f>
        <v>194.7</v>
      </c>
      <c r="F74" s="35">
        <f t="shared" si="12"/>
        <v>186.03584999999998</v>
      </c>
      <c r="G74" s="18">
        <f>VLOOKUP(B74,TypeIDs!C:D,2,FALSE)</f>
        <v>1.4999999999999999E-2</v>
      </c>
      <c r="I74" s="15">
        <f>IF(H74="",AverageVolume!A1095,H74)</f>
        <v>9031.5583333333343</v>
      </c>
      <c r="J74" s="17">
        <f t="shared" si="15"/>
        <v>27285.993405500001</v>
      </c>
      <c r="K74" s="20">
        <f t="shared" si="16"/>
        <v>63220.90833333334</v>
      </c>
      <c r="L74" s="19">
        <f t="shared" si="13"/>
        <v>948.313625</v>
      </c>
      <c r="M74" s="8">
        <f t="shared" si="19"/>
        <v>1.4989285934420007</v>
      </c>
      <c r="N74" s="9">
        <f t="shared" si="20"/>
        <v>7846508.1465662504</v>
      </c>
      <c r="O74" s="10">
        <f t="shared" si="17"/>
        <v>3914847.2729974994</v>
      </c>
      <c r="P74" s="11">
        <f t="shared" si="18"/>
        <v>4128.2199999999993</v>
      </c>
      <c r="Q74" s="23">
        <f t="shared" si="14"/>
        <v>11761355.41956375</v>
      </c>
      <c r="R74" s="3">
        <f>VLOOKUP(B74,Buylist!B:B,1,FALSE)</f>
        <v>24499</v>
      </c>
      <c r="S74" s="3">
        <f>VLOOKUP(B74,Buylist!B:O,13,FALSE)</f>
        <v>0</v>
      </c>
      <c r="T74" s="78">
        <v>73</v>
      </c>
    </row>
    <row r="75" spans="1:20">
      <c r="A75" s="28" t="s">
        <v>1371</v>
      </c>
      <c r="B75" s="63">
        <f>VLOOKUP(A75,TypeIDs!B:C,2,FALSE)</f>
        <v>2613</v>
      </c>
      <c r="C75" s="36">
        <v>85</v>
      </c>
      <c r="D75" s="36">
        <f t="shared" si="11"/>
        <v>102.2825</v>
      </c>
      <c r="E75" s="35">
        <f>INDEX(MARKET_INPUT[Column1.price],MATCH(B75,MARKET_INPUT[Column1.type_id]))</f>
        <v>139.4</v>
      </c>
      <c r="F75" s="35">
        <f t="shared" si="12"/>
        <v>133.19669999999999</v>
      </c>
      <c r="G75" s="18">
        <f>VLOOKUP(B75,TypeIDs!C:D,2,FALSE)</f>
        <v>1.4999999999999999E-2</v>
      </c>
      <c r="I75" s="15">
        <f>IF(H75="",AverageVolume!A1110,H75)</f>
        <v>7414.6</v>
      </c>
      <c r="J75" s="17">
        <f t="shared" si="15"/>
        <v>22369.878200000003</v>
      </c>
      <c r="K75" s="20">
        <f t="shared" si="16"/>
        <v>51902.200000000004</v>
      </c>
      <c r="L75" s="19">
        <f t="shared" si="13"/>
        <v>778.53300000000002</v>
      </c>
      <c r="M75" s="8">
        <f t="shared" si="19"/>
        <v>1.3022432967516437</v>
      </c>
      <c r="N75" s="9">
        <f t="shared" si="20"/>
        <v>5308686.7715000007</v>
      </c>
      <c r="O75" s="10">
        <f t="shared" si="17"/>
        <v>1604514.9912399999</v>
      </c>
      <c r="P75" s="11">
        <f t="shared" si="18"/>
        <v>2060.9466666666663</v>
      </c>
      <c r="Q75" s="23">
        <f t="shared" si="14"/>
        <v>6913201.7627400011</v>
      </c>
      <c r="R75" s="3" t="e">
        <f>VLOOKUP(B75,Buylist!B:B,1,FALSE)</f>
        <v>#N/A</v>
      </c>
      <c r="S75" s="3" t="e">
        <f>VLOOKUP(B75,Buylist!B:O,13,FALSE)</f>
        <v>#N/A</v>
      </c>
      <c r="T75" s="78">
        <v>74</v>
      </c>
    </row>
    <row r="76" spans="1:20">
      <c r="A76" s="28" t="s">
        <v>12521</v>
      </c>
      <c r="B76" s="63">
        <f>VLOOKUP(A76,TypeIDs!B:C,2,FALSE)</f>
        <v>24497</v>
      </c>
      <c r="C76" s="36">
        <v>87.82</v>
      </c>
      <c r="D76" s="36">
        <f t="shared" si="11"/>
        <v>105.22798999999999</v>
      </c>
      <c r="E76" s="35">
        <f>INDEX(MARKET_INPUT[Column1.price],MATCH(B76,MARKET_INPUT[Column1.type_id]))</f>
        <v>127.9</v>
      </c>
      <c r="F76" s="35">
        <f t="shared" si="12"/>
        <v>122.20845</v>
      </c>
      <c r="G76" s="18">
        <f>VLOOKUP(B76,TypeIDs!C:D,2,FALSE)</f>
        <v>1.4999999999999999E-2</v>
      </c>
      <c r="I76" s="15">
        <f>IF(H76="",AverageVolume!A1125,H76)</f>
        <v>3990.4749999999999</v>
      </c>
      <c r="J76" s="17">
        <f t="shared" si="15"/>
        <v>12041.543702899999</v>
      </c>
      <c r="K76" s="20">
        <f t="shared" si="16"/>
        <v>27933.325000000001</v>
      </c>
      <c r="L76" s="19">
        <f t="shared" si="13"/>
        <v>418.99987499999997</v>
      </c>
      <c r="M76" s="8">
        <f t="shared" si="19"/>
        <v>1.1613682823362872</v>
      </c>
      <c r="N76" s="9">
        <f t="shared" si="20"/>
        <v>2939367.6437667497</v>
      </c>
      <c r="O76" s="10">
        <f t="shared" si="17"/>
        <v>474320.70782950026</v>
      </c>
      <c r="P76" s="11">
        <f t="shared" si="18"/>
        <v>1132.0306666666672</v>
      </c>
      <c r="Q76" s="23">
        <f t="shared" si="14"/>
        <v>3413688.3515962497</v>
      </c>
      <c r="R76" s="3" t="e">
        <f>VLOOKUP(B76,Buylist!B:B,1,FALSE)</f>
        <v>#N/A</v>
      </c>
      <c r="S76" s="3" t="e">
        <f>VLOOKUP(B76,Buylist!B:O,13,FALSE)</f>
        <v>#N/A</v>
      </c>
      <c r="T76" s="78">
        <v>75</v>
      </c>
    </row>
    <row r="77" spans="1:20">
      <c r="A77" s="28" t="s">
        <v>12519</v>
      </c>
      <c r="B77" s="63">
        <f>VLOOKUP(A77,TypeIDs!B:C,2,FALSE)</f>
        <v>24495</v>
      </c>
      <c r="C77" s="36">
        <v>80.739999999999995</v>
      </c>
      <c r="D77" s="36">
        <f t="shared" si="11"/>
        <v>97.83292999999999</v>
      </c>
      <c r="E77" s="35">
        <f>INDEX(MARKET_INPUT[Column1.price],MATCH(B77,MARKET_INPUT[Column1.type_id]))</f>
        <v>75</v>
      </c>
      <c r="F77" s="35">
        <f t="shared" si="12"/>
        <v>71.662499999999994</v>
      </c>
      <c r="G77" s="18">
        <f>VLOOKUP(B77,TypeIDs!C:D,2,FALSE)</f>
        <v>1.4999999999999999E-2</v>
      </c>
      <c r="I77" s="15">
        <f>IF(H77="",AverageVolume!A1140,H77)</f>
        <v>5784.8874999999998</v>
      </c>
      <c r="J77" s="17">
        <f t="shared" si="15"/>
        <v>17448.10686335</v>
      </c>
      <c r="K77" s="20">
        <f t="shared" si="16"/>
        <v>40494.212500000001</v>
      </c>
      <c r="L77" s="19">
        <f t="shared" si="13"/>
        <v>607.41318749999994</v>
      </c>
      <c r="M77" s="8">
        <f t="shared" si="19"/>
        <v>0.73249876089778765</v>
      </c>
      <c r="N77" s="9">
        <f t="shared" si="20"/>
        <v>3961667.4569176249</v>
      </c>
      <c r="O77" s="10">
        <f t="shared" si="17"/>
        <v>-1059750.9536363748</v>
      </c>
      <c r="P77" s="11">
        <f t="shared" si="18"/>
        <v>-1744.6953333333331</v>
      </c>
      <c r="Q77" s="23">
        <f t="shared" si="14"/>
        <v>2901916.5032812501</v>
      </c>
      <c r="R77" s="3" t="e">
        <f>VLOOKUP(B77,Buylist!B:B,1,FALSE)</f>
        <v>#N/A</v>
      </c>
      <c r="S77" s="3" t="e">
        <f>VLOOKUP(B77,Buylist!B:O,13,FALSE)</f>
        <v>#N/A</v>
      </c>
      <c r="T77" s="78">
        <v>76</v>
      </c>
    </row>
    <row r="78" spans="1:20">
      <c r="A78" s="28" t="s">
        <v>14608</v>
      </c>
      <c r="B78" s="63">
        <f>VLOOKUP(A78,TypeIDs!B:C,2,FALSE)</f>
        <v>27371</v>
      </c>
      <c r="C78" s="36">
        <v>935</v>
      </c>
      <c r="D78" s="36">
        <f t="shared" si="11"/>
        <v>990.10749999999996</v>
      </c>
      <c r="E78" s="35">
        <f>INDEX(MARKET_INPUT[Column1.price],MATCH(B78,MARKET_INPUT[Column1.type_id]))</f>
        <v>1105</v>
      </c>
      <c r="F78" s="35">
        <f t="shared" si="12"/>
        <v>1055.8275000000001</v>
      </c>
      <c r="G78" s="18">
        <f>VLOOKUP(B78,TypeIDs!C:D,2,FALSE)</f>
        <v>1.4999999999999999E-2</v>
      </c>
      <c r="I78" s="15">
        <f>IF(H78="",AverageVolume!A1155,H78)</f>
        <v>7803.6083333333336</v>
      </c>
      <c r="J78" s="17">
        <f t="shared" si="15"/>
        <v>24870.129758333333</v>
      </c>
      <c r="K78" s="20">
        <f t="shared" si="16"/>
        <v>54625.258333333331</v>
      </c>
      <c r="L78" s="19">
        <f t="shared" si="13"/>
        <v>819.37887499999999</v>
      </c>
      <c r="M78" s="8">
        <f t="shared" si="19"/>
        <v>1.0663766308203908</v>
      </c>
      <c r="N78" s="9">
        <f t="shared" si="20"/>
        <v>54084877.965270832</v>
      </c>
      <c r="O78" s="10">
        <f t="shared" si="17"/>
        <v>3589971.9776666742</v>
      </c>
      <c r="P78" s="11">
        <f t="shared" si="18"/>
        <v>4381.333333333343</v>
      </c>
      <c r="Q78" s="23">
        <f t="shared" si="14"/>
        <v>57674849.942937508</v>
      </c>
      <c r="R78" s="3" t="e">
        <f>VLOOKUP(B78,Buylist!B:B,1,FALSE)</f>
        <v>#N/A</v>
      </c>
      <c r="S78" s="3" t="e">
        <f>VLOOKUP(B78,Buylist!B:O,13,FALSE)</f>
        <v>#N/A</v>
      </c>
      <c r="T78" s="78">
        <v>77</v>
      </c>
    </row>
    <row r="79" spans="1:20">
      <c r="A79" s="28" t="s">
        <v>14616</v>
      </c>
      <c r="B79" s="63">
        <f>VLOOKUP(A79,TypeIDs!B:C,2,FALSE)</f>
        <v>27387</v>
      </c>
      <c r="C79" s="36">
        <v>989.7</v>
      </c>
      <c r="D79" s="36">
        <f t="shared" si="11"/>
        <v>1047.2416499999999</v>
      </c>
      <c r="E79" s="35">
        <f>INDEX(MARKET_INPUT[Column1.price],MATCH(B79,MARKET_INPUT[Column1.type_id]))</f>
        <v>1096</v>
      </c>
      <c r="F79" s="35">
        <f t="shared" si="12"/>
        <v>1047.2280000000001</v>
      </c>
      <c r="G79" s="18">
        <f>VLOOKUP(B79,TypeIDs!C:D,2,FALSE)</f>
        <v>1.4999999999999999E-2</v>
      </c>
      <c r="I79" s="15">
        <f>IF(H79="",AverageVolume!A1170,H79)</f>
        <v>6098.9583333333339</v>
      </c>
      <c r="J79" s="17">
        <f t="shared" si="15"/>
        <v>19504.1328125</v>
      </c>
      <c r="K79" s="20">
        <f t="shared" si="16"/>
        <v>42692.708333333336</v>
      </c>
      <c r="L79" s="19">
        <f t="shared" si="13"/>
        <v>640.390625</v>
      </c>
      <c r="M79" s="8">
        <f t="shared" si="19"/>
        <v>0.99998696575904911</v>
      </c>
      <c r="N79" s="9">
        <f t="shared" si="20"/>
        <v>44709582.317968749</v>
      </c>
      <c r="O79" s="10">
        <f t="shared" si="17"/>
        <v>-582.75546874447082</v>
      </c>
      <c r="P79" s="11">
        <f t="shared" si="18"/>
        <v>-0.90999999999136594</v>
      </c>
      <c r="Q79" s="23">
        <f t="shared" si="14"/>
        <v>44708999.562500007</v>
      </c>
      <c r="R79" s="3" t="e">
        <f>VLOOKUP(B79,Buylist!B:B,1,FALSE)</f>
        <v>#N/A</v>
      </c>
      <c r="S79" s="3" t="e">
        <f>VLOOKUP(B79,Buylist!B:O,13,FALSE)</f>
        <v>#N/A</v>
      </c>
      <c r="T79" s="78">
        <v>78</v>
      </c>
    </row>
    <row r="80" spans="1:20">
      <c r="A80" s="28" t="s">
        <v>14613</v>
      </c>
      <c r="B80" s="63">
        <f>VLOOKUP(A80,TypeIDs!B:C,2,FALSE)</f>
        <v>27381</v>
      </c>
      <c r="C80" s="36">
        <v>900</v>
      </c>
      <c r="D80" s="36">
        <f t="shared" si="11"/>
        <v>953.55</v>
      </c>
      <c r="E80" s="35">
        <f>INDEX(MARKET_INPUT[Column1.price],MATCH(B80,MARKET_INPUT[Column1.type_id]))</f>
        <v>1045</v>
      </c>
      <c r="F80" s="35">
        <f t="shared" si="12"/>
        <v>998.49749999999995</v>
      </c>
      <c r="G80" s="18">
        <f>VLOOKUP(B80,TypeIDs!C:D,2,FALSE)</f>
        <v>1.4999999999999999E-2</v>
      </c>
      <c r="I80" s="15">
        <f>IF(H80="",AverageVolume!A1185,H80)</f>
        <v>3201.8083333333334</v>
      </c>
      <c r="J80" s="17">
        <f t="shared" si="15"/>
        <v>10181.780499999999</v>
      </c>
      <c r="K80" s="20">
        <f t="shared" si="16"/>
        <v>22412.658333333333</v>
      </c>
      <c r="L80" s="19">
        <f t="shared" si="13"/>
        <v>336.18987499999997</v>
      </c>
      <c r="M80" s="8">
        <f t="shared" si="19"/>
        <v>1.0471370143149283</v>
      </c>
      <c r="N80" s="9">
        <f t="shared" si="20"/>
        <v>21371590.353749998</v>
      </c>
      <c r="O80" s="10">
        <f t="shared" si="17"/>
        <v>1007392.9604374998</v>
      </c>
      <c r="P80" s="11">
        <f t="shared" si="18"/>
        <v>2996.4999999999995</v>
      </c>
      <c r="Q80" s="23">
        <f t="shared" si="14"/>
        <v>22378983.314187497</v>
      </c>
      <c r="R80" s="3" t="e">
        <f>VLOOKUP(B80,Buylist!B:B,1,FALSE)</f>
        <v>#N/A</v>
      </c>
      <c r="S80" s="3" t="e">
        <f>VLOOKUP(B80,Buylist!B:O,13,FALSE)</f>
        <v>#N/A</v>
      </c>
      <c r="T80" s="78">
        <v>79</v>
      </c>
    </row>
    <row r="81" spans="1:20">
      <c r="A81" s="28" t="s">
        <v>14603</v>
      </c>
      <c r="B81" s="63">
        <f>VLOOKUP(A81,TypeIDs!B:C,2,FALSE)</f>
        <v>27361</v>
      </c>
      <c r="C81" s="36">
        <v>924</v>
      </c>
      <c r="D81" s="36">
        <f t="shared" si="11"/>
        <v>978.61799999999994</v>
      </c>
      <c r="E81" s="35">
        <f>INDEX(MARKET_INPUT[Column1.price],MATCH(B81,MARKET_INPUT[Column1.type_id]))</f>
        <v>1027</v>
      </c>
      <c r="F81" s="35">
        <f t="shared" si="12"/>
        <v>981.29849999999999</v>
      </c>
      <c r="G81" s="18">
        <f>VLOOKUP(B81,TypeIDs!C:D,2,FALSE)</f>
        <v>1.4999999999999999E-2</v>
      </c>
      <c r="I81" s="15">
        <f>IF(H81="",AverageVolume!A1200,H81)</f>
        <v>5800.8625000000002</v>
      </c>
      <c r="J81" s="17">
        <f t="shared" si="15"/>
        <v>18474.616890000001</v>
      </c>
      <c r="K81" s="20">
        <f t="shared" si="16"/>
        <v>40606.037499999999</v>
      </c>
      <c r="L81" s="19">
        <f t="shared" si="13"/>
        <v>609.09056249999992</v>
      </c>
      <c r="M81" s="8">
        <f t="shared" si="19"/>
        <v>1.0027390667247078</v>
      </c>
      <c r="N81" s="9">
        <f t="shared" si="20"/>
        <v>39737799.206174999</v>
      </c>
      <c r="O81" s="10">
        <f t="shared" si="17"/>
        <v>108844.48351875209</v>
      </c>
      <c r="P81" s="11">
        <f t="shared" si="18"/>
        <v>178.70000000000346</v>
      </c>
      <c r="Q81" s="23">
        <f t="shared" si="14"/>
        <v>39846643.689693749</v>
      </c>
      <c r="R81" s="3" t="e">
        <f>VLOOKUP(B81,Buylist!B:B,1,FALSE)</f>
        <v>#N/A</v>
      </c>
      <c r="S81" s="3" t="e">
        <f>VLOOKUP(B81,Buylist!B:O,13,FALSE)</f>
        <v>#N/A</v>
      </c>
      <c r="T81" s="78">
        <v>80</v>
      </c>
    </row>
    <row r="82" spans="1:20">
      <c r="A82" s="18" t="s">
        <v>1564</v>
      </c>
      <c r="B82" s="63">
        <f>VLOOKUP(A82,TypeIDs!B:C,2,FALSE)</f>
        <v>2817</v>
      </c>
      <c r="C82" s="36">
        <v>87.82</v>
      </c>
      <c r="D82" s="36">
        <f t="shared" si="11"/>
        <v>96.227989999999991</v>
      </c>
      <c r="E82" s="35">
        <f>INDEX(MARKET_INPUT[Column1.price],MATCH(B82,MARKET_INPUT[Column1.type_id]))</f>
        <v>377.8</v>
      </c>
      <c r="F82" s="35">
        <f t="shared" si="12"/>
        <v>360.98790000000002</v>
      </c>
      <c r="G82" s="18">
        <f>VLOOKUP(B82,TypeIDs!C:D,2,FALSE)</f>
        <v>5.0000000000000001E-3</v>
      </c>
      <c r="H82" s="13">
        <v>0</v>
      </c>
      <c r="I82" s="15">
        <f>IF(H82="",AverageVolume!A1215,H82)</f>
        <v>0</v>
      </c>
      <c r="J82" s="17" t="e">
        <f t="shared" si="15"/>
        <v>#DIV/0!</v>
      </c>
      <c r="K82" s="20">
        <f t="shared" si="16"/>
        <v>0</v>
      </c>
      <c r="L82" s="19">
        <f t="shared" si="13"/>
        <v>0</v>
      </c>
      <c r="M82" s="8">
        <f t="shared" si="19"/>
        <v>3.7513814847426414</v>
      </c>
      <c r="N82" s="9">
        <f t="shared" si="20"/>
        <v>0</v>
      </c>
      <c r="O82" s="10">
        <f t="shared" si="17"/>
        <v>0</v>
      </c>
      <c r="P82" s="11">
        <f t="shared" si="18"/>
        <v>52951.982000000011</v>
      </c>
      <c r="Q82" s="23">
        <f t="shared" si="14"/>
        <v>0</v>
      </c>
      <c r="R82" s="3" t="e">
        <f>VLOOKUP(B82,Buylist!B:B,1,FALSE)</f>
        <v>#N/A</v>
      </c>
      <c r="S82" s="3" t="e">
        <f>VLOOKUP(B82,Buylist!B:O,13,FALSE)</f>
        <v>#N/A</v>
      </c>
      <c r="T82" s="78">
        <v>81</v>
      </c>
    </row>
    <row r="83" spans="1:20">
      <c r="A83" s="28" t="s">
        <v>12499</v>
      </c>
      <c r="B83" s="63">
        <f>VLOOKUP(A83,TypeIDs!B:C,2,FALSE)</f>
        <v>24473</v>
      </c>
      <c r="C83" s="36">
        <v>83.98</v>
      </c>
      <c r="D83" s="36">
        <f t="shared" si="11"/>
        <v>92.217110000000005</v>
      </c>
      <c r="E83" s="35">
        <f>INDEX(MARKET_INPUT[Column1.price],MATCH(B83,MARKET_INPUT[Column1.type_id]))</f>
        <v>275.89999999999998</v>
      </c>
      <c r="F83" s="35">
        <f t="shared" si="12"/>
        <v>263.62244999999996</v>
      </c>
      <c r="G83" s="18">
        <f>VLOOKUP(B83,TypeIDs!C:D,2,FALSE)</f>
        <v>5.0000000000000001E-3</v>
      </c>
      <c r="I83" s="15">
        <f>IF(H83="",AverageVolume!A1230,H83)</f>
        <v>926.14930555555554</v>
      </c>
      <c r="J83" s="17">
        <f t="shared" si="15"/>
        <v>2794.0135204027774</v>
      </c>
      <c r="K83" s="20">
        <f t="shared" si="16"/>
        <v>6483.0451388888887</v>
      </c>
      <c r="L83" s="19">
        <f t="shared" si="13"/>
        <v>32.415225694444445</v>
      </c>
      <c r="M83" s="8">
        <f t="shared" si="19"/>
        <v>2.8587151560052138</v>
      </c>
      <c r="N83" s="9">
        <f t="shared" si="20"/>
        <v>597847.68670788198</v>
      </c>
      <c r="O83" s="10">
        <f t="shared" si="17"/>
        <v>1111228.556266597</v>
      </c>
      <c r="P83" s="11">
        <f t="shared" si="18"/>
        <v>34281.067999999992</v>
      </c>
      <c r="Q83" s="23">
        <f t="shared" si="14"/>
        <v>1709076.242974479</v>
      </c>
      <c r="R83" s="3" t="e">
        <f>VLOOKUP(B83,Buylist!B:B,1,FALSE)</f>
        <v>#N/A</v>
      </c>
      <c r="S83" s="3" t="e">
        <f>VLOOKUP(B83,Buylist!B:O,13,FALSE)</f>
        <v>#N/A</v>
      </c>
      <c r="T83" s="78">
        <v>82</v>
      </c>
    </row>
    <row r="84" spans="1:20">
      <c r="A84" s="28" t="s">
        <v>12497</v>
      </c>
      <c r="B84" s="63">
        <f>VLOOKUP(A84,TypeIDs!B:C,2,FALSE)</f>
        <v>24471</v>
      </c>
      <c r="C84" s="36">
        <v>76.900000000000006</v>
      </c>
      <c r="D84" s="36">
        <f t="shared" si="11"/>
        <v>84.822050000000004</v>
      </c>
      <c r="E84" s="35">
        <f>INDEX(MARKET_INPUT[Column1.price],MATCH(B84,MARKET_INPUT[Column1.type_id]))</f>
        <v>119.5</v>
      </c>
      <c r="F84" s="35">
        <f t="shared" si="12"/>
        <v>114.18225</v>
      </c>
      <c r="G84" s="18">
        <f>VLOOKUP(B84,TypeIDs!C:D,2,FALSE)</f>
        <v>5.0000000000000001E-3</v>
      </c>
      <c r="I84" s="15">
        <f>IF(H84="",AverageVolume!A1245,H84)</f>
        <v>2598.0972222222222</v>
      </c>
      <c r="J84" s="17">
        <f t="shared" si="15"/>
        <v>7834.2604019444434</v>
      </c>
      <c r="K84" s="20">
        <f t="shared" si="16"/>
        <v>18186.680555555555</v>
      </c>
      <c r="L84" s="19">
        <f t="shared" si="13"/>
        <v>90.933402777777772</v>
      </c>
      <c r="M84" s="8">
        <f t="shared" si="19"/>
        <v>1.3461387693412266</v>
      </c>
      <c r="N84" s="9">
        <f t="shared" si="20"/>
        <v>1542631.527417361</v>
      </c>
      <c r="O84" s="10">
        <f t="shared" si="17"/>
        <v>533964.57844722201</v>
      </c>
      <c r="P84" s="11">
        <f t="shared" si="18"/>
        <v>5872.0399999999981</v>
      </c>
      <c r="Q84" s="23">
        <f t="shared" si="14"/>
        <v>2076596.105864583</v>
      </c>
      <c r="R84" s="3" t="e">
        <f>VLOOKUP(B84,Buylist!B:B,1,FALSE)</f>
        <v>#N/A</v>
      </c>
      <c r="S84" s="3" t="e">
        <f>VLOOKUP(B84,Buylist!B:O,13,FALSE)</f>
        <v>#N/A</v>
      </c>
      <c r="T84" s="78">
        <v>83</v>
      </c>
    </row>
    <row r="85" spans="1:20">
      <c r="A85" s="28" t="s">
        <v>14583</v>
      </c>
      <c r="B85" s="63">
        <f>VLOOKUP(A85,TypeIDs!B:C,2,FALSE)</f>
        <v>27321</v>
      </c>
      <c r="C85" s="36">
        <v>679.2</v>
      </c>
      <c r="D85" s="36">
        <f t="shared" si="11"/>
        <v>713.92439999999999</v>
      </c>
      <c r="E85" s="35">
        <f>INDEX(MARKET_INPUT[Column1.price],MATCH(B85,MARKET_INPUT[Column1.type_id]))</f>
        <v>777</v>
      </c>
      <c r="F85" s="35">
        <f t="shared" si="12"/>
        <v>742.42349999999999</v>
      </c>
      <c r="G85" s="18">
        <f>VLOOKUP(B85,TypeIDs!C:D,2,FALSE)</f>
        <v>5.0000000000000001E-3</v>
      </c>
      <c r="I85" s="15">
        <f>IF(H85="",AverageVolume!A1260,H85)</f>
        <v>1066.7777777777778</v>
      </c>
      <c r="J85" s="17">
        <f t="shared" si="15"/>
        <v>3345.2544266666669</v>
      </c>
      <c r="K85" s="20">
        <f t="shared" si="16"/>
        <v>7467.4444444444453</v>
      </c>
      <c r="L85" s="19">
        <f t="shared" si="13"/>
        <v>37.337222222222223</v>
      </c>
      <c r="M85" s="8">
        <f t="shared" si="19"/>
        <v>1.0399189325928628</v>
      </c>
      <c r="N85" s="9">
        <f t="shared" si="20"/>
        <v>5331190.7945333337</v>
      </c>
      <c r="O85" s="10">
        <f t="shared" si="17"/>
        <v>212815.44596666668</v>
      </c>
      <c r="P85" s="11">
        <f t="shared" si="18"/>
        <v>5699.82</v>
      </c>
      <c r="Q85" s="23">
        <f t="shared" si="14"/>
        <v>5544006.2405000003</v>
      </c>
      <c r="R85" s="3" t="e">
        <f>VLOOKUP(B85,Buylist!B:B,1,FALSE)</f>
        <v>#N/A</v>
      </c>
      <c r="S85" s="3" t="e">
        <f>VLOOKUP(B85,Buylist!B:O,13,FALSE)</f>
        <v>#N/A</v>
      </c>
      <c r="T85" s="78">
        <v>84</v>
      </c>
    </row>
    <row r="86" spans="1:20">
      <c r="A86" s="28" t="s">
        <v>14586</v>
      </c>
      <c r="B86" s="63">
        <f>VLOOKUP(A86,TypeIDs!B:C,2,FALSE)</f>
        <v>27327</v>
      </c>
      <c r="C86" s="36">
        <v>732.3</v>
      </c>
      <c r="D86" s="36">
        <f t="shared" si="11"/>
        <v>769.38734999999997</v>
      </c>
      <c r="E86" s="35">
        <f>INDEX(MARKET_INPUT[Column1.price],MATCH(B86,MARKET_INPUT[Column1.type_id]))</f>
        <v>699.9</v>
      </c>
      <c r="F86" s="35">
        <f t="shared" si="12"/>
        <v>668.75445000000002</v>
      </c>
      <c r="G86" s="18">
        <f>VLOOKUP(B86,TypeIDs!C:D,2,FALSE)</f>
        <v>5.0000000000000001E-3</v>
      </c>
      <c r="I86" s="15">
        <f>IF(H86="",AverageVolume!A1275,H86)</f>
        <v>1654.0374999999999</v>
      </c>
      <c r="J86" s="17">
        <f t="shared" si="15"/>
        <v>5204.3728322499992</v>
      </c>
      <c r="K86" s="20">
        <f t="shared" si="16"/>
        <v>11578.262499999999</v>
      </c>
      <c r="L86" s="19">
        <f t="shared" si="13"/>
        <v>57.891312500000005</v>
      </c>
      <c r="M86" s="8">
        <f t="shared" si="19"/>
        <v>0.86920385420945645</v>
      </c>
      <c r="N86" s="9">
        <f t="shared" si="20"/>
        <v>8908168.7024793737</v>
      </c>
      <c r="O86" s="10">
        <f t="shared" si="17"/>
        <v>-1165154.1323362493</v>
      </c>
      <c r="P86" s="11">
        <f t="shared" si="18"/>
        <v>-20126.579999999991</v>
      </c>
      <c r="Q86" s="23">
        <f t="shared" si="14"/>
        <v>7743014.5701431241</v>
      </c>
      <c r="R86" s="3" t="e">
        <f>VLOOKUP(B86,Buylist!B:B,1,FALSE)</f>
        <v>#N/A</v>
      </c>
      <c r="S86" s="3" t="e">
        <f>VLOOKUP(B86,Buylist!B:O,13,FALSE)</f>
        <v>#N/A</v>
      </c>
      <c r="T86" s="78">
        <v>85</v>
      </c>
    </row>
    <row r="87" spans="1:20">
      <c r="A87" s="28" t="s">
        <v>12547</v>
      </c>
      <c r="B87" s="63">
        <f>VLOOKUP(A87,TypeIDs!B:C,2,FALSE)</f>
        <v>24523</v>
      </c>
      <c r="C87" s="36">
        <v>1612</v>
      </c>
      <c r="D87" s="36">
        <f t="shared" si="11"/>
        <v>1728.7339999999999</v>
      </c>
      <c r="E87" s="35">
        <f>INDEX(MARKET_INPUT[Column1.price],MATCH(B87,MARKET_INPUT[Column1.type_id]))</f>
        <v>2700</v>
      </c>
      <c r="F87" s="35">
        <f t="shared" si="12"/>
        <v>2579.85</v>
      </c>
      <c r="G87" s="18">
        <f>VLOOKUP(B87,TypeIDs!C:D,2,FALSE)</f>
        <v>0.05</v>
      </c>
      <c r="I87" s="15">
        <f>IF(H87="",AverageVolume!A1290,H87)</f>
        <v>25793.462500000001</v>
      </c>
      <c r="J87" s="17">
        <f t="shared" si="15"/>
        <v>85696.299810000011</v>
      </c>
      <c r="K87" s="20">
        <f t="shared" si="16"/>
        <v>180554.23750000002</v>
      </c>
      <c r="L87" s="19">
        <f t="shared" si="13"/>
        <v>9027.7118750000009</v>
      </c>
      <c r="M87" s="8">
        <f t="shared" si="19"/>
        <v>1.4923348531353002</v>
      </c>
      <c r="N87" s="9">
        <f t="shared" si="20"/>
        <v>312130249.210325</v>
      </c>
      <c r="O87" s="10">
        <f t="shared" si="17"/>
        <v>153672600.40405002</v>
      </c>
      <c r="P87" s="11">
        <f t="shared" si="18"/>
        <v>17022.32</v>
      </c>
      <c r="Q87" s="23">
        <f t="shared" si="14"/>
        <v>465802849.614375</v>
      </c>
      <c r="R87" s="3" t="e">
        <f>VLOOKUP(B87,Buylist!B:B,1,FALSE)</f>
        <v>#N/A</v>
      </c>
      <c r="S87" s="3" t="e">
        <f>VLOOKUP(B87,Buylist!B:O,13,FALSE)</f>
        <v>#N/A</v>
      </c>
      <c r="T87" s="78">
        <v>86</v>
      </c>
    </row>
    <row r="88" spans="1:20">
      <c r="A88" s="18" t="s">
        <v>12543</v>
      </c>
      <c r="B88" s="63">
        <f>VLOOKUP(A88,TypeIDs!B:C,2,FALSE)</f>
        <v>24519</v>
      </c>
      <c r="C88" s="36">
        <v>1623</v>
      </c>
      <c r="D88" s="36">
        <f t="shared" si="11"/>
        <v>1740.2235000000001</v>
      </c>
      <c r="E88" s="35">
        <f>INDEX(MARKET_INPUT[Column1.price],MATCH(B88,MARKET_INPUT[Column1.type_id]))</f>
        <v>3025</v>
      </c>
      <c r="F88" s="35">
        <f t="shared" si="12"/>
        <v>2890.3874999999998</v>
      </c>
      <c r="G88" s="18">
        <f>VLOOKUP(B88,TypeIDs!C:D,2,FALSE)</f>
        <v>0.05</v>
      </c>
      <c r="I88" s="15">
        <f>IF(H88="",AverageVolume!A1305,H88)</f>
        <v>4250.770833333333</v>
      </c>
      <c r="J88" s="17">
        <f t="shared" si="15"/>
        <v>14132.212712500001</v>
      </c>
      <c r="K88" s="20">
        <f t="shared" si="16"/>
        <v>29755.395833333332</v>
      </c>
      <c r="L88" s="19">
        <f t="shared" si="13"/>
        <v>1487.7697916666666</v>
      </c>
      <c r="M88" s="8">
        <f t="shared" si="19"/>
        <v>1.6609288979260421</v>
      </c>
      <c r="N88" s="9">
        <f t="shared" si="20"/>
        <v>51781039.080968753</v>
      </c>
      <c r="O88" s="10">
        <f t="shared" si="17"/>
        <v>34223585.093249992</v>
      </c>
      <c r="P88" s="11">
        <f t="shared" si="18"/>
        <v>23003.279999999995</v>
      </c>
      <c r="Q88" s="23">
        <f t="shared" si="14"/>
        <v>86004624.174218744</v>
      </c>
      <c r="R88" s="3" t="e">
        <f>VLOOKUP(B88,Buylist!B:B,1,FALSE)</f>
        <v>#N/A</v>
      </c>
      <c r="S88" s="3" t="e">
        <f>VLOOKUP(B88,Buylist!B:O,13,FALSE)</f>
        <v>#N/A</v>
      </c>
      <c r="T88" s="78">
        <v>87</v>
      </c>
    </row>
    <row r="89" spans="1:20">
      <c r="A89" s="28" t="s">
        <v>12551</v>
      </c>
      <c r="B89" s="63">
        <f>VLOOKUP(A89,TypeIDs!B:C,2,FALSE)</f>
        <v>24527</v>
      </c>
      <c r="C89" s="36">
        <v>1568</v>
      </c>
      <c r="D89" s="36">
        <f t="shared" si="11"/>
        <v>1682.7760000000001</v>
      </c>
      <c r="E89" s="35">
        <f>INDEX(MARKET_INPUT[Column1.price],MATCH(B89,MARKET_INPUT[Column1.type_id]))</f>
        <v>2000</v>
      </c>
      <c r="F89" s="35">
        <f t="shared" si="12"/>
        <v>1911</v>
      </c>
      <c r="G89" s="18">
        <f>VLOOKUP(B89,TypeIDs!C:D,2,FALSE)</f>
        <v>0.05</v>
      </c>
      <c r="I89" s="15">
        <f>IF(H89="",AverageVolume!A1320,H89)</f>
        <v>5523.9083333333328</v>
      </c>
      <c r="J89" s="17">
        <f t="shared" si="15"/>
        <v>18304.122653333332</v>
      </c>
      <c r="K89" s="20">
        <f t="shared" si="16"/>
        <v>38667.35833333333</v>
      </c>
      <c r="L89" s="19">
        <f t="shared" si="13"/>
        <v>1933.3679166666664</v>
      </c>
      <c r="M89" s="8">
        <f t="shared" si="19"/>
        <v>1.1356235173308866</v>
      </c>
      <c r="N89" s="9">
        <f t="shared" si="20"/>
        <v>65068502.586733334</v>
      </c>
      <c r="O89" s="10">
        <f t="shared" si="17"/>
        <v>8824819.1882666629</v>
      </c>
      <c r="P89" s="11">
        <f t="shared" si="18"/>
        <v>4564.4799999999987</v>
      </c>
      <c r="Q89" s="23">
        <f t="shared" si="14"/>
        <v>73893321.774999991</v>
      </c>
      <c r="R89" s="3" t="e">
        <f>VLOOKUP(B89,Buylist!B:B,1,FALSE)</f>
        <v>#N/A</v>
      </c>
      <c r="S89" s="3" t="e">
        <f>VLOOKUP(B89,Buylist!B:O,13,FALSE)</f>
        <v>#N/A</v>
      </c>
      <c r="T89" s="78">
        <v>88</v>
      </c>
    </row>
    <row r="90" spans="1:20">
      <c r="A90" s="28" t="s">
        <v>14592</v>
      </c>
      <c r="B90" s="63">
        <f>VLOOKUP(A90,TypeIDs!B:C,2,FALSE)</f>
        <v>27339</v>
      </c>
      <c r="C90" s="36">
        <v>2542</v>
      </c>
      <c r="D90" s="36">
        <f t="shared" si="11"/>
        <v>2700.1190000000001</v>
      </c>
      <c r="E90" s="35">
        <f>INDEX(MARKET_INPUT[Column1.price],MATCH(B90,MARKET_INPUT[Column1.type_id]))</f>
        <v>741</v>
      </c>
      <c r="F90" s="35">
        <f t="shared" si="12"/>
        <v>708.02549999999997</v>
      </c>
      <c r="G90" s="18">
        <f>VLOOKUP(B90,TypeIDs!C:D,2,FALSE)</f>
        <v>0.05</v>
      </c>
      <c r="I90" s="15">
        <f>IF(H90="",AverageVolume!A1335,H90)</f>
        <v>14659.069444444445</v>
      </c>
      <c r="J90" s="17">
        <f t="shared" si="15"/>
        <v>51429.979238888889</v>
      </c>
      <c r="K90" s="20">
        <f t="shared" si="16"/>
        <v>102613.48611111112</v>
      </c>
      <c r="L90" s="19">
        <f t="shared" si="13"/>
        <v>5130.6743055555562</v>
      </c>
      <c r="M90" s="8">
        <f t="shared" si="19"/>
        <v>0.26222010955813424</v>
      </c>
      <c r="N90" s="9">
        <f t="shared" si="20"/>
        <v>277068623.50484729</v>
      </c>
      <c r="O90" s="10">
        <f t="shared" si="17"/>
        <v>-204415658.69428477</v>
      </c>
      <c r="P90" s="11">
        <f t="shared" si="18"/>
        <v>-39841.870000000003</v>
      </c>
      <c r="Q90" s="23">
        <f t="shared" si="14"/>
        <v>72652964.810562521</v>
      </c>
      <c r="R90" s="3" t="e">
        <f>VLOOKUP(B90,Buylist!B:B,1,FALSE)</f>
        <v>#N/A</v>
      </c>
      <c r="S90" s="3" t="e">
        <f>VLOOKUP(B90,Buylist!B:O,13,FALSE)</f>
        <v>#N/A</v>
      </c>
      <c r="T90" s="78">
        <v>89</v>
      </c>
    </row>
    <row r="91" spans="1:20">
      <c r="A91" s="28" t="s">
        <v>14602</v>
      </c>
      <c r="B91" s="63">
        <f>VLOOKUP(A91,TypeIDs!B:C,2,FALSE)</f>
        <v>27359</v>
      </c>
      <c r="C91" s="36">
        <v>2842</v>
      </c>
      <c r="D91" s="36">
        <f t="shared" si="11"/>
        <v>3013.4690000000001</v>
      </c>
      <c r="E91" s="35">
        <f>INDEX(MARKET_INPUT[Column1.price],MATCH(B91,MARKET_INPUT[Column1.type_id]))</f>
        <v>3057</v>
      </c>
      <c r="F91" s="35">
        <f t="shared" si="12"/>
        <v>2920.9634999999998</v>
      </c>
      <c r="G91" s="18">
        <f>VLOOKUP(B91,TypeIDs!C:D,2,FALSE)</f>
        <v>0.05</v>
      </c>
      <c r="H91" s="13">
        <v>3500</v>
      </c>
      <c r="I91" s="15">
        <f>IF(H91="",AverageVolume!A1350,H91)</f>
        <v>3500</v>
      </c>
      <c r="J91" s="17">
        <f t="shared" si="15"/>
        <v>12489.5</v>
      </c>
      <c r="K91" s="20">
        <f t="shared" si="16"/>
        <v>24500</v>
      </c>
      <c r="L91" s="19">
        <f t="shared" si="13"/>
        <v>1225</v>
      </c>
      <c r="M91" s="8">
        <f t="shared" si="19"/>
        <v>0.96930265418360029</v>
      </c>
      <c r="N91" s="9">
        <f t="shared" si="20"/>
        <v>73829990.5</v>
      </c>
      <c r="O91" s="10">
        <f t="shared" si="17"/>
        <v>-2266384.7500000051</v>
      </c>
      <c r="P91" s="11">
        <f t="shared" si="18"/>
        <v>-1850.1100000000042</v>
      </c>
      <c r="Q91" s="23">
        <f t="shared" si="14"/>
        <v>71563605.75</v>
      </c>
      <c r="R91" s="3" t="e">
        <f>VLOOKUP(B91,Buylist!B:B,1,FALSE)</f>
        <v>#N/A</v>
      </c>
      <c r="S91" s="3" t="e">
        <f>VLOOKUP(B91,Buylist!B:O,13,FALSE)</f>
        <v>#N/A</v>
      </c>
      <c r="T91" s="78">
        <v>90</v>
      </c>
    </row>
    <row r="92" spans="1:20">
      <c r="A92" s="28" t="s">
        <v>14595</v>
      </c>
      <c r="B92" s="63">
        <f>VLOOKUP(A92,TypeIDs!B:C,2,FALSE)</f>
        <v>27345</v>
      </c>
      <c r="C92" s="36">
        <f t="array" ref="C92:C177">_xlfn.FILTERXML(BF45,BG21)</f>
        <v>2490</v>
      </c>
      <c r="D92" s="69">
        <f t="shared" si="11"/>
        <v>2645.8049999999998</v>
      </c>
      <c r="E92" s="35">
        <f>INDEX(MARKET_INPUT[Column1.price],MATCH(B92,MARKET_INPUT[Column1.type_id]))</f>
        <v>2766</v>
      </c>
      <c r="F92" s="35">
        <f t="shared" si="12"/>
        <v>2642.913</v>
      </c>
      <c r="G92" s="18">
        <f>VLOOKUP(B92,TypeIDs!C:D,2,FALSE)</f>
        <v>0.05</v>
      </c>
      <c r="I92" s="15">
        <f>IF(H92="",AverageVolume!A1365,H92)</f>
        <v>6667.5749999999998</v>
      </c>
      <c r="J92" s="17">
        <f t="shared" si="15"/>
        <v>23323.277349999997</v>
      </c>
      <c r="K92" s="20">
        <f t="shared" si="16"/>
        <v>46673.025000000001</v>
      </c>
      <c r="L92" s="19">
        <f t="shared" si="13"/>
        <v>2333.6512500000003</v>
      </c>
      <c r="M92" s="8">
        <f t="shared" si="19"/>
        <v>0.99890694892480747</v>
      </c>
      <c r="N92" s="9">
        <f t="shared" si="20"/>
        <v>123487722.910125</v>
      </c>
      <c r="O92" s="10">
        <f t="shared" si="17"/>
        <v>-134978.38829999184</v>
      </c>
      <c r="P92" s="11">
        <f t="shared" si="18"/>
        <v>-57.839999999996508</v>
      </c>
      <c r="Q92" s="23">
        <f t="shared" si="14"/>
        <v>123352744.52182502</v>
      </c>
      <c r="R92" s="3" t="e">
        <f>VLOOKUP(B92,Buylist!B:B,1,FALSE)</f>
        <v>#N/A</v>
      </c>
      <c r="S92" s="3" t="e">
        <f>VLOOKUP(B92,Buylist!B:O,13,FALSE)</f>
        <v>#N/A</v>
      </c>
      <c r="T92" s="78">
        <v>91</v>
      </c>
    </row>
    <row r="93" spans="1:20">
      <c r="A93" s="39" t="s">
        <v>35891</v>
      </c>
      <c r="B93" s="63">
        <f>VLOOKUP(A93,TypeIDs!B:C,2,FALSE)</f>
        <v>56748</v>
      </c>
      <c r="C93" s="36">
        <v>69990</v>
      </c>
      <c r="D93" s="69">
        <f t="shared" si="11"/>
        <v>75804.554999999993</v>
      </c>
      <c r="E93" s="35">
        <f>INDEX(MARKET_INPUT[Column1.price],MATCH(B93,MARKET_INPUT[Column1.type_id]))</f>
        <v>168600</v>
      </c>
      <c r="F93" s="35">
        <f t="shared" si="12"/>
        <v>161097.29999999999</v>
      </c>
      <c r="G93" s="18">
        <f>VLOOKUP(B93,TypeIDs!C:D,2,FALSE)</f>
        <v>3</v>
      </c>
      <c r="I93" s="15">
        <f>IF(H93="",AverageVolume!A1380,H93)</f>
        <v>50.287878787878782</v>
      </c>
      <c r="J93" s="17">
        <f t="shared" si="15"/>
        <v>860.79336363636355</v>
      </c>
      <c r="K93" s="20">
        <f t="shared" si="16"/>
        <v>352.0151515151515</v>
      </c>
      <c r="L93" s="19">
        <f t="shared" si="13"/>
        <v>1056.0454545454545</v>
      </c>
      <c r="M93" s="8">
        <f t="shared" si="19"/>
        <v>2.1251664890058386</v>
      </c>
      <c r="N93" s="9">
        <f t="shared" si="20"/>
        <v>26684351.913863633</v>
      </c>
      <c r="O93" s="10">
        <f t="shared" si="17"/>
        <v>30024338.554318178</v>
      </c>
      <c r="P93" s="11">
        <f t="shared" si="18"/>
        <v>28430.914999999997</v>
      </c>
      <c r="Q93" s="23">
        <f t="shared" si="14"/>
        <v>56708690.468181811</v>
      </c>
      <c r="R93" s="3">
        <f>VLOOKUP(B93,Buylist!B:B,1,FALSE)</f>
        <v>56748</v>
      </c>
      <c r="S93" s="3">
        <f>VLOOKUP(B93,Buylist!B:O,13,FALSE)</f>
        <v>0</v>
      </c>
      <c r="T93" s="78">
        <v>92</v>
      </c>
    </row>
    <row r="94" spans="1:20">
      <c r="A94" s="13" t="s">
        <v>11055</v>
      </c>
      <c r="B94" s="63">
        <f>VLOOKUP(A94,TypeIDs!B:C,2,FALSE)</f>
        <v>22778</v>
      </c>
      <c r="C94" s="36">
        <v>68500</v>
      </c>
      <c r="D94" s="69">
        <f t="shared" si="11"/>
        <v>76048.25</v>
      </c>
      <c r="E94" s="35">
        <f>INDEX(MARKET_INPUT[Column1.price],MATCH(B94,MARKET_INPUT[Column1.type_id]))</f>
        <v>69390</v>
      </c>
      <c r="F94" s="35">
        <f t="shared" si="12"/>
        <v>66302.145000000004</v>
      </c>
      <c r="G94" s="18">
        <f>VLOOKUP(B94,TypeIDs!C:D,2,FALSE)</f>
        <v>5</v>
      </c>
      <c r="I94" s="15">
        <f>IF(H94="",AverageVolume!A1395,H94)</f>
        <v>158.66319444444446</v>
      </c>
      <c r="J94" s="17">
        <f t="shared" si="15"/>
        <v>2659.6753472222226</v>
      </c>
      <c r="K94" s="20">
        <f t="shared" si="16"/>
        <v>1110.6423611111113</v>
      </c>
      <c r="L94" s="19">
        <f t="shared" si="13"/>
        <v>5553.2118055555557</v>
      </c>
      <c r="M94" s="8">
        <f t="shared" si="19"/>
        <v>0.87184313905974176</v>
      </c>
      <c r="N94" s="9">
        <f t="shared" si="20"/>
        <v>84462407.938368067</v>
      </c>
      <c r="O94" s="10">
        <f t="shared" si="17"/>
        <v>-10824437.068836803</v>
      </c>
      <c r="P94" s="11">
        <f t="shared" si="18"/>
        <v>-1949.2209999999991</v>
      </c>
      <c r="Q94" s="23">
        <f t="shared" si="14"/>
        <v>73637970.869531259</v>
      </c>
      <c r="R94" s="3" t="e">
        <f>VLOOKUP(B94,Buylist!B:B,1,FALSE)</f>
        <v>#N/A</v>
      </c>
      <c r="S94" s="3" t="e">
        <f>VLOOKUP(B94,Buylist!B:O,13,FALSE)</f>
        <v>#N/A</v>
      </c>
      <c r="T94" s="78">
        <v>93</v>
      </c>
    </row>
    <row r="95" spans="1:20">
      <c r="A95" s="13" t="s">
        <v>16627</v>
      </c>
      <c r="B95" s="63">
        <f>VLOOKUP(A95,TypeIDs!B:C,2,FALSE)</f>
        <v>30028</v>
      </c>
      <c r="C95" s="36">
        <v>21970</v>
      </c>
      <c r="D95" s="69">
        <f t="shared" si="11"/>
        <v>23847.665000000001</v>
      </c>
      <c r="E95" s="35">
        <f>INDEX(MARKET_INPUT[Column1.price],MATCH(B95,MARKET_INPUT[Column1.type_id]))</f>
        <v>69410</v>
      </c>
      <c r="F95" s="35">
        <f t="shared" si="12"/>
        <v>66321.255000000005</v>
      </c>
      <c r="G95" s="18">
        <f>VLOOKUP(B95,TypeIDs!C:D,2,FALSE)</f>
        <v>1</v>
      </c>
      <c r="I95" s="15">
        <f>IF(H95="",AverageVolume!A1410,H95)</f>
        <v>17.823529411764707</v>
      </c>
      <c r="J95" s="17">
        <f t="shared" si="15"/>
        <v>133.78717647058824</v>
      </c>
      <c r="K95" s="20">
        <f t="shared" si="16"/>
        <v>124.76470588235294</v>
      </c>
      <c r="L95" s="19">
        <f t="shared" si="13"/>
        <v>124.76470588235294</v>
      </c>
      <c r="M95" s="8">
        <f t="shared" si="19"/>
        <v>2.7810376823055845</v>
      </c>
      <c r="N95" s="9">
        <f t="shared" si="20"/>
        <v>2975346.9097058824</v>
      </c>
      <c r="O95" s="10">
        <f t="shared" si="17"/>
        <v>5299204.9641176471</v>
      </c>
      <c r="P95" s="11">
        <f t="shared" si="18"/>
        <v>42473.590000000004</v>
      </c>
      <c r="Q95" s="23">
        <f t="shared" si="14"/>
        <v>8274551.8738235291</v>
      </c>
      <c r="R95" s="3">
        <f>VLOOKUP(B95,Buylist!B:B,1,FALSE)</f>
        <v>30028</v>
      </c>
      <c r="S95" s="3">
        <f>VLOOKUP(B95,Buylist!B:O,13,FALSE)</f>
        <v>0</v>
      </c>
      <c r="T95" s="78">
        <v>94</v>
      </c>
    </row>
    <row r="96" spans="1:20">
      <c r="A96" s="13" t="s">
        <v>16614</v>
      </c>
      <c r="B96" s="63">
        <f>VLOOKUP(A96,TypeIDs!B:C,2,FALSE)</f>
        <v>30013</v>
      </c>
      <c r="C96" s="36">
        <v>11670</v>
      </c>
      <c r="D96" s="69">
        <f t="shared" si="11"/>
        <v>12279.315000000001</v>
      </c>
      <c r="E96" s="35">
        <f>INDEX(MARKET_INPUT[Column1.price],MATCH(B96,MARKET_INPUT[Column1.type_id]))</f>
        <v>38500</v>
      </c>
      <c r="F96" s="35">
        <f t="shared" si="12"/>
        <v>36786.75</v>
      </c>
      <c r="G96" s="18">
        <f>VLOOKUP(B96,TypeIDs!C:D,2,FALSE)</f>
        <v>0.1</v>
      </c>
      <c r="I96" s="15">
        <f>IF(H96="",AverageVolume!A1425,H96)</f>
        <v>27.1</v>
      </c>
      <c r="J96" s="17">
        <f t="shared" si="15"/>
        <v>144.75140000000002</v>
      </c>
      <c r="K96" s="20">
        <f t="shared" si="16"/>
        <v>189.70000000000002</v>
      </c>
      <c r="L96" s="19">
        <f t="shared" si="13"/>
        <v>18.970000000000002</v>
      </c>
      <c r="M96" s="8">
        <f t="shared" si="19"/>
        <v>2.9958307934929596</v>
      </c>
      <c r="N96" s="9">
        <f t="shared" si="20"/>
        <v>2329386.0555000002</v>
      </c>
      <c r="O96" s="10">
        <f t="shared" si="17"/>
        <v>4649060.4194999998</v>
      </c>
      <c r="P96" s="11">
        <f t="shared" si="18"/>
        <v>245074.34999999998</v>
      </c>
      <c r="Q96" s="23">
        <f t="shared" si="14"/>
        <v>6978446.4749999996</v>
      </c>
      <c r="R96" s="3">
        <f>VLOOKUP(B96,Buylist!B:B,1,FALSE)</f>
        <v>30013</v>
      </c>
      <c r="S96" s="3">
        <f>VLOOKUP(B96,Buylist!B:O,13,FALSE)</f>
        <v>0</v>
      </c>
      <c r="T96" s="78">
        <v>95</v>
      </c>
    </row>
    <row r="97" spans="1:20">
      <c r="A97" s="13" t="s">
        <v>16968</v>
      </c>
      <c r="B97" s="63">
        <f>VLOOKUP(A97,TypeIDs!B:C,2,FALSE)</f>
        <v>30486</v>
      </c>
      <c r="C97" s="36">
        <v>416900</v>
      </c>
      <c r="D97" s="69">
        <f t="shared" si="11"/>
        <v>436352.05</v>
      </c>
      <c r="E97" s="35">
        <f>INDEX(MARKET_INPUT[Column1.price],MATCH(B97,MARKET_INPUT[Column1.type_id]))</f>
        <v>536000</v>
      </c>
      <c r="F97" s="35">
        <f t="shared" si="12"/>
        <v>512148</v>
      </c>
      <c r="G97" s="18">
        <f>VLOOKUP(B97,TypeIDs!C:D,2,FALSE)</f>
        <v>1</v>
      </c>
      <c r="I97" s="15">
        <f>IF(H97="",AverageVolume!A1440,H97)</f>
        <v>41.404166666666669</v>
      </c>
      <c r="J97" s="17">
        <f t="shared" si="15"/>
        <v>3578.4919166666668</v>
      </c>
      <c r="K97" s="20">
        <f t="shared" si="16"/>
        <v>289.82916666666665</v>
      </c>
      <c r="L97" s="19">
        <f t="shared" si="13"/>
        <v>289.82916666666665</v>
      </c>
      <c r="M97" s="8">
        <f t="shared" si="19"/>
        <v>1.1737036642775025</v>
      </c>
      <c r="N97" s="9">
        <f t="shared" si="20"/>
        <v>126467551.02479166</v>
      </c>
      <c r="O97" s="10">
        <f t="shared" si="17"/>
        <v>21967877.025208335</v>
      </c>
      <c r="P97" s="11">
        <f t="shared" si="18"/>
        <v>75795.950000000012</v>
      </c>
      <c r="Q97" s="23">
        <f t="shared" si="14"/>
        <v>148435428.04999998</v>
      </c>
      <c r="R97" s="3" t="e">
        <f>VLOOKUP(B97,Buylist!B:B,1,FALSE)</f>
        <v>#N/A</v>
      </c>
      <c r="S97" s="3" t="e">
        <f>VLOOKUP(B97,Buylist!B:O,13,FALSE)</f>
        <v>#N/A</v>
      </c>
      <c r="T97" s="78">
        <v>96</v>
      </c>
    </row>
    <row r="98" spans="1:20">
      <c r="A98" s="13" t="s">
        <v>16969</v>
      </c>
      <c r="B98" s="63">
        <f>VLOOKUP(A98,TypeIDs!B:C,2,FALSE)</f>
        <v>30488</v>
      </c>
      <c r="C98" s="36">
        <v>389000</v>
      </c>
      <c r="D98" s="69">
        <f t="shared" si="11"/>
        <v>406400.5</v>
      </c>
      <c r="E98" s="35">
        <f>INDEX(MARKET_INPUT[Column1.price],MATCH(B98,MARKET_INPUT[Column1.type_id]))</f>
        <v>479900</v>
      </c>
      <c r="F98" s="35">
        <f t="shared" si="12"/>
        <v>458544.45</v>
      </c>
      <c r="G98" s="18">
        <f>VLOOKUP(B98,TypeIDs!C:D,2,FALSE)</f>
        <v>0.1</v>
      </c>
      <c r="I98" s="15">
        <f>IF(H98="",AverageVolume!A1455,H98)</f>
        <v>68.491666666666674</v>
      </c>
      <c r="J98" s="17">
        <f t="shared" si="15"/>
        <v>5534.3266666666677</v>
      </c>
      <c r="K98" s="20">
        <f t="shared" si="16"/>
        <v>479.44166666666672</v>
      </c>
      <c r="L98" s="19">
        <f t="shared" si="13"/>
        <v>47.944166666666675</v>
      </c>
      <c r="M98" s="8">
        <f t="shared" si="19"/>
        <v>1.1283068057248946</v>
      </c>
      <c r="N98" s="9">
        <f t="shared" si="20"/>
        <v>194845333.05416667</v>
      </c>
      <c r="O98" s="10">
        <f t="shared" si="17"/>
        <v>24999982.294583343</v>
      </c>
      <c r="P98" s="11">
        <f t="shared" si="18"/>
        <v>521439.50000000012</v>
      </c>
      <c r="Q98" s="23">
        <f t="shared" si="14"/>
        <v>219845315.34875003</v>
      </c>
      <c r="R98" s="3" t="e">
        <f>VLOOKUP(B98,Buylist!B:B,1,FALSE)</f>
        <v>#N/A</v>
      </c>
      <c r="S98" s="3" t="e">
        <f>VLOOKUP(B98,Buylist!B:O,13,FALSE)</f>
        <v>#N/A</v>
      </c>
      <c r="T98" s="78">
        <v>97</v>
      </c>
    </row>
    <row r="99" spans="1:20">
      <c r="A99" s="29" t="s">
        <v>5062</v>
      </c>
      <c r="B99" s="63">
        <f>VLOOKUP(A99,TypeIDs!B:C,2,FALSE)</f>
        <v>12767</v>
      </c>
      <c r="C99" s="36">
        <v>438.8</v>
      </c>
      <c r="D99" s="69">
        <f t="shared" si="11"/>
        <v>469.57659999999998</v>
      </c>
      <c r="E99" s="35">
        <f>INDEX(MARKET_INPUT[Column1.price],MATCH(B99,MARKET_INPUT[Column1.type_id]))</f>
        <v>820.1</v>
      </c>
      <c r="F99" s="35">
        <f t="shared" si="12"/>
        <v>783.60554999999999</v>
      </c>
      <c r="G99" s="18">
        <f>VLOOKUP(B99,TypeIDs!C:D,2,FALSE)</f>
        <v>1.2500000000000001E-2</v>
      </c>
      <c r="I99" s="15">
        <f>IF(H99="",AverageVolume!A1470,H99)</f>
        <v>7118.2333333333336</v>
      </c>
      <c r="J99" s="17">
        <f t="shared" si="15"/>
        <v>21979.421157333334</v>
      </c>
      <c r="K99" s="20">
        <f t="shared" si="16"/>
        <v>49827.633333333331</v>
      </c>
      <c r="L99" s="19">
        <f t="shared" si="13"/>
        <v>622.84541666666667</v>
      </c>
      <c r="M99" s="8">
        <f t="shared" si="19"/>
        <v>1.6687491455068246</v>
      </c>
      <c r="N99" s="9">
        <f t="shared" si="20"/>
        <v>23397890.646713331</v>
      </c>
      <c r="O99" s="10">
        <f t="shared" si="17"/>
        <v>15647319.376651667</v>
      </c>
      <c r="P99" s="11">
        <f t="shared" si="18"/>
        <v>25122.315999999999</v>
      </c>
      <c r="Q99" s="23">
        <f t="shared" si="14"/>
        <v>39045210.023364998</v>
      </c>
      <c r="R99" s="3">
        <f>VLOOKUP(B99,Buylist!B:B,1,FALSE)</f>
        <v>12767</v>
      </c>
      <c r="S99" s="3">
        <f>VLOOKUP(B99,Buylist!B:O,13,FALSE)</f>
        <v>0</v>
      </c>
      <c r="T99" s="78">
        <v>98</v>
      </c>
    </row>
    <row r="100" spans="1:20">
      <c r="A100" s="29" t="s">
        <v>5066</v>
      </c>
      <c r="B100" s="63">
        <f>VLOOKUP(A100,TypeIDs!B:C,2,FALSE)</f>
        <v>12771</v>
      </c>
      <c r="C100" s="36">
        <v>357.6</v>
      </c>
      <c r="D100" s="69">
        <f t="shared" si="11"/>
        <v>384.76320000000004</v>
      </c>
      <c r="E100" s="35">
        <f>INDEX(MARKET_INPUT[Column1.price],MATCH(B100,MARKET_INPUT[Column1.type_id]))</f>
        <v>427.2</v>
      </c>
      <c r="F100" s="35">
        <f t="shared" si="12"/>
        <v>408.18959999999998</v>
      </c>
      <c r="G100" s="18">
        <f>VLOOKUP(B100,TypeIDs!C:D,2,FALSE)</f>
        <v>1.2500000000000001E-2</v>
      </c>
      <c r="I100" s="15">
        <f>IF(H100="",AverageVolume!A1485,H100)</f>
        <v>5779.6666666666661</v>
      </c>
      <c r="J100" s="17">
        <f t="shared" si="15"/>
        <v>17752.386760000001</v>
      </c>
      <c r="K100" s="20">
        <f t="shared" si="16"/>
        <v>40457.666666666664</v>
      </c>
      <c r="L100" s="19">
        <f t="shared" si="13"/>
        <v>505.72083333333325</v>
      </c>
      <c r="M100" s="8">
        <f t="shared" si="19"/>
        <v>1.0608852405843385</v>
      </c>
      <c r="N100" s="9">
        <f t="shared" si="20"/>
        <v>15566621.291200001</v>
      </c>
      <c r="O100" s="10">
        <f t="shared" si="17"/>
        <v>947777.48239999765</v>
      </c>
      <c r="P100" s="11">
        <f t="shared" si="18"/>
        <v>1874.1119999999955</v>
      </c>
      <c r="Q100" s="23">
        <f t="shared" si="14"/>
        <v>16514398.773599999</v>
      </c>
      <c r="R100" s="3" t="e">
        <f>VLOOKUP(B100,Buylist!B:B,1,FALSE)</f>
        <v>#N/A</v>
      </c>
      <c r="S100" s="3" t="e">
        <f>VLOOKUP(B100,Buylist!B:O,13,FALSE)</f>
        <v>#N/A</v>
      </c>
      <c r="T100" s="78">
        <v>99</v>
      </c>
    </row>
    <row r="101" spans="1:20">
      <c r="A101" s="40" t="s">
        <v>5070</v>
      </c>
      <c r="B101" s="63">
        <f>VLOOKUP(A101,TypeIDs!B:C,2,FALSE)</f>
        <v>12775</v>
      </c>
      <c r="C101" s="36">
        <v>510.6</v>
      </c>
      <c r="D101" s="69">
        <f t="shared" si="11"/>
        <v>555.82169999999996</v>
      </c>
      <c r="E101" s="35">
        <f>INDEX(MARKET_INPUT[Column1.price],MATCH(B101,MARKET_INPUT[Column1.type_id]))</f>
        <v>899.7</v>
      </c>
      <c r="F101" s="35">
        <f t="shared" si="12"/>
        <v>859.66335000000004</v>
      </c>
      <c r="G101" s="18">
        <f>VLOOKUP(B101,TypeIDs!C:D,2,FALSE)</f>
        <v>2.5000000000000001E-2</v>
      </c>
      <c r="H101" s="13">
        <v>500</v>
      </c>
      <c r="I101" s="15">
        <f>IF(H101="",AverageVolume!A1500,H101)</f>
        <v>500</v>
      </c>
      <c r="J101" s="17">
        <f t="shared" si="15"/>
        <v>1551.11</v>
      </c>
      <c r="K101" s="20">
        <f t="shared" si="16"/>
        <v>3500</v>
      </c>
      <c r="L101" s="19">
        <f t="shared" si="13"/>
        <v>87.5</v>
      </c>
      <c r="M101" s="8">
        <f t="shared" si="19"/>
        <v>1.5466530903705273</v>
      </c>
      <c r="N101" s="9">
        <f t="shared" si="20"/>
        <v>1945375.95</v>
      </c>
      <c r="O101" s="10">
        <f t="shared" si="17"/>
        <v>1063445.7750000001</v>
      </c>
      <c r="P101" s="11">
        <f t="shared" si="18"/>
        <v>12153.666000000003</v>
      </c>
      <c r="Q101" s="23">
        <f t="shared" si="14"/>
        <v>3008821.7250000001</v>
      </c>
      <c r="R101" s="3" t="e">
        <f>VLOOKUP(B101,Buylist!B:B,1,FALSE)</f>
        <v>#N/A</v>
      </c>
      <c r="S101" s="3" t="e">
        <f>VLOOKUP(B101,Buylist!B:O,13,FALSE)</f>
        <v>#N/A</v>
      </c>
      <c r="T101" s="78">
        <v>100</v>
      </c>
    </row>
    <row r="102" spans="1:20">
      <c r="A102" s="29" t="s">
        <v>5068</v>
      </c>
      <c r="B102" s="63">
        <f>VLOOKUP(A102,TypeIDs!B:C,2,FALSE)</f>
        <v>12773</v>
      </c>
      <c r="C102" s="36">
        <v>343.9</v>
      </c>
      <c r="D102" s="69">
        <f t="shared" si="11"/>
        <v>370.45354999999995</v>
      </c>
      <c r="E102" s="35">
        <f>INDEX(MARKET_INPUT[Column1.price],MATCH(B102,MARKET_INPUT[Column1.type_id]))</f>
        <v>700</v>
      </c>
      <c r="F102" s="35">
        <f t="shared" si="12"/>
        <v>668.85</v>
      </c>
      <c r="G102" s="18">
        <f>VLOOKUP(B102,TypeIDs!C:D,2,FALSE)</f>
        <v>1.2500000000000001E-2</v>
      </c>
      <c r="I102" s="15">
        <f>IF(H102="",result101,H102)</f>
        <v>4988.7833333333328</v>
      </c>
      <c r="J102" s="17">
        <f t="shared" si="15"/>
        <v>15309.503517666664</v>
      </c>
      <c r="K102" s="20">
        <f t="shared" si="16"/>
        <v>34921.48333333333</v>
      </c>
      <c r="L102" s="19">
        <f t="shared" si="13"/>
        <v>436.51854166666669</v>
      </c>
      <c r="M102" s="8">
        <f t="shared" si="19"/>
        <v>1.8054895141374678</v>
      </c>
      <c r="N102" s="9">
        <f t="shared" si="20"/>
        <v>12936787.472099165</v>
      </c>
      <c r="O102" s="10">
        <f t="shared" si="17"/>
        <v>10420446.655400835</v>
      </c>
      <c r="P102" s="11">
        <f t="shared" si="18"/>
        <v>23871.716000000004</v>
      </c>
      <c r="Q102" s="23">
        <f t="shared" si="14"/>
        <v>23357234.127499998</v>
      </c>
      <c r="R102" s="3">
        <f>VLOOKUP(B102,Buylist!B:B,1,FALSE)</f>
        <v>12773</v>
      </c>
      <c r="S102" s="3">
        <f>VLOOKUP(B102,Buylist!B:O,13,FALSE)</f>
        <v>0</v>
      </c>
      <c r="T102" s="78">
        <v>101</v>
      </c>
    </row>
    <row r="103" spans="1:20">
      <c r="A103" s="29" t="s">
        <v>5072</v>
      </c>
      <c r="B103" s="63">
        <f>VLOOKUP(A103,TypeIDs!B:C,2,FALSE)</f>
        <v>12777</v>
      </c>
      <c r="C103" s="36">
        <v>227.6</v>
      </c>
      <c r="D103" s="69">
        <f t="shared" si="11"/>
        <v>248.97819999999999</v>
      </c>
      <c r="E103" s="35">
        <f>INDEX(MARKET_INPUT[Column1.price],MATCH(B103,MARKET_INPUT[Column1.type_id]))</f>
        <v>443</v>
      </c>
      <c r="F103" s="35">
        <f t="shared" si="12"/>
        <v>423.28649999999999</v>
      </c>
      <c r="G103" s="18">
        <f>VLOOKUP(B103,TypeIDs!C:D,2,FALSE)</f>
        <v>1.2500000000000001E-2</v>
      </c>
      <c r="I103" s="15">
        <f>IF(H103="",result102,H103)</f>
        <v>15083.2</v>
      </c>
      <c r="J103" s="17">
        <f t="shared" si="15"/>
        <v>45936.212264000009</v>
      </c>
      <c r="K103" s="20">
        <f t="shared" si="16"/>
        <v>105582.40000000001</v>
      </c>
      <c r="L103" s="19">
        <f t="shared" si="13"/>
        <v>1319.7800000000002</v>
      </c>
      <c r="M103" s="8">
        <f t="shared" si="19"/>
        <v>1.7000946267584873</v>
      </c>
      <c r="N103" s="9">
        <f t="shared" si="20"/>
        <v>26287715.90368</v>
      </c>
      <c r="O103" s="10">
        <f t="shared" si="17"/>
        <v>18403888.653920002</v>
      </c>
      <c r="P103" s="11">
        <f t="shared" si="18"/>
        <v>13944.663999999999</v>
      </c>
      <c r="Q103" s="23">
        <f t="shared" si="14"/>
        <v>44691604.557600006</v>
      </c>
      <c r="R103" s="3" t="e">
        <f>VLOOKUP(B103,Buylist!B:B,1,FALSE)</f>
        <v>#N/A</v>
      </c>
      <c r="S103" s="3" t="e">
        <f>VLOOKUP(B103,Buylist!B:O,13,FALSE)</f>
        <v>#N/A</v>
      </c>
      <c r="T103" s="78">
        <v>102</v>
      </c>
    </row>
    <row r="104" spans="1:20">
      <c r="A104" s="94" t="s">
        <v>5020</v>
      </c>
      <c r="B104" s="63">
        <f>VLOOKUP(A104,TypeIDs!B:C,2,FALSE)</f>
        <v>12625</v>
      </c>
      <c r="C104" s="36">
        <v>56.87</v>
      </c>
      <c r="D104" s="69">
        <f t="shared" si="11"/>
        <v>61.650714999999998</v>
      </c>
      <c r="E104" s="35">
        <f>INDEX(MARKET_INPUT[Column1.price],MATCH(B104,MARKET_INPUT[Column1.type_id]))</f>
        <v>249.8</v>
      </c>
      <c r="F104" s="35">
        <f t="shared" si="12"/>
        <v>238.68390000000002</v>
      </c>
      <c r="G104" s="18">
        <f>VLOOKUP(B104,TypeIDs!C:D,2,FALSE)</f>
        <v>2.5000000000000001E-3</v>
      </c>
      <c r="I104" s="15">
        <f>IF(H104="",result103,H104)</f>
        <v>3680.6166666666668</v>
      </c>
      <c r="J104" s="17">
        <f t="shared" si="15"/>
        <v>11083.718333966666</v>
      </c>
      <c r="K104" s="20">
        <f t="shared" si="16"/>
        <v>25764.316666666666</v>
      </c>
      <c r="L104" s="19">
        <f t="shared" si="13"/>
        <v>64.410791666666668</v>
      </c>
      <c r="M104" s="8">
        <f t="shared" si="19"/>
        <v>3.8715512058538173</v>
      </c>
      <c r="N104" s="9">
        <f t="shared" si="20"/>
        <v>1588388.5439864167</v>
      </c>
      <c r="O104" s="10">
        <f t="shared" si="17"/>
        <v>4561139.0388485836</v>
      </c>
      <c r="P104" s="11">
        <f t="shared" si="18"/>
        <v>70813.274000000005</v>
      </c>
      <c r="Q104" s="23">
        <f t="shared" si="14"/>
        <v>6149527.582835</v>
      </c>
      <c r="R104" s="3">
        <f>VLOOKUP(B104,Buylist!B:B,1,FALSE)</f>
        <v>12625</v>
      </c>
      <c r="S104" s="3">
        <f>VLOOKUP(B104,Buylist!B:O,13,FALSE)</f>
        <v>0</v>
      </c>
      <c r="T104" s="78">
        <v>103</v>
      </c>
    </row>
    <row r="105" spans="1:20">
      <c r="A105" s="29" t="s">
        <v>5006</v>
      </c>
      <c r="B105" s="63">
        <f>VLOOKUP(A105,TypeIDs!B:C,2,FALSE)</f>
        <v>12608</v>
      </c>
      <c r="C105" s="36">
        <v>64.87</v>
      </c>
      <c r="D105" s="69">
        <f t="shared" si="11"/>
        <v>70.006715</v>
      </c>
      <c r="E105" s="35">
        <f>INDEX(MARKET_INPUT[Column1.price],MATCH(B105,MARKET_INPUT[Column1.type_id]))</f>
        <v>344</v>
      </c>
      <c r="F105" s="35">
        <f t="shared" si="12"/>
        <v>328.69200000000001</v>
      </c>
      <c r="G105" s="18">
        <f>VLOOKUP(B105,TypeIDs!C:D,2,FALSE)</f>
        <v>2.5000000000000001E-3</v>
      </c>
      <c r="I105" s="15">
        <f>IF(H105="",result104,H105)</f>
        <v>5658.2250000000004</v>
      </c>
      <c r="J105" s="17">
        <f t="shared" si="15"/>
        <v>17048.089811150003</v>
      </c>
      <c r="K105" s="20">
        <f t="shared" si="16"/>
        <v>39607.575000000004</v>
      </c>
      <c r="L105" s="19">
        <f t="shared" si="13"/>
        <v>99.018937500000007</v>
      </c>
      <c r="M105" s="8">
        <f t="shared" si="19"/>
        <v>4.6951496010061318</v>
      </c>
      <c r="N105" s="9">
        <f t="shared" si="20"/>
        <v>2772796.2148661255</v>
      </c>
      <c r="O105" s="10">
        <f t="shared" si="17"/>
        <v>10245896.827033877</v>
      </c>
      <c r="P105" s="11">
        <f t="shared" si="18"/>
        <v>103474.114</v>
      </c>
      <c r="Q105" s="23">
        <f t="shared" si="14"/>
        <v>13018693.041900003</v>
      </c>
      <c r="R105" s="3">
        <f>VLOOKUP(B105,Buylist!B:B,1,FALSE)</f>
        <v>12608</v>
      </c>
      <c r="S105" s="3">
        <f>VLOOKUP(B105,Buylist!B:O,13,FALSE)</f>
        <v>0</v>
      </c>
      <c r="T105" s="78">
        <v>104</v>
      </c>
    </row>
    <row r="106" spans="1:20">
      <c r="A106" s="29" t="s">
        <v>10476</v>
      </c>
      <c r="B106" s="63">
        <f>VLOOKUP(A106,TypeIDs!B:C,2,FALSE)</f>
        <v>21894</v>
      </c>
      <c r="C106" s="36">
        <v>1225</v>
      </c>
      <c r="D106" s="69">
        <f t="shared" si="11"/>
        <v>1302.0125</v>
      </c>
      <c r="E106" s="35">
        <f>INDEX(MARKET_INPUT[Column1.price],MATCH(B106,MARKET_INPUT[Column1.type_id]))</f>
        <v>1590</v>
      </c>
      <c r="F106" s="35">
        <f t="shared" si="12"/>
        <v>1519.2449999999999</v>
      </c>
      <c r="G106" s="18">
        <f>VLOOKUP(B106,TypeIDs!C:D,2,FALSE)</f>
        <v>2.5000000000000001E-2</v>
      </c>
      <c r="I106" s="15">
        <f>IF(H106="",result105,H106)</f>
        <v>27366.516666666666</v>
      </c>
      <c r="J106" s="17">
        <f t="shared" si="15"/>
        <v>88804.396583333335</v>
      </c>
      <c r="K106" s="20">
        <f t="shared" si="16"/>
        <v>191565.61666666667</v>
      </c>
      <c r="L106" s="19">
        <f t="shared" si="13"/>
        <v>4789.1404166666671</v>
      </c>
      <c r="M106" s="8">
        <f t="shared" si="19"/>
        <v>1.1668436362938142</v>
      </c>
      <c r="N106" s="9">
        <f t="shared" si="20"/>
        <v>249420827.47020835</v>
      </c>
      <c r="O106" s="10">
        <f t="shared" si="17"/>
        <v>41614277.822541639</v>
      </c>
      <c r="P106" s="11">
        <f t="shared" si="18"/>
        <v>8689.2999999999938</v>
      </c>
      <c r="Q106" s="23">
        <f t="shared" si="14"/>
        <v>291035105.29275</v>
      </c>
      <c r="R106" s="3" t="e">
        <f>VLOOKUP(B106,Buylist!B:B,1,FALSE)</f>
        <v>#N/A</v>
      </c>
      <c r="S106" s="3" t="e">
        <f>VLOOKUP(B106,Buylist!B:O,13,FALSE)</f>
        <v>#N/A</v>
      </c>
      <c r="T106" s="78">
        <v>105</v>
      </c>
    </row>
    <row r="107" spans="1:20">
      <c r="A107" s="40" t="s">
        <v>10488</v>
      </c>
      <c r="B107" s="63">
        <f>VLOOKUP(A107,TypeIDs!B:C,2,FALSE)</f>
        <v>21918</v>
      </c>
      <c r="C107" s="36">
        <v>1219</v>
      </c>
      <c r="D107" s="69">
        <f t="shared" si="11"/>
        <v>1295.7455</v>
      </c>
      <c r="E107" s="35">
        <f>INDEX(MARKET_INPUT[Column1.price],MATCH(B107,MARKET_INPUT[Column1.type_id]))</f>
        <v>1500</v>
      </c>
      <c r="F107" s="35">
        <f t="shared" si="12"/>
        <v>1433.25</v>
      </c>
      <c r="G107" s="18">
        <f>VLOOKUP(B107,TypeIDs!C:D,2,FALSE)</f>
        <v>2.5000000000000001E-2</v>
      </c>
      <c r="H107" s="13">
        <v>600</v>
      </c>
      <c r="I107" s="15">
        <f>IF(H107="",result106,H107)</f>
        <v>600</v>
      </c>
      <c r="J107" s="17">
        <f t="shared" si="15"/>
        <v>1946.33</v>
      </c>
      <c r="K107" s="20">
        <f t="shared" si="16"/>
        <v>4200</v>
      </c>
      <c r="L107" s="19">
        <f t="shared" si="13"/>
        <v>105</v>
      </c>
      <c r="M107" s="8">
        <f t="shared" si="19"/>
        <v>1.1061199903839141</v>
      </c>
      <c r="N107" s="9">
        <f t="shared" si="20"/>
        <v>5442131.0999999996</v>
      </c>
      <c r="O107" s="10">
        <f t="shared" si="17"/>
        <v>577518.9</v>
      </c>
      <c r="P107" s="11">
        <f t="shared" si="18"/>
        <v>5500.18</v>
      </c>
      <c r="Q107" s="23">
        <f t="shared" si="14"/>
        <v>6019650</v>
      </c>
      <c r="R107" s="3" t="e">
        <f>VLOOKUP(B107,Buylist!B:B,1,FALSE)</f>
        <v>#N/A</v>
      </c>
      <c r="S107" s="3" t="e">
        <f>VLOOKUP(B107,Buylist!B:O,13,FALSE)</f>
        <v>#N/A</v>
      </c>
      <c r="T107" s="78">
        <v>106</v>
      </c>
    </row>
    <row r="108" spans="1:20">
      <c r="A108" s="29" t="s">
        <v>15367</v>
      </c>
      <c r="B108" s="63">
        <f>VLOOKUP(A108,TypeIDs!B:C,2,FALSE)</f>
        <v>28326</v>
      </c>
      <c r="C108" s="36">
        <v>900</v>
      </c>
      <c r="D108" s="69">
        <f t="shared" si="11"/>
        <v>951.3</v>
      </c>
      <c r="E108" s="35">
        <f>INDEX(MARKET_INPUT[Column1.price],MATCH(B108,MARKET_INPUT[Column1.type_id]))</f>
        <v>688</v>
      </c>
      <c r="F108" s="35">
        <f t="shared" si="12"/>
        <v>657.38400000000001</v>
      </c>
      <c r="G108" s="18">
        <f>VLOOKUP(B108,TypeIDs!C:D,2,FALSE)</f>
        <v>1.2500000000000001E-2</v>
      </c>
      <c r="I108" s="15">
        <f>IF(H108="",result107,H108)</f>
        <v>7288.520833333333</v>
      </c>
      <c r="J108" s="17">
        <f t="shared" si="15"/>
        <v>23177.521250000002</v>
      </c>
      <c r="K108" s="20">
        <f t="shared" si="16"/>
        <v>51019.645833333328</v>
      </c>
      <c r="L108" s="19">
        <f t="shared" si="13"/>
        <v>637.74557291666667</v>
      </c>
      <c r="M108" s="8">
        <f t="shared" si="19"/>
        <v>0.69103752759381898</v>
      </c>
      <c r="N108" s="9">
        <f t="shared" si="20"/>
        <v>48534989.08124999</v>
      </c>
      <c r="O108" s="10">
        <f t="shared" si="17"/>
        <v>-14995490.224749995</v>
      </c>
      <c r="P108" s="11">
        <f t="shared" si="18"/>
        <v>-23513.279999999995</v>
      </c>
      <c r="Q108" s="23">
        <f t="shared" si="14"/>
        <v>33539498.856499992</v>
      </c>
      <c r="R108" s="3" t="e">
        <f>VLOOKUP(B108,Buylist!B:B,1,FALSE)</f>
        <v>#N/A</v>
      </c>
      <c r="S108" s="3" t="e">
        <f>VLOOKUP(B108,Buylist!B:O,13,FALSE)</f>
        <v>#N/A</v>
      </c>
      <c r="T108" s="78">
        <v>107</v>
      </c>
    </row>
    <row r="109" spans="1:20">
      <c r="A109" s="29" t="s">
        <v>15375</v>
      </c>
      <c r="B109" s="63">
        <f>VLOOKUP(A109,TypeIDs!B:C,2,FALSE)</f>
        <v>28334</v>
      </c>
      <c r="C109" s="36">
        <v>814.9</v>
      </c>
      <c r="D109" s="69">
        <f t="shared" si="11"/>
        <v>862.41305</v>
      </c>
      <c r="E109" s="35">
        <f>INDEX(MARKET_INPUT[Column1.price],MATCH(B109,MARKET_INPUT[Column1.type_id]))</f>
        <v>1100</v>
      </c>
      <c r="F109" s="35">
        <f t="shared" si="12"/>
        <v>1051.05</v>
      </c>
      <c r="G109" s="18">
        <f>VLOOKUP(B109,TypeIDs!C:D,2,FALSE)</f>
        <v>1.2500000000000001E-2</v>
      </c>
      <c r="I109" s="15">
        <f>IF(H109="",result108,H109)</f>
        <v>9080.1</v>
      </c>
      <c r="J109" s="17">
        <f t="shared" si="15"/>
        <v>28720.199698000004</v>
      </c>
      <c r="K109" s="20">
        <f t="shared" si="16"/>
        <v>63560.700000000004</v>
      </c>
      <c r="L109" s="19">
        <f t="shared" si="13"/>
        <v>794.50875000000008</v>
      </c>
      <c r="M109" s="8">
        <f t="shared" si="19"/>
        <v>1.2187315579234335</v>
      </c>
      <c r="N109" s="9">
        <f t="shared" si="20"/>
        <v>54815577.147135004</v>
      </c>
      <c r="O109" s="10">
        <f t="shared" si="17"/>
        <v>11989896.587864999</v>
      </c>
      <c r="P109" s="11">
        <f t="shared" si="18"/>
        <v>15090.955999999996</v>
      </c>
      <c r="Q109" s="23">
        <f t="shared" si="14"/>
        <v>66805473.734999999</v>
      </c>
      <c r="R109" s="3" t="e">
        <f>VLOOKUP(B109,Buylist!B:B,1,FALSE)</f>
        <v>#N/A</v>
      </c>
      <c r="S109" s="3" t="e">
        <f>VLOOKUP(B109,Buylist!B:O,13,FALSE)</f>
        <v>#N/A</v>
      </c>
      <c r="T109" s="78">
        <v>108</v>
      </c>
    </row>
    <row r="110" spans="1:20">
      <c r="A110" s="29" t="s">
        <v>10477</v>
      </c>
      <c r="B110" s="63">
        <f>VLOOKUP(A110,TypeIDs!B:C,2,FALSE)</f>
        <v>21896</v>
      </c>
      <c r="C110" s="36">
        <v>795</v>
      </c>
      <c r="D110" s="69">
        <f t="shared" si="11"/>
        <v>841.62750000000005</v>
      </c>
      <c r="E110" s="35">
        <f>INDEX(MARKET_INPUT[Column1.price],MATCH(B110,MARKET_INPUT[Column1.type_id]))</f>
        <v>1374</v>
      </c>
      <c r="F110" s="35">
        <f t="shared" si="12"/>
        <v>1312.857</v>
      </c>
      <c r="G110" s="18">
        <f>VLOOKUP(B110,TypeIDs!C:D,2,FALSE)</f>
        <v>1.2500000000000001E-2</v>
      </c>
      <c r="I110" s="15">
        <f>IF(H110="",result109,H110)</f>
        <v>28611.625</v>
      </c>
      <c r="J110" s="17">
        <f t="shared" si="15"/>
        <v>90384.148375000004</v>
      </c>
      <c r="K110" s="20">
        <f t="shared" si="16"/>
        <v>200281.375</v>
      </c>
      <c r="L110" s="19">
        <f t="shared" si="13"/>
        <v>2503.5171875000005</v>
      </c>
      <c r="M110" s="8">
        <f t="shared" si="19"/>
        <v>1.5599026885409517</v>
      </c>
      <c r="N110" s="9">
        <f t="shared" si="20"/>
        <v>168562312.93781251</v>
      </c>
      <c r="O110" s="10">
        <f t="shared" si="17"/>
        <v>94378492.200562477</v>
      </c>
      <c r="P110" s="11">
        <f t="shared" si="18"/>
        <v>37698.359999999993</v>
      </c>
      <c r="Q110" s="23">
        <f t="shared" si="14"/>
        <v>262940805.13837498</v>
      </c>
      <c r="R110" s="3" t="e">
        <f>VLOOKUP(B110,Buylist!B:B,1,FALSE)</f>
        <v>#N/A</v>
      </c>
      <c r="S110" s="3" t="e">
        <f>VLOOKUP(B110,Buylist!B:O,13,FALSE)</f>
        <v>#N/A</v>
      </c>
      <c r="T110" s="78">
        <v>109</v>
      </c>
    </row>
    <row r="111" spans="1:20">
      <c r="A111" s="29" t="s">
        <v>10481</v>
      </c>
      <c r="B111" s="63">
        <f>VLOOKUP(A111,TypeIDs!B:C,2,FALSE)</f>
        <v>21904</v>
      </c>
      <c r="C111" s="36">
        <v>770</v>
      </c>
      <c r="D111" s="69">
        <f t="shared" si="11"/>
        <v>815.51499999999999</v>
      </c>
      <c r="E111" s="35">
        <f>INDEX(MARKET_INPUT[Column1.price],MATCH(B111,MARKET_INPUT[Column1.type_id]))</f>
        <v>956.9</v>
      </c>
      <c r="F111" s="35">
        <f t="shared" si="12"/>
        <v>914.31795</v>
      </c>
      <c r="G111" s="18">
        <f>VLOOKUP(B111,TypeIDs!C:D,2,FALSE)</f>
        <v>1.2500000000000001E-2</v>
      </c>
      <c r="H111" s="13">
        <v>1500</v>
      </c>
      <c r="I111" s="15">
        <f>IF(H111="",result110,H111)</f>
        <v>1500</v>
      </c>
      <c r="J111" s="17">
        <f t="shared" si="15"/>
        <v>4731.0249999999996</v>
      </c>
      <c r="K111" s="20">
        <f t="shared" si="16"/>
        <v>10500</v>
      </c>
      <c r="L111" s="19">
        <f t="shared" si="13"/>
        <v>131.25</v>
      </c>
      <c r="M111" s="8">
        <f t="shared" si="19"/>
        <v>1.1211540560259468</v>
      </c>
      <c r="N111" s="9">
        <f t="shared" si="20"/>
        <v>8562907.5</v>
      </c>
      <c r="O111" s="10">
        <f t="shared" si="17"/>
        <v>1037430.9750000001</v>
      </c>
      <c r="P111" s="11">
        <f t="shared" si="18"/>
        <v>7904.2360000000008</v>
      </c>
      <c r="Q111" s="23">
        <f t="shared" si="14"/>
        <v>9600338.4749999996</v>
      </c>
      <c r="R111" s="3" t="e">
        <f>VLOOKUP(B111,Buylist!B:B,1,FALSE)</f>
        <v>#N/A</v>
      </c>
      <c r="S111" s="3" t="e">
        <f>VLOOKUP(B111,Buylist!B:O,13,FALSE)</f>
        <v>#N/A</v>
      </c>
      <c r="T111" s="78">
        <v>110</v>
      </c>
    </row>
    <row r="112" spans="1:20">
      <c r="A112" s="29" t="s">
        <v>10485</v>
      </c>
      <c r="B112" s="63">
        <f>VLOOKUP(A112,TypeIDs!B:C,2,FALSE)</f>
        <v>21912</v>
      </c>
      <c r="C112" s="36">
        <v>841.9</v>
      </c>
      <c r="D112" s="69">
        <f t="shared" si="11"/>
        <v>890.61455000000001</v>
      </c>
      <c r="E112" s="35">
        <f>INDEX(MARKET_INPUT[Column1.price],MATCH(B112,MARKET_INPUT[Column1.type_id]))</f>
        <v>780</v>
      </c>
      <c r="F112" s="35">
        <f t="shared" si="12"/>
        <v>745.29</v>
      </c>
      <c r="G112" s="18">
        <f>VLOOKUP(B112,TypeIDs!C:D,2,FALSE)</f>
        <v>1.2500000000000001E-2</v>
      </c>
      <c r="I112" s="15">
        <f>IF(H112="",result111,H112)</f>
        <v>2895.25</v>
      </c>
      <c r="J112" s="17">
        <f t="shared" si="15"/>
        <v>9173.2771950000006</v>
      </c>
      <c r="K112" s="20">
        <f t="shared" si="16"/>
        <v>20266.75</v>
      </c>
      <c r="L112" s="19">
        <f t="shared" si="13"/>
        <v>253.33437500000002</v>
      </c>
      <c r="M112" s="8">
        <f t="shared" si="19"/>
        <v>0.83682666087141733</v>
      </c>
      <c r="N112" s="9">
        <f t="shared" si="20"/>
        <v>18049862.4312125</v>
      </c>
      <c r="O112" s="10">
        <f t="shared" si="17"/>
        <v>-2945256.3237125007</v>
      </c>
      <c r="P112" s="11">
        <f t="shared" si="18"/>
        <v>-11625.964000000004</v>
      </c>
      <c r="Q112" s="23">
        <f t="shared" si="14"/>
        <v>15104606.107499998</v>
      </c>
      <c r="R112" s="3" t="e">
        <f>VLOOKUP(B112,Buylist!B:B,1,FALSE)</f>
        <v>#N/A</v>
      </c>
      <c r="S112" s="3" t="e">
        <f>VLOOKUP(B112,Buylist!B:O,13,FALSE)</f>
        <v>#N/A</v>
      </c>
      <c r="T112" s="78">
        <v>111</v>
      </c>
    </row>
    <row r="113" spans="1:20">
      <c r="A113" s="29" t="s">
        <v>10490</v>
      </c>
      <c r="B113" s="63">
        <f>VLOOKUP(A113,TypeIDs!B:C,2,FALSE)</f>
        <v>21922</v>
      </c>
      <c r="C113" s="36">
        <v>886.2</v>
      </c>
      <c r="D113" s="69">
        <f t="shared" si="11"/>
        <v>936.88589999999999</v>
      </c>
      <c r="E113" s="35">
        <f>INDEX(MARKET_INPUT[Column1.price],MATCH(B113,MARKET_INPUT[Column1.type_id]))</f>
        <v>840</v>
      </c>
      <c r="F113" s="35">
        <f t="shared" si="12"/>
        <v>802.62</v>
      </c>
      <c r="G113" s="18">
        <f>VLOOKUP(B113,TypeIDs!C:D,2,FALSE)</f>
        <v>1.2500000000000001E-2</v>
      </c>
      <c r="I113" s="15">
        <f>IF(H113="",result112,H113)</f>
        <v>15927.25</v>
      </c>
      <c r="J113" s="17">
        <f t="shared" si="15"/>
        <v>50604.720789999999</v>
      </c>
      <c r="K113" s="20">
        <f t="shared" si="16"/>
        <v>111490.75</v>
      </c>
      <c r="L113" s="19">
        <f t="shared" si="13"/>
        <v>1393.6343750000001</v>
      </c>
      <c r="M113" s="8">
        <f t="shared" si="19"/>
        <v>0.85668916567108122</v>
      </c>
      <c r="N113" s="9">
        <f t="shared" si="20"/>
        <v>104454111.655425</v>
      </c>
      <c r="O113" s="10">
        <f t="shared" si="17"/>
        <v>-14969405.890424998</v>
      </c>
      <c r="P113" s="11">
        <f t="shared" si="18"/>
        <v>-10741.271999999999</v>
      </c>
      <c r="Q113" s="23">
        <f t="shared" si="14"/>
        <v>89484705.765000001</v>
      </c>
      <c r="R113" s="3" t="e">
        <f>VLOOKUP(B113,Buylist!B:B,1,FALSE)</f>
        <v>#N/A</v>
      </c>
      <c r="S113" s="3" t="e">
        <f>VLOOKUP(B113,Buylist!B:O,13,FALSE)</f>
        <v>#N/A</v>
      </c>
      <c r="T113" s="78">
        <v>112</v>
      </c>
    </row>
    <row r="114" spans="1:20">
      <c r="A114" s="29" t="s">
        <v>10493</v>
      </c>
      <c r="B114" s="63">
        <f>VLOOKUP(A114,TypeIDs!B:C,2,FALSE)</f>
        <v>21928</v>
      </c>
      <c r="C114" s="36">
        <v>964</v>
      </c>
      <c r="D114" s="69">
        <f t="shared" si="11"/>
        <v>1018.148</v>
      </c>
      <c r="E114" s="35">
        <f>INDEX(MARKET_INPUT[Column1.price],MATCH(B114,MARKET_INPUT[Column1.type_id]))</f>
        <v>1000</v>
      </c>
      <c r="F114" s="35">
        <f t="shared" si="12"/>
        <v>955.5</v>
      </c>
      <c r="G114" s="18">
        <f>VLOOKUP(B114,TypeIDs!C:D,2,FALSE)</f>
        <v>1.2500000000000001E-2</v>
      </c>
      <c r="I114" s="15">
        <f>IF(H114="",result113,H114)</f>
        <v>3004.2833333333333</v>
      </c>
      <c r="J114" s="17">
        <f t="shared" si="15"/>
        <v>9592.1008266666668</v>
      </c>
      <c r="K114" s="20">
        <f t="shared" si="16"/>
        <v>21029.983333333334</v>
      </c>
      <c r="L114" s="19">
        <f t="shared" si="13"/>
        <v>262.87479166666668</v>
      </c>
      <c r="M114" s="8">
        <f t="shared" si="19"/>
        <v>0.93846867056655803</v>
      </c>
      <c r="N114" s="9">
        <f t="shared" si="20"/>
        <v>21411635.470866669</v>
      </c>
      <c r="O114" s="10">
        <f t="shared" si="17"/>
        <v>-1317486.3958666672</v>
      </c>
      <c r="P114" s="11">
        <f t="shared" si="18"/>
        <v>-5011.840000000002</v>
      </c>
      <c r="Q114" s="23">
        <f t="shared" si="14"/>
        <v>20094149.075000003</v>
      </c>
      <c r="R114" s="3" t="e">
        <f>VLOOKUP(B114,Buylist!B:B,1,FALSE)</f>
        <v>#N/A</v>
      </c>
      <c r="S114" s="3" t="e">
        <f>VLOOKUP(B114,Buylist!B:O,13,FALSE)</f>
        <v>#N/A</v>
      </c>
      <c r="T114" s="78">
        <v>113</v>
      </c>
    </row>
    <row r="115" spans="1:20">
      <c r="A115" s="29" t="s">
        <v>10498</v>
      </c>
      <c r="B115" s="63">
        <f>VLOOKUP(A115,TypeIDs!B:C,2,FALSE)</f>
        <v>21937</v>
      </c>
      <c r="C115" s="36">
        <v>1273</v>
      </c>
      <c r="D115" s="69">
        <f t="shared" si="11"/>
        <v>1340.8985</v>
      </c>
      <c r="E115" s="35">
        <f>INDEX(MARKET_INPUT[Column1.price],MATCH(B115,MARKET_INPUT[Column1.type_id]))</f>
        <v>831</v>
      </c>
      <c r="F115" s="35">
        <f t="shared" si="12"/>
        <v>794.02049999999997</v>
      </c>
      <c r="G115" s="18">
        <f>VLOOKUP(B115,TypeIDs!C:D,2,FALSE)</f>
        <v>1.2500000000000001E-2</v>
      </c>
      <c r="I115" s="15">
        <f>IF(H115="",result114,H115)</f>
        <v>7886.6541666666672</v>
      </c>
      <c r="J115" s="17">
        <f t="shared" si="15"/>
        <v>25667.929650833335</v>
      </c>
      <c r="K115" s="20">
        <f t="shared" si="16"/>
        <v>55206.57916666667</v>
      </c>
      <c r="L115" s="19">
        <f t="shared" si="13"/>
        <v>690.08223958333338</v>
      </c>
      <c r="M115" s="8">
        <f t="shared" si="19"/>
        <v>0.59215555838118994</v>
      </c>
      <c r="N115" s="9">
        <f t="shared" si="20"/>
        <v>74026419.194714591</v>
      </c>
      <c r="O115" s="10">
        <f t="shared" si="17"/>
        <v>-30191263.601508338</v>
      </c>
      <c r="P115" s="11">
        <f t="shared" si="18"/>
        <v>-43750.239999999998</v>
      </c>
      <c r="Q115" s="23">
        <f t="shared" si="14"/>
        <v>43835155.593206257</v>
      </c>
      <c r="R115" s="3" t="e">
        <f>VLOOKUP(B115,Buylist!B:B,1,FALSE)</f>
        <v>#N/A</v>
      </c>
      <c r="S115" s="3" t="e">
        <f>VLOOKUP(B115,Buylist!B:O,13,FALSE)</f>
        <v>#N/A</v>
      </c>
      <c r="T115" s="78">
        <v>114</v>
      </c>
    </row>
    <row r="116" spans="1:20">
      <c r="A116" s="29" t="s">
        <v>15377</v>
      </c>
      <c r="B116" s="63">
        <f>VLOOKUP(A116,TypeIDs!B:C,2,FALSE)</f>
        <v>28336</v>
      </c>
      <c r="C116" s="36">
        <v>494.4</v>
      </c>
      <c r="D116" s="69">
        <f t="shared" si="11"/>
        <v>518.6508</v>
      </c>
      <c r="E116" s="35">
        <f>INDEX(MARKET_INPUT[Column1.price],MATCH(B116,MARKET_INPUT[Column1.type_id]))</f>
        <v>588</v>
      </c>
      <c r="F116" s="35">
        <f t="shared" si="12"/>
        <v>561.83399999999995</v>
      </c>
      <c r="G116" s="18">
        <f>VLOOKUP(B116,TypeIDs!C:D,2,FALSE)</f>
        <v>2.5000000000000001E-3</v>
      </c>
      <c r="I116" s="15">
        <f>IF(H116="",result115,H116)</f>
        <v>5413.7624999999998</v>
      </c>
      <c r="J116" s="17">
        <f t="shared" si="15"/>
        <v>16776.605335999997</v>
      </c>
      <c r="K116" s="20">
        <f t="shared" si="16"/>
        <v>37896.337500000001</v>
      </c>
      <c r="L116" s="19">
        <f t="shared" si="13"/>
        <v>94.740843749999996</v>
      </c>
      <c r="M116" s="8">
        <f t="shared" si="19"/>
        <v>1.083260644734376</v>
      </c>
      <c r="N116" s="9">
        <f t="shared" si="20"/>
        <v>19654965.761445001</v>
      </c>
      <c r="O116" s="10">
        <f t="shared" si="17"/>
        <v>1636485.1215299978</v>
      </c>
      <c r="P116" s="11">
        <f t="shared" si="18"/>
        <v>17273.279999999977</v>
      </c>
      <c r="Q116" s="23">
        <f t="shared" si="14"/>
        <v>21291450.882974997</v>
      </c>
      <c r="R116" s="3" t="e">
        <f>VLOOKUP(B116,Buylist!B:B,1,FALSE)</f>
        <v>#N/A</v>
      </c>
      <c r="S116" s="3" t="e">
        <f>VLOOKUP(B116,Buylist!B:O,13,FALSE)</f>
        <v>#N/A</v>
      </c>
      <c r="T116" s="78">
        <v>115</v>
      </c>
    </row>
    <row r="117" spans="1:20">
      <c r="A117" s="29" t="s">
        <v>10478</v>
      </c>
      <c r="B117" s="63">
        <f>VLOOKUP(A117,TypeIDs!B:C,2,FALSE)</f>
        <v>21898</v>
      </c>
      <c r="C117" s="36">
        <v>521.4</v>
      </c>
      <c r="D117" s="69">
        <f t="shared" si="11"/>
        <v>546.85230000000001</v>
      </c>
      <c r="E117" s="35">
        <f>INDEX(MARKET_INPUT[Column1.price],MATCH(B117,MARKET_INPUT[Column1.type_id]))</f>
        <v>667</v>
      </c>
      <c r="F117" s="35">
        <f t="shared" si="12"/>
        <v>637.31849999999997</v>
      </c>
      <c r="G117" s="18">
        <f>VLOOKUP(B117,TypeIDs!C:D,2,FALSE)</f>
        <v>2.5000000000000001E-3</v>
      </c>
      <c r="I117" s="15">
        <f>IF(H117="",result116,H117)</f>
        <v>8939.4791666666679</v>
      </c>
      <c r="J117" s="17">
        <f t="shared" si="15"/>
        <v>27750.651387500006</v>
      </c>
      <c r="K117" s="20">
        <f t="shared" si="16"/>
        <v>62576.354166666672</v>
      </c>
      <c r="L117" s="19">
        <f t="shared" si="13"/>
        <v>156.44088541666667</v>
      </c>
      <c r="M117" s="8">
        <f t="shared" si="19"/>
        <v>1.1654307753665842</v>
      </c>
      <c r="N117" s="9">
        <f t="shared" si="20"/>
        <v>34220023.201656252</v>
      </c>
      <c r="O117" s="10">
        <f t="shared" si="17"/>
        <v>5661044.9713124977</v>
      </c>
      <c r="P117" s="11">
        <f t="shared" si="18"/>
        <v>36186.479999999981</v>
      </c>
      <c r="Q117" s="23">
        <f t="shared" si="14"/>
        <v>39881068.172968753</v>
      </c>
      <c r="R117" s="3" t="e">
        <f>VLOOKUP(B117,Buylist!B:B,1,FALSE)</f>
        <v>#N/A</v>
      </c>
      <c r="S117" s="3" t="e">
        <f>VLOOKUP(B117,Buylist!B:O,13,FALSE)</f>
        <v>#N/A</v>
      </c>
      <c r="T117" s="78">
        <v>116</v>
      </c>
    </row>
    <row r="118" spans="1:20">
      <c r="A118" s="40" t="s">
        <v>10482</v>
      </c>
      <c r="B118" s="63">
        <f>VLOOKUP(A118,TypeIDs!B:C,2,FALSE)</f>
        <v>21906</v>
      </c>
      <c r="C118" s="36">
        <v>513.4</v>
      </c>
      <c r="D118" s="69">
        <f t="shared" si="11"/>
        <v>538.49630000000002</v>
      </c>
      <c r="E118" s="35">
        <f>INDEX(MARKET_INPUT[Column1.price],MATCH(B118,MARKET_INPUT[Column1.type_id]))</f>
        <v>600.1</v>
      </c>
      <c r="F118" s="35">
        <f t="shared" si="12"/>
        <v>573.39555000000007</v>
      </c>
      <c r="G118" s="18">
        <f>VLOOKUP(B118,TypeIDs!C:D,2,FALSE)</f>
        <v>2.5000000000000001E-3</v>
      </c>
      <c r="I118" s="15">
        <f>IF(H118="",result117,H118)</f>
        <v>5051.8194444444443</v>
      </c>
      <c r="J118" s="17">
        <f t="shared" si="15"/>
        <v>15674.184153888888</v>
      </c>
      <c r="K118" s="20">
        <f t="shared" si="16"/>
        <v>35362.736111111109</v>
      </c>
      <c r="L118" s="19">
        <f t="shared" si="13"/>
        <v>88.406840277777775</v>
      </c>
      <c r="M118" s="8">
        <f t="shared" si="19"/>
        <v>1.0648087089920582</v>
      </c>
      <c r="N118" s="9">
        <f t="shared" si="20"/>
        <v>19042702.553709723</v>
      </c>
      <c r="O118" s="10">
        <f t="shared" si="17"/>
        <v>1234132.9682256961</v>
      </c>
      <c r="P118" s="11">
        <f t="shared" si="18"/>
        <v>13959.700000000021</v>
      </c>
      <c r="Q118" s="23">
        <f t="shared" si="14"/>
        <v>20276835.521935418</v>
      </c>
      <c r="R118" s="3" t="e">
        <f>VLOOKUP(B118,Buylist!B:B,1,FALSE)</f>
        <v>#N/A</v>
      </c>
      <c r="S118" s="3" t="e">
        <f>VLOOKUP(B118,Buylist!B:O,13,FALSE)</f>
        <v>#N/A</v>
      </c>
      <c r="T118" s="78">
        <v>117</v>
      </c>
    </row>
    <row r="119" spans="1:20">
      <c r="A119" s="29" t="s">
        <v>10491</v>
      </c>
      <c r="B119" s="63">
        <f>VLOOKUP(A119,TypeIDs!B:C,2,FALSE)</f>
        <v>21924</v>
      </c>
      <c r="C119" s="36">
        <v>464</v>
      </c>
      <c r="D119" s="69">
        <f t="shared" si="11"/>
        <v>486.89800000000002</v>
      </c>
      <c r="E119" s="35">
        <f>INDEX(MARKET_INPUT[Column1.price],MATCH(B119,MARKET_INPUT[Column1.type_id]))</f>
        <v>807.1</v>
      </c>
      <c r="F119" s="35">
        <f t="shared" si="12"/>
        <v>771.18405000000007</v>
      </c>
      <c r="G119" s="18">
        <f>VLOOKUP(B119,TypeIDs!C:D,2,FALSE)</f>
        <v>2.5000000000000001E-3</v>
      </c>
      <c r="I119" s="15">
        <f>IF(H119="",result118,H119)</f>
        <v>2444.1215277777778</v>
      </c>
      <c r="J119" s="17">
        <f t="shared" si="15"/>
        <v>7559.184061111112</v>
      </c>
      <c r="K119" s="20">
        <f t="shared" si="16"/>
        <v>17108.850694444445</v>
      </c>
      <c r="L119" s="19">
        <f t="shared" si="13"/>
        <v>42.772126736111112</v>
      </c>
      <c r="M119" s="8">
        <f t="shared" si="19"/>
        <v>1.5838718787097092</v>
      </c>
      <c r="N119" s="9">
        <f t="shared" si="20"/>
        <v>8330265.1854236117</v>
      </c>
      <c r="O119" s="10">
        <f t="shared" si="17"/>
        <v>4863807.583963369</v>
      </c>
      <c r="P119" s="11">
        <f t="shared" si="18"/>
        <v>113714.42000000001</v>
      </c>
      <c r="Q119" s="23">
        <f t="shared" si="14"/>
        <v>13194072.769386981</v>
      </c>
      <c r="R119" s="3" t="e">
        <f>VLOOKUP(B119,Buylist!B:B,1,FALSE)</f>
        <v>#N/A</v>
      </c>
      <c r="S119" s="3" t="e">
        <f>VLOOKUP(B119,Buylist!B:O,13,FALSE)</f>
        <v>#N/A</v>
      </c>
      <c r="T119" s="78">
        <v>118</v>
      </c>
    </row>
    <row r="120" spans="1:20">
      <c r="A120" s="29" t="s">
        <v>118</v>
      </c>
      <c r="B120" s="63">
        <f>VLOOKUP(A120,TypeIDs!B:C,2,FALSE)</f>
        <v>193</v>
      </c>
      <c r="C120" s="36">
        <v>119.8</v>
      </c>
      <c r="D120" s="69">
        <f t="shared" si="11"/>
        <v>136.3811</v>
      </c>
      <c r="E120" s="35">
        <f>INDEX(MARKET_INPUT[Column1.price],MATCH(B120,MARKET_INPUT[Column1.type_id]))</f>
        <v>290</v>
      </c>
      <c r="F120" s="35">
        <f t="shared" si="12"/>
        <v>277.09500000000003</v>
      </c>
      <c r="G120" s="18">
        <f>VLOOKUP(B120,TypeIDs!C:D,2,FALSE)</f>
        <v>1.2500000000000001E-2</v>
      </c>
      <c r="I120" s="15">
        <f>IF(H120="",result119,H120)</f>
        <v>31573.8</v>
      </c>
      <c r="J120" s="17">
        <f t="shared" si="15"/>
        <v>95477.933248000001</v>
      </c>
      <c r="K120" s="20">
        <f t="shared" si="16"/>
        <v>221016.6</v>
      </c>
      <c r="L120" s="19">
        <f t="shared" si="13"/>
        <v>2762.7075</v>
      </c>
      <c r="M120" s="8">
        <f t="shared" si="19"/>
        <v>2.0317697980145346</v>
      </c>
      <c r="N120" s="9">
        <f t="shared" si="20"/>
        <v>30142487.02626</v>
      </c>
      <c r="O120" s="10">
        <f t="shared" si="17"/>
        <v>31100107.750740007</v>
      </c>
      <c r="P120" s="11">
        <f t="shared" si="18"/>
        <v>11257.112000000001</v>
      </c>
      <c r="Q120" s="23">
        <f t="shared" si="14"/>
        <v>61242594.77700001</v>
      </c>
      <c r="R120" s="3" t="e">
        <f>VLOOKUP(B120,Buylist!B:B,1,FALSE)</f>
        <v>#N/A</v>
      </c>
      <c r="S120" s="3" t="e">
        <f>VLOOKUP(B120,Buylist!B:O,13,FALSE)</f>
        <v>#N/A</v>
      </c>
      <c r="T120" s="78">
        <v>119</v>
      </c>
    </row>
    <row r="121" spans="1:20">
      <c r="A121" s="39" t="s">
        <v>25849</v>
      </c>
      <c r="B121" s="63">
        <f>VLOOKUP(A121,TypeIDs!B:C,2,FALSE)</f>
        <v>41155</v>
      </c>
      <c r="C121" s="36">
        <v>11840</v>
      </c>
      <c r="D121" s="69">
        <f t="shared" si="11"/>
        <v>13266.88</v>
      </c>
      <c r="E121" s="35">
        <f>INDEX(MARKET_INPUT[Column1.price],MATCH(B121,MARKET_INPUT[Column1.type_id]))</f>
        <v>33750</v>
      </c>
      <c r="F121" s="35">
        <f t="shared" si="12"/>
        <v>32248.125</v>
      </c>
      <c r="G121" s="18">
        <f>VLOOKUP(B121,TypeIDs!C:D,2,FALSE)</f>
        <v>1</v>
      </c>
      <c r="I121" s="15">
        <f>IF(H121="",result120,H121)</f>
        <v>7.7958333333333334</v>
      </c>
      <c r="J121" s="17">
        <f t="shared" si="15"/>
        <v>43.848033333333333</v>
      </c>
      <c r="K121" s="20">
        <f t="shared" si="16"/>
        <v>54.570833333333333</v>
      </c>
      <c r="L121" s="19">
        <f t="shared" si="13"/>
        <v>54.570833333333333</v>
      </c>
      <c r="M121" s="8">
        <f t="shared" si="19"/>
        <v>2.4307241039340073</v>
      </c>
      <c r="N121" s="9">
        <f t="shared" si="20"/>
        <v>723984.69733333332</v>
      </c>
      <c r="O121" s="10">
        <f t="shared" si="17"/>
        <v>1035822.3573541668</v>
      </c>
      <c r="P121" s="11">
        <f t="shared" si="18"/>
        <v>18981.245000000003</v>
      </c>
      <c r="Q121" s="23">
        <f t="shared" si="14"/>
        <v>1759807.0546875</v>
      </c>
      <c r="R121" s="3" t="e">
        <f>VLOOKUP(B121,Buylist!B:B,1,FALSE)</f>
        <v>#N/A</v>
      </c>
      <c r="S121" s="3" t="e">
        <f>VLOOKUP(B121,Buylist!B:O,13,FALSE)</f>
        <v>#N/A</v>
      </c>
      <c r="T121" s="78">
        <v>120</v>
      </c>
    </row>
    <row r="122" spans="1:20">
      <c r="A122" s="13" t="s">
        <v>21250</v>
      </c>
      <c r="B122" s="63">
        <f>VLOOKUP(A122,TypeIDs!B:C,2,FALSE)</f>
        <v>35795</v>
      </c>
      <c r="C122" s="36">
        <v>13790</v>
      </c>
      <c r="D122" s="69">
        <f t="shared" si="11"/>
        <v>15303.655000000001</v>
      </c>
      <c r="E122" s="35">
        <f>INDEX(MARKET_INPUT[Column1.price],MATCH(B122,MARKET_INPUT[Column1.type_id]))</f>
        <v>132400</v>
      </c>
      <c r="F122" s="35">
        <f t="shared" si="12"/>
        <v>126508.2</v>
      </c>
      <c r="G122" s="18">
        <f>VLOOKUP(B122,TypeIDs!C:D,2,FALSE)</f>
        <v>1</v>
      </c>
      <c r="I122" s="15">
        <f>IF(H122="",result121,H122)</f>
        <v>7.6916666666666664</v>
      </c>
      <c r="J122" s="17">
        <f t="shared" si="15"/>
        <v>46.288616666666663</v>
      </c>
      <c r="K122" s="20">
        <f t="shared" si="16"/>
        <v>53.841666666666669</v>
      </c>
      <c r="L122" s="19">
        <f t="shared" si="13"/>
        <v>53.841666666666669</v>
      </c>
      <c r="M122" s="8">
        <f t="shared" si="19"/>
        <v>8.2665350205555459</v>
      </c>
      <c r="N122" s="9">
        <f t="shared" si="20"/>
        <v>823974.29129166668</v>
      </c>
      <c r="O122" s="10">
        <f t="shared" si="17"/>
        <v>5987438.0437083337</v>
      </c>
      <c r="P122" s="11">
        <f t="shared" si="18"/>
        <v>111204.545</v>
      </c>
      <c r="Q122" s="23">
        <f t="shared" si="14"/>
        <v>6811412.3350000009</v>
      </c>
      <c r="R122" s="3">
        <f>VLOOKUP(B122,Buylist!B:B,1,FALSE)</f>
        <v>35795</v>
      </c>
      <c r="S122" s="3">
        <f>VLOOKUP(B122,Buylist!B:O,13,FALSE)</f>
        <v>0</v>
      </c>
      <c r="T122" s="78">
        <v>121</v>
      </c>
    </row>
    <row r="123" spans="1:20">
      <c r="A123" s="13" t="s">
        <v>21249</v>
      </c>
      <c r="B123" s="63">
        <f>VLOOKUP(A123,TypeIDs!B:C,2,FALSE)</f>
        <v>35794</v>
      </c>
      <c r="C123" s="36">
        <v>11900</v>
      </c>
      <c r="D123" s="69">
        <f t="shared" si="11"/>
        <v>13329.55</v>
      </c>
      <c r="E123" s="35">
        <f>INDEX(MARKET_INPUT[Column1.price],MATCH(B123,MARKET_INPUT[Column1.type_id]))</f>
        <v>27000</v>
      </c>
      <c r="F123" s="35">
        <f t="shared" si="12"/>
        <v>25798.5</v>
      </c>
      <c r="G123" s="18">
        <f>VLOOKUP(B123,TypeIDs!C:D,2,FALSE)</f>
        <v>1</v>
      </c>
      <c r="I123" s="15">
        <f>IF(H123="",result122,H123)</f>
        <v>7.9124999999999996</v>
      </c>
      <c r="J123" s="17">
        <f t="shared" si="15"/>
        <v>44.569249999999997</v>
      </c>
      <c r="K123" s="20">
        <f t="shared" si="16"/>
        <v>55.387499999999996</v>
      </c>
      <c r="L123" s="19">
        <f t="shared" si="13"/>
        <v>55.387499999999996</v>
      </c>
      <c r="M123" s="8">
        <f t="shared" si="19"/>
        <v>1.935436680157995</v>
      </c>
      <c r="N123" s="9">
        <f t="shared" si="20"/>
        <v>738290.45062499994</v>
      </c>
      <c r="O123" s="10">
        <f t="shared" si="17"/>
        <v>690623.96812500001</v>
      </c>
      <c r="P123" s="11">
        <f t="shared" si="18"/>
        <v>12468.95</v>
      </c>
      <c r="Q123" s="23">
        <f t="shared" si="14"/>
        <v>1428914.41875</v>
      </c>
      <c r="R123" s="3">
        <f>VLOOKUP(B123,Buylist!B:B,1,FALSE)</f>
        <v>35794</v>
      </c>
      <c r="S123" s="3">
        <f>VLOOKUP(B123,Buylist!B:O,13,FALSE)</f>
        <v>0</v>
      </c>
      <c r="T123" s="78">
        <v>122</v>
      </c>
    </row>
    <row r="124" spans="1:20">
      <c r="A124" s="39" t="s">
        <v>15916</v>
      </c>
      <c r="B124" s="63">
        <f>VLOOKUP(A124,TypeIDs!B:C,2,FALSE)</f>
        <v>29005</v>
      </c>
      <c r="C124" s="36">
        <v>100000</v>
      </c>
      <c r="D124" s="69">
        <f t="shared" si="11"/>
        <v>105350</v>
      </c>
      <c r="E124" s="35">
        <f>INDEX(MARKET_INPUT[Column1.price],MATCH(B124,MARKET_INPUT[Column1.type_id]))</f>
        <v>18990</v>
      </c>
      <c r="F124" s="35">
        <f t="shared" si="12"/>
        <v>18144.945</v>
      </c>
      <c r="G124" s="18">
        <f>VLOOKUP(B124,TypeIDs!C:D,2,FALSE)</f>
        <v>1</v>
      </c>
      <c r="I124" s="15">
        <f>IF(H124="",result123,H124)</f>
        <v>15.362500000000001</v>
      </c>
      <c r="J124" s="17">
        <f t="shared" si="15"/>
        <v>355.33749999999998</v>
      </c>
      <c r="K124" s="20">
        <f t="shared" si="16"/>
        <v>107.53750000000001</v>
      </c>
      <c r="L124" s="19">
        <f t="shared" si="13"/>
        <v>107.53750000000001</v>
      </c>
      <c r="M124" s="8">
        <f t="shared" si="19"/>
        <v>0.17223488372093024</v>
      </c>
      <c r="N124" s="9">
        <f t="shared" si="20"/>
        <v>11329075.625</v>
      </c>
      <c r="O124" s="10">
        <f t="shared" si="17"/>
        <v>-9377813.6020624992</v>
      </c>
      <c r="P124" s="11">
        <f t="shared" si="18"/>
        <v>-87205.054999999993</v>
      </c>
      <c r="Q124" s="23">
        <f t="shared" si="14"/>
        <v>1951262.0229375008</v>
      </c>
      <c r="R124" s="3" t="e">
        <f>VLOOKUP(B124,Buylist!B:B,1,FALSE)</f>
        <v>#N/A</v>
      </c>
      <c r="S124" s="3" t="e">
        <f>VLOOKUP(B124,Buylist!B:O,13,FALSE)</f>
        <v>#N/A</v>
      </c>
      <c r="T124" s="78">
        <v>123</v>
      </c>
    </row>
    <row r="125" spans="1:20">
      <c r="A125" s="13" t="s">
        <v>15910</v>
      </c>
      <c r="B125" s="63">
        <f>VLOOKUP(A125,TypeIDs!B:C,2,FALSE)</f>
        <v>28999</v>
      </c>
      <c r="C125" s="36">
        <v>11570</v>
      </c>
      <c r="D125" s="69">
        <f t="shared" si="11"/>
        <v>12984.865</v>
      </c>
      <c r="E125" s="35">
        <f>INDEX(MARKET_INPUT[Column1.price],MATCH(B125,MARKET_INPUT[Column1.type_id]))</f>
        <v>10400</v>
      </c>
      <c r="F125" s="35">
        <f t="shared" si="12"/>
        <v>9937.2000000000007</v>
      </c>
      <c r="G125" s="18">
        <f>VLOOKUP(B125,TypeIDs!C:D,2,FALSE)</f>
        <v>1</v>
      </c>
      <c r="I125" s="15">
        <f>IF(H125="",result124,H125)</f>
        <v>27.991666666666667</v>
      </c>
      <c r="J125" s="17">
        <f t="shared" si="15"/>
        <v>150.74771666666666</v>
      </c>
      <c r="K125" s="20">
        <f t="shared" si="16"/>
        <v>195.94166666666666</v>
      </c>
      <c r="L125" s="19">
        <f t="shared" si="13"/>
        <v>195.94166666666666</v>
      </c>
      <c r="M125" s="8">
        <f t="shared" si="19"/>
        <v>0.76529097530085999</v>
      </c>
      <c r="N125" s="9">
        <f t="shared" si="20"/>
        <v>2544276.0895416667</v>
      </c>
      <c r="O125" s="10">
        <f t="shared" si="17"/>
        <v>-597164.55954166641</v>
      </c>
      <c r="P125" s="11">
        <f t="shared" si="18"/>
        <v>-3047.6649999999991</v>
      </c>
      <c r="Q125" s="23">
        <f t="shared" si="14"/>
        <v>1947111.5300000003</v>
      </c>
      <c r="R125" s="3" t="e">
        <f>VLOOKUP(B125,Buylist!B:B,1,FALSE)</f>
        <v>#N/A</v>
      </c>
      <c r="S125" s="3" t="e">
        <f>VLOOKUP(B125,Buylist!B:O,13,FALSE)</f>
        <v>#N/A</v>
      </c>
      <c r="T125" s="78">
        <v>124</v>
      </c>
    </row>
    <row r="126" spans="1:20">
      <c r="A126" s="13" t="s">
        <v>15922</v>
      </c>
      <c r="B126" s="63">
        <f>VLOOKUP(A126,TypeIDs!B:C,2,FALSE)</f>
        <v>29011</v>
      </c>
      <c r="C126" s="36">
        <v>8599</v>
      </c>
      <c r="D126" s="69">
        <f t="shared" si="11"/>
        <v>9881.6555000000008</v>
      </c>
      <c r="E126" s="35">
        <f>INDEX(MARKET_INPUT[Column1.price],MATCH(B126,MARKET_INPUT[Column1.type_id]))</f>
        <v>15010</v>
      </c>
      <c r="F126" s="35">
        <f t="shared" si="12"/>
        <v>14342.055</v>
      </c>
      <c r="G126" s="18">
        <f>VLOOKUP(B126,TypeIDs!C:D,2,FALSE)</f>
        <v>1</v>
      </c>
      <c r="I126" s="15">
        <f>IF(H126="",result125,H126)</f>
        <v>19.9375</v>
      </c>
      <c r="J126" s="17">
        <f t="shared" si="15"/>
        <v>96.101012499999996</v>
      </c>
      <c r="K126" s="20">
        <f t="shared" si="16"/>
        <v>139.5625</v>
      </c>
      <c r="L126" s="19">
        <f t="shared" si="13"/>
        <v>139.5625</v>
      </c>
      <c r="M126" s="8">
        <f t="shared" si="19"/>
        <v>1.4513818054069987</v>
      </c>
      <c r="N126" s="9">
        <f t="shared" si="20"/>
        <v>1379108.5457187502</v>
      </c>
      <c r="O126" s="10">
        <f t="shared" si="17"/>
        <v>622504.50521874998</v>
      </c>
      <c r="P126" s="11">
        <f t="shared" si="18"/>
        <v>4460.3994999999995</v>
      </c>
      <c r="Q126" s="23">
        <f t="shared" si="14"/>
        <v>2001613.0509375003</v>
      </c>
      <c r="R126" s="3" t="e">
        <f>VLOOKUP(B126,Buylist!B:B,1,FALSE)</f>
        <v>#N/A</v>
      </c>
      <c r="S126" s="3" t="e">
        <f>VLOOKUP(B126,Buylist!B:O,13,FALSE)</f>
        <v>#N/A</v>
      </c>
      <c r="T126" s="78">
        <v>125</v>
      </c>
    </row>
    <row r="127" spans="1:20">
      <c r="A127" s="13" t="s">
        <v>15920</v>
      </c>
      <c r="B127" s="63">
        <f>VLOOKUP(A127,TypeIDs!B:C,2,FALSE)</f>
        <v>29009</v>
      </c>
      <c r="C127" s="36">
        <v>13840</v>
      </c>
      <c r="D127" s="69">
        <f t="shared" si="11"/>
        <v>15355.88</v>
      </c>
      <c r="E127" s="35">
        <f>INDEX(MARKET_INPUT[Column1.price],MATCH(B127,MARKET_INPUT[Column1.type_id]))</f>
        <v>8500</v>
      </c>
      <c r="F127" s="35">
        <f t="shared" si="12"/>
        <v>8121.75</v>
      </c>
      <c r="G127" s="18">
        <f>VLOOKUP(B127,TypeIDs!C:D,2,FALSE)</f>
        <v>1</v>
      </c>
      <c r="I127" s="15">
        <f>IF(H127="",result126,H127)</f>
        <v>10.091666666666667</v>
      </c>
      <c r="J127" s="17">
        <f t="shared" si="15"/>
        <v>60.208733333333328</v>
      </c>
      <c r="K127" s="20">
        <f t="shared" si="16"/>
        <v>70.641666666666666</v>
      </c>
      <c r="L127" s="19">
        <f t="shared" si="13"/>
        <v>70.641666666666666</v>
      </c>
      <c r="M127" s="8">
        <f t="shared" si="19"/>
        <v>0.52890163246912592</v>
      </c>
      <c r="N127" s="9">
        <f t="shared" si="20"/>
        <v>1084764.9563333332</v>
      </c>
      <c r="O127" s="10">
        <f t="shared" si="17"/>
        <v>-511031.00008333329</v>
      </c>
      <c r="P127" s="11">
        <f t="shared" si="18"/>
        <v>-7234.1299999999992</v>
      </c>
      <c r="Q127" s="23">
        <f t="shared" si="14"/>
        <v>573733.95624999981</v>
      </c>
      <c r="R127" s="3" t="e">
        <f>VLOOKUP(B127,Buylist!B:B,1,FALSE)</f>
        <v>#N/A</v>
      </c>
      <c r="S127" s="3" t="e">
        <f>VLOOKUP(B127,Buylist!B:O,13,FALSE)</f>
        <v>#N/A</v>
      </c>
      <c r="T127" s="78">
        <v>126</v>
      </c>
    </row>
    <row r="128" spans="1:20">
      <c r="A128" s="13" t="s">
        <v>15918</v>
      </c>
      <c r="B128" s="63">
        <f>VLOOKUP(A128,TypeIDs!B:C,2,FALSE)</f>
        <v>29007</v>
      </c>
      <c r="C128" s="36">
        <v>17840</v>
      </c>
      <c r="D128" s="69">
        <f t="shared" si="11"/>
        <v>19533.88</v>
      </c>
      <c r="E128" s="35">
        <f>INDEX(MARKET_INPUT[Column1.price],MATCH(B128,MARKET_INPUT[Column1.type_id]))</f>
        <v>20000</v>
      </c>
      <c r="F128" s="35">
        <f t="shared" si="12"/>
        <v>19110</v>
      </c>
      <c r="G128" s="18">
        <f>VLOOKUP(B128,TypeIDs!C:D,2,FALSE)</f>
        <v>1</v>
      </c>
      <c r="I128" s="15">
        <f>IF(H128="",result127,H128)</f>
        <v>14.6875</v>
      </c>
      <c r="J128" s="17">
        <f t="shared" si="15"/>
        <v>98.467500000000001</v>
      </c>
      <c r="K128" s="20">
        <f t="shared" si="16"/>
        <v>102.8125</v>
      </c>
      <c r="L128" s="19">
        <f t="shared" si="13"/>
        <v>102.8125</v>
      </c>
      <c r="M128" s="8">
        <f t="shared" si="19"/>
        <v>0.97830026599938158</v>
      </c>
      <c r="N128" s="9">
        <f t="shared" si="20"/>
        <v>2008327.0375000001</v>
      </c>
      <c r="O128" s="10">
        <f t="shared" si="17"/>
        <v>-43580.162500000108</v>
      </c>
      <c r="P128" s="11">
        <f t="shared" si="18"/>
        <v>-423.88000000000102</v>
      </c>
      <c r="Q128" s="23">
        <f t="shared" si="14"/>
        <v>1964746.875</v>
      </c>
      <c r="R128" s="3">
        <f>VLOOKUP(B128,Buylist!B:B,1,FALSE)</f>
        <v>29007</v>
      </c>
      <c r="S128" s="3">
        <f>VLOOKUP(B128,Buylist!B:O,13,FALSE)</f>
        <v>0</v>
      </c>
      <c r="T128" s="78">
        <v>127</v>
      </c>
    </row>
    <row r="129" spans="1:20">
      <c r="A129" s="13" t="s">
        <v>15912</v>
      </c>
      <c r="B129" s="63">
        <f>VLOOKUP(A129,TypeIDs!B:C,2,FALSE)</f>
        <v>29001</v>
      </c>
      <c r="C129" s="36">
        <v>9000</v>
      </c>
      <c r="D129" s="69">
        <f t="shared" si="11"/>
        <v>10300.5</v>
      </c>
      <c r="E129" s="35">
        <f>INDEX(MARKET_INPUT[Column1.price],MATCH(B129,MARKET_INPUT[Column1.type_id]))</f>
        <v>1745</v>
      </c>
      <c r="F129" s="35">
        <f t="shared" si="12"/>
        <v>1667.3475000000001</v>
      </c>
      <c r="G129" s="18">
        <f>VLOOKUP(B129,TypeIDs!C:D,2,FALSE)</f>
        <v>1</v>
      </c>
      <c r="I129" s="15">
        <f>IF(H129="",result128,H129)</f>
        <v>14.295833333333334</v>
      </c>
      <c r="J129" s="17">
        <f t="shared" si="15"/>
        <v>70.62</v>
      </c>
      <c r="K129" s="20">
        <f t="shared" si="16"/>
        <v>100.07083333333334</v>
      </c>
      <c r="L129" s="19">
        <f t="shared" si="13"/>
        <v>100.07083333333334</v>
      </c>
      <c r="M129" s="8">
        <f t="shared" si="19"/>
        <v>0.1618705402650357</v>
      </c>
      <c r="N129" s="9">
        <f t="shared" si="20"/>
        <v>1030779.61875</v>
      </c>
      <c r="O129" s="10">
        <f t="shared" si="17"/>
        <v>-863926.76496875007</v>
      </c>
      <c r="P129" s="11">
        <f t="shared" si="18"/>
        <v>-8633.1525000000001</v>
      </c>
      <c r="Q129" s="23">
        <f t="shared" si="14"/>
        <v>166852.85378124996</v>
      </c>
      <c r="R129" s="3" t="e">
        <f>VLOOKUP(B129,Buylist!B:B,1,FALSE)</f>
        <v>#N/A</v>
      </c>
      <c r="S129" s="3" t="e">
        <f>VLOOKUP(B129,Buylist!B:O,13,FALSE)</f>
        <v>#N/A</v>
      </c>
      <c r="T129" s="78">
        <v>128</v>
      </c>
    </row>
    <row r="130" spans="1:20">
      <c r="A130" s="41" t="s">
        <v>19374</v>
      </c>
      <c r="B130" s="63">
        <f>VLOOKUP(A130,TypeIDs!B:C,2,FALSE)</f>
        <v>33681</v>
      </c>
      <c r="C130" s="36">
        <v>106700000</v>
      </c>
      <c r="D130" s="69">
        <f t="shared" ref="D130:D193" si="21">(C130+(C130*TaxRate))+(G130*ShippingCost)</f>
        <v>111493150</v>
      </c>
      <c r="E130" s="35">
        <f>INDEX(MARKET_INPUT[Column1.price],MATCH(B130,MARKET_INPUT[Column1.type_id]))</f>
        <v>120000000</v>
      </c>
      <c r="F130" s="35">
        <f t="shared" ref="F130:F193" si="22">E130-(E130*TaxRate)</f>
        <v>114660000</v>
      </c>
      <c r="G130" s="18">
        <f>VLOOKUP(B130,TypeIDs!C:D,2,FALSE)</f>
        <v>50</v>
      </c>
      <c r="H130" s="13">
        <v>0.7</v>
      </c>
      <c r="I130" s="15">
        <f>IF(H130="",result129,H130)</f>
        <v>0.7</v>
      </c>
      <c r="J130" s="17">
        <f t="shared" si="15"/>
        <v>15040.1</v>
      </c>
      <c r="K130" s="20">
        <f t="shared" si="16"/>
        <v>4.8999999999999995</v>
      </c>
      <c r="L130" s="19">
        <f t="shared" ref="L130:L193" si="23">(G130*I130)*7</f>
        <v>245</v>
      </c>
      <c r="M130" s="8">
        <f t="shared" si="19"/>
        <v>1.0284039871507802</v>
      </c>
      <c r="N130" s="9">
        <f t="shared" si="20"/>
        <v>546316435</v>
      </c>
      <c r="O130" s="10">
        <f t="shared" si="17"/>
        <v>15517564.999999998</v>
      </c>
      <c r="P130" s="11">
        <f t="shared" si="18"/>
        <v>63337</v>
      </c>
      <c r="Q130" s="23">
        <f t="shared" ref="Q130:Q193" si="24">N130+O130</f>
        <v>561834000</v>
      </c>
      <c r="R130" s="3" t="e">
        <f>VLOOKUP(B130,Buylist!B:B,1,FALSE)</f>
        <v>#N/A</v>
      </c>
      <c r="S130" s="3" t="e">
        <f>VLOOKUP(B130,Buylist!B:O,13,FALSE)</f>
        <v>#N/A</v>
      </c>
      <c r="T130" s="78">
        <v>129</v>
      </c>
    </row>
    <row r="131" spans="1:20">
      <c r="A131" s="41" t="s">
        <v>1039</v>
      </c>
      <c r="B131" s="63">
        <f>VLOOKUP(A131,TypeIDs!B:C,2,FALSE)</f>
        <v>2193</v>
      </c>
      <c r="C131" s="36">
        <v>92440</v>
      </c>
      <c r="D131" s="69">
        <f t="shared" si="21"/>
        <v>119053.58</v>
      </c>
      <c r="E131" s="35">
        <f>INDEX(MARKET_INPUT[Column1.price],MATCH(B131,MARKET_INPUT[Column1.type_id]))</f>
        <v>150000</v>
      </c>
      <c r="F131" s="35">
        <f t="shared" si="22"/>
        <v>143325</v>
      </c>
      <c r="G131" s="18">
        <f>VLOOKUP(B131,TypeIDs!C:D,2,FALSE)</f>
        <v>25</v>
      </c>
      <c r="H131" s="13">
        <v>2</v>
      </c>
      <c r="I131" s="15">
        <f>IF(H131="",result130,H131)</f>
        <v>2</v>
      </c>
      <c r="J131" s="17">
        <f t="shared" ref="J131:J194" si="25">((C131/(5000/I131))+(G131*2)+(I131*3))</f>
        <v>92.975999999999999</v>
      </c>
      <c r="K131" s="20">
        <f t="shared" ref="K131:K194" si="26">I131*7</f>
        <v>14</v>
      </c>
      <c r="L131" s="19">
        <f t="shared" si="23"/>
        <v>350</v>
      </c>
      <c r="M131" s="8">
        <f t="shared" si="19"/>
        <v>1.2038697198353885</v>
      </c>
      <c r="N131" s="9">
        <f t="shared" si="20"/>
        <v>1666750.12</v>
      </c>
      <c r="O131" s="10">
        <f t="shared" ref="O131:O194" si="27">(F131-D131)*K131</f>
        <v>339799.88</v>
      </c>
      <c r="P131" s="11">
        <f t="shared" ref="P131:P194" si="28">(F131-D131)/G131</f>
        <v>970.85679999999991</v>
      </c>
      <c r="Q131" s="23">
        <f t="shared" si="24"/>
        <v>2006550</v>
      </c>
      <c r="R131" s="3" t="e">
        <f>VLOOKUP(B131,Buylist!B:B,1,FALSE)</f>
        <v>#N/A</v>
      </c>
      <c r="S131" s="3" t="e">
        <f>VLOOKUP(B131,Buylist!B:O,13,FALSE)</f>
        <v>#N/A</v>
      </c>
      <c r="T131" s="78">
        <v>130</v>
      </c>
    </row>
    <row r="132" spans="1:20">
      <c r="A132" s="95" t="s">
        <v>1259</v>
      </c>
      <c r="B132" s="63">
        <f>VLOOKUP(A132,TypeIDs!B:C,2,FALSE)</f>
        <v>2478</v>
      </c>
      <c r="C132" s="36">
        <v>1343000</v>
      </c>
      <c r="D132" s="69">
        <f t="shared" si="21"/>
        <v>1425263.5</v>
      </c>
      <c r="E132" s="35">
        <f>INDEX(MARKET_INPUT[Column1.price],MATCH(B132,MARKET_INPUT[Column1.type_id]))</f>
        <v>1768000</v>
      </c>
      <c r="F132" s="35">
        <f t="shared" si="22"/>
        <v>1689324</v>
      </c>
      <c r="G132" s="18">
        <f>VLOOKUP(B132,TypeIDs!C:D,2,FALSE)</f>
        <v>25</v>
      </c>
      <c r="H132" s="13">
        <v>3</v>
      </c>
      <c r="I132" s="15">
        <f>IF(H132="",result131,H132)</f>
        <v>3</v>
      </c>
      <c r="J132" s="17">
        <f t="shared" si="25"/>
        <v>864.8</v>
      </c>
      <c r="K132" s="20">
        <f t="shared" si="26"/>
        <v>21</v>
      </c>
      <c r="L132" s="19">
        <f t="shared" si="23"/>
        <v>525</v>
      </c>
      <c r="M132" s="8">
        <f t="shared" ref="M132:M195" si="29">F132/D132</f>
        <v>1.1852713550862699</v>
      </c>
      <c r="N132" s="9">
        <f t="shared" ref="N132:N195" si="30">D132*K132</f>
        <v>29930533.5</v>
      </c>
      <c r="O132" s="10">
        <f t="shared" si="27"/>
        <v>5545270.5</v>
      </c>
      <c r="P132" s="11">
        <f t="shared" si="28"/>
        <v>10562.42</v>
      </c>
      <c r="Q132" s="23">
        <f t="shared" si="24"/>
        <v>35475804</v>
      </c>
      <c r="R132" s="3" t="e">
        <f>VLOOKUP(B132,Buylist!B:B,1,FALSE)</f>
        <v>#N/A</v>
      </c>
      <c r="S132" s="3" t="e">
        <f>VLOOKUP(B132,Buylist!B:O,13,FALSE)</f>
        <v>#N/A</v>
      </c>
      <c r="T132" s="78">
        <v>131</v>
      </c>
    </row>
    <row r="133" spans="1:20">
      <c r="A133" s="41" t="s">
        <v>1227</v>
      </c>
      <c r="B133" s="63">
        <f>VLOOKUP(A133,TypeIDs!B:C,2,FALSE)</f>
        <v>2446</v>
      </c>
      <c r="C133" s="36">
        <v>999800</v>
      </c>
      <c r="D133" s="69">
        <f t="shared" si="21"/>
        <v>1066791.1000000001</v>
      </c>
      <c r="E133" s="35">
        <f>INDEX(MARKET_INPUT[Column1.price],MATCH(B133,MARKET_INPUT[Column1.type_id]))</f>
        <v>1796000</v>
      </c>
      <c r="F133" s="35">
        <f t="shared" si="22"/>
        <v>1716078</v>
      </c>
      <c r="G133" s="18">
        <f>VLOOKUP(B133,TypeIDs!C:D,2,FALSE)</f>
        <v>25</v>
      </c>
      <c r="I133" s="15">
        <f>IF(H133="",result132,H133)</f>
        <v>9.1</v>
      </c>
      <c r="J133" s="17">
        <f t="shared" si="25"/>
        <v>1896.9359999999999</v>
      </c>
      <c r="K133" s="20">
        <f t="shared" si="26"/>
        <v>63.699999999999996</v>
      </c>
      <c r="L133" s="19">
        <f t="shared" si="23"/>
        <v>1592.5</v>
      </c>
      <c r="M133" s="8">
        <f t="shared" si="29"/>
        <v>1.6086354676187304</v>
      </c>
      <c r="N133" s="9">
        <f t="shared" si="30"/>
        <v>67954593.070000008</v>
      </c>
      <c r="O133" s="10">
        <f t="shared" si="27"/>
        <v>41359575.529999994</v>
      </c>
      <c r="P133" s="11">
        <f t="shared" si="28"/>
        <v>25971.475999999995</v>
      </c>
      <c r="Q133" s="23">
        <f t="shared" si="24"/>
        <v>109314168.59999999</v>
      </c>
      <c r="R133" s="3">
        <f>VLOOKUP(B133,Buylist!B:B,1,FALSE)</f>
        <v>2446</v>
      </c>
      <c r="S133" s="3">
        <f>VLOOKUP(B133,Buylist!B:O,13,FALSE)</f>
        <v>0</v>
      </c>
      <c r="T133" s="78">
        <v>132</v>
      </c>
    </row>
    <row r="134" spans="1:20">
      <c r="A134" s="41" t="s">
        <v>1041</v>
      </c>
      <c r="B134" s="63">
        <f>VLOOKUP(A134,TypeIDs!B:C,2,FALSE)</f>
        <v>2195</v>
      </c>
      <c r="C134" s="36">
        <v>1470000</v>
      </c>
      <c r="D134" s="69">
        <f t="shared" si="21"/>
        <v>1557915</v>
      </c>
      <c r="E134" s="35">
        <f>INDEX(MARKET_INPUT[Column1.price],MATCH(B134,MARKET_INPUT[Column1.type_id]))</f>
        <v>1889000</v>
      </c>
      <c r="F134" s="35">
        <f t="shared" si="22"/>
        <v>1804939.5</v>
      </c>
      <c r="G134" s="18">
        <f>VLOOKUP(B134,TypeIDs!C:D,2,FALSE)</f>
        <v>25</v>
      </c>
      <c r="I134" s="15">
        <f>IF(H134="",result133,H134)</f>
        <v>60.487499999999997</v>
      </c>
      <c r="J134" s="17">
        <f t="shared" si="25"/>
        <v>18014.787499999999</v>
      </c>
      <c r="K134" s="20">
        <f t="shared" si="26"/>
        <v>423.41249999999997</v>
      </c>
      <c r="L134" s="19">
        <f t="shared" si="23"/>
        <v>10585.3125</v>
      </c>
      <c r="M134" s="8">
        <f t="shared" si="29"/>
        <v>1.158560961284794</v>
      </c>
      <c r="N134" s="9">
        <f t="shared" si="30"/>
        <v>659640684.9375</v>
      </c>
      <c r="O134" s="10">
        <f t="shared" si="27"/>
        <v>104593261.10624999</v>
      </c>
      <c r="P134" s="11">
        <f t="shared" si="28"/>
        <v>9880.98</v>
      </c>
      <c r="Q134" s="23">
        <f t="shared" si="24"/>
        <v>764233946.04375005</v>
      </c>
      <c r="R134" s="3" t="e">
        <f>VLOOKUP(B134,Buylist!B:B,1,FALSE)</f>
        <v>#N/A</v>
      </c>
      <c r="S134" s="3" t="e">
        <f>VLOOKUP(B134,Buylist!B:O,13,FALSE)</f>
        <v>#N/A</v>
      </c>
      <c r="T134" s="78">
        <v>133</v>
      </c>
    </row>
    <row r="135" spans="1:20">
      <c r="A135" s="41" t="s">
        <v>1217</v>
      </c>
      <c r="B135" s="63">
        <f>VLOOKUP(A135,TypeIDs!B:C,2,FALSE)</f>
        <v>2436</v>
      </c>
      <c r="C135" s="36">
        <v>1360000</v>
      </c>
      <c r="D135" s="69">
        <f t="shared" si="21"/>
        <v>1443020</v>
      </c>
      <c r="E135" s="35">
        <f>INDEX(MARKET_INPUT[Column1.price],MATCH(B135,MARKET_INPUT[Column1.type_id]))</f>
        <v>2245000</v>
      </c>
      <c r="F135" s="35">
        <f t="shared" si="22"/>
        <v>2145097.5</v>
      </c>
      <c r="G135" s="18">
        <f>VLOOKUP(B135,TypeIDs!C:D,2,FALSE)</f>
        <v>25</v>
      </c>
      <c r="I135" s="15">
        <v>5</v>
      </c>
      <c r="J135" s="17">
        <f t="shared" si="25"/>
        <v>1425</v>
      </c>
      <c r="K135" s="20">
        <f t="shared" si="26"/>
        <v>35</v>
      </c>
      <c r="L135" s="19">
        <f t="shared" si="23"/>
        <v>875</v>
      </c>
      <c r="M135" s="8">
        <f t="shared" si="29"/>
        <v>1.4865334506798242</v>
      </c>
      <c r="N135" s="9">
        <f t="shared" si="30"/>
        <v>50505700</v>
      </c>
      <c r="O135" s="10">
        <f t="shared" si="27"/>
        <v>24572712.5</v>
      </c>
      <c r="P135" s="11">
        <f t="shared" si="28"/>
        <v>28083.1</v>
      </c>
      <c r="Q135" s="23">
        <f t="shared" si="24"/>
        <v>75078412.5</v>
      </c>
      <c r="R135" s="3" t="e">
        <f>VLOOKUP(B135,Buylist!B:B,1,FALSE)</f>
        <v>#N/A</v>
      </c>
      <c r="S135" s="3" t="e">
        <f>VLOOKUP(B135,Buylist!B:O,13,FALSE)</f>
        <v>#N/A</v>
      </c>
      <c r="T135" s="78">
        <v>134</v>
      </c>
    </row>
    <row r="136" spans="1:20">
      <c r="A136" s="41" t="s">
        <v>18133</v>
      </c>
      <c r="B136" s="63">
        <f>VLOOKUP(A136,TypeIDs!B:C,2,FALSE)</f>
        <v>31870</v>
      </c>
      <c r="C136" s="36">
        <v>2210000</v>
      </c>
      <c r="D136" s="69">
        <f t="shared" si="21"/>
        <v>2330845</v>
      </c>
      <c r="E136" s="35">
        <f>INDEX(MARKET_INPUT[Column1.price],MATCH(B136,MARKET_INPUT[Column1.type_id]))</f>
        <v>3600000</v>
      </c>
      <c r="F136" s="35">
        <f t="shared" si="22"/>
        <v>3439800</v>
      </c>
      <c r="G136" s="18">
        <f>VLOOKUP(B136,TypeIDs!C:D,2,FALSE)</f>
        <v>25</v>
      </c>
      <c r="I136" s="15">
        <v>15</v>
      </c>
      <c r="J136" s="17">
        <f t="shared" si="25"/>
        <v>6725</v>
      </c>
      <c r="K136" s="20">
        <f t="shared" si="26"/>
        <v>105</v>
      </c>
      <c r="L136" s="19">
        <f t="shared" si="23"/>
        <v>2625</v>
      </c>
      <c r="M136" s="8">
        <f t="shared" si="29"/>
        <v>1.4757738073531272</v>
      </c>
      <c r="N136" s="9">
        <f t="shared" si="30"/>
        <v>244738725</v>
      </c>
      <c r="O136" s="10">
        <f t="shared" si="27"/>
        <v>116440275</v>
      </c>
      <c r="P136" s="11">
        <f t="shared" si="28"/>
        <v>44358.2</v>
      </c>
      <c r="Q136" s="23">
        <f t="shared" si="24"/>
        <v>361179000</v>
      </c>
      <c r="R136" s="3" t="e">
        <f>VLOOKUP(B136,Buylist!B:B,1,FALSE)</f>
        <v>#N/A</v>
      </c>
      <c r="S136" s="3" t="e">
        <f>VLOOKUP(B136,Buylist!B:O,13,FALSE)</f>
        <v>#N/A</v>
      </c>
      <c r="T136" s="78">
        <v>135</v>
      </c>
    </row>
    <row r="137" spans="1:20">
      <c r="A137" s="41" t="s">
        <v>1049</v>
      </c>
      <c r="B137" s="63">
        <f>VLOOKUP(A137,TypeIDs!B:C,2,FALSE)</f>
        <v>2203</v>
      </c>
      <c r="C137" s="36">
        <v>5464</v>
      </c>
      <c r="D137" s="69">
        <f t="shared" si="21"/>
        <v>10207.148000000001</v>
      </c>
      <c r="E137" s="35">
        <f>INDEX(MARKET_INPUT[Column1.price],MATCH(B137,MARKET_INPUT[Column1.type_id]))</f>
        <v>28480</v>
      </c>
      <c r="F137" s="35">
        <f t="shared" si="22"/>
        <v>27212.639999999999</v>
      </c>
      <c r="G137" s="18">
        <f>VLOOKUP(B137,TypeIDs!C:D,2,FALSE)</f>
        <v>5</v>
      </c>
      <c r="I137" s="15">
        <v>15</v>
      </c>
      <c r="J137" s="17">
        <f t="shared" si="25"/>
        <v>71.391999999999996</v>
      </c>
      <c r="K137" s="20">
        <f t="shared" si="26"/>
        <v>105</v>
      </c>
      <c r="L137" s="19">
        <f t="shared" si="23"/>
        <v>525</v>
      </c>
      <c r="M137" s="8">
        <f t="shared" si="29"/>
        <v>2.6660375650475525</v>
      </c>
      <c r="N137" s="9">
        <f t="shared" si="30"/>
        <v>1071750.54</v>
      </c>
      <c r="O137" s="10">
        <f t="shared" si="27"/>
        <v>1785576.66</v>
      </c>
      <c r="P137" s="11">
        <f t="shared" si="28"/>
        <v>3401.0983999999999</v>
      </c>
      <c r="Q137" s="23">
        <f t="shared" si="24"/>
        <v>2857327.2</v>
      </c>
      <c r="R137" s="3">
        <f>VLOOKUP(B137,Buylist!B:B,1,FALSE)</f>
        <v>2203</v>
      </c>
      <c r="S137" s="3" t="str">
        <f>VLOOKUP(B137,Buylist!B:O,13,FALSE)</f>
        <v>x</v>
      </c>
      <c r="T137" s="78">
        <v>136</v>
      </c>
    </row>
    <row r="138" spans="1:20">
      <c r="A138" s="41" t="s">
        <v>1235</v>
      </c>
      <c r="B138" s="63">
        <f>VLOOKUP(A138,TypeIDs!B:C,2,FALSE)</f>
        <v>2454</v>
      </c>
      <c r="C138" s="36">
        <v>5675</v>
      </c>
      <c r="D138" s="69">
        <f t="shared" si="21"/>
        <v>10427.5375</v>
      </c>
      <c r="E138" s="35">
        <f>INDEX(MARKET_INPUT[Column1.price],MATCH(B138,MARKET_INPUT[Column1.type_id]))</f>
        <v>14870</v>
      </c>
      <c r="F138" s="35">
        <f t="shared" si="22"/>
        <v>14208.285</v>
      </c>
      <c r="G138" s="18">
        <f>VLOOKUP(B138,TypeIDs!C:D,2,FALSE)</f>
        <v>5</v>
      </c>
      <c r="I138" s="15">
        <v>5</v>
      </c>
      <c r="J138" s="17">
        <f t="shared" si="25"/>
        <v>30.675000000000001</v>
      </c>
      <c r="K138" s="20">
        <f t="shared" si="26"/>
        <v>35</v>
      </c>
      <c r="L138" s="19">
        <f t="shared" si="23"/>
        <v>175</v>
      </c>
      <c r="M138" s="8">
        <f t="shared" si="29"/>
        <v>1.3625733784222784</v>
      </c>
      <c r="N138" s="9">
        <f t="shared" si="30"/>
        <v>364963.8125</v>
      </c>
      <c r="O138" s="10">
        <f t="shared" si="27"/>
        <v>132326.16249999998</v>
      </c>
      <c r="P138" s="11">
        <f t="shared" si="28"/>
        <v>756.14949999999988</v>
      </c>
      <c r="Q138" s="23">
        <f t="shared" si="24"/>
        <v>497289.97499999998</v>
      </c>
      <c r="R138" s="3" t="e">
        <f>VLOOKUP(B138,Buylist!B:B,1,FALSE)</f>
        <v>#N/A</v>
      </c>
      <c r="S138" s="3" t="e">
        <f>VLOOKUP(B138,Buylist!B:O,13,FALSE)</f>
        <v>#N/A</v>
      </c>
      <c r="T138" s="78">
        <v>137</v>
      </c>
    </row>
    <row r="139" spans="1:20">
      <c r="A139" s="41" t="s">
        <v>1267</v>
      </c>
      <c r="B139" s="63">
        <f>VLOOKUP(A139,TypeIDs!B:C,2,FALSE)</f>
        <v>2486</v>
      </c>
      <c r="C139" s="36">
        <v>9596</v>
      </c>
      <c r="D139" s="69">
        <f t="shared" si="21"/>
        <v>14523.022000000001</v>
      </c>
      <c r="E139" s="35">
        <f>INDEX(MARKET_INPUT[Column1.price],MATCH(B139,MARKET_INPUT[Column1.type_id]))</f>
        <v>16550</v>
      </c>
      <c r="F139" s="35">
        <f t="shared" si="22"/>
        <v>15813.525</v>
      </c>
      <c r="G139" s="18">
        <f>VLOOKUP(B139,TypeIDs!C:D,2,FALSE)</f>
        <v>5</v>
      </c>
      <c r="I139" s="15">
        <v>5</v>
      </c>
      <c r="J139" s="17">
        <f t="shared" si="25"/>
        <v>34.596000000000004</v>
      </c>
      <c r="K139" s="20">
        <f t="shared" si="26"/>
        <v>35</v>
      </c>
      <c r="L139" s="19">
        <f t="shared" si="23"/>
        <v>175</v>
      </c>
      <c r="M139" s="8">
        <f t="shared" si="29"/>
        <v>1.0888591231218956</v>
      </c>
      <c r="N139" s="9">
        <f t="shared" si="30"/>
        <v>508305.77</v>
      </c>
      <c r="O139" s="10">
        <f t="shared" si="27"/>
        <v>45167.60499999996</v>
      </c>
      <c r="P139" s="11">
        <f t="shared" si="28"/>
        <v>258.10059999999976</v>
      </c>
      <c r="Q139" s="23">
        <f t="shared" si="24"/>
        <v>553473.375</v>
      </c>
      <c r="R139" s="3" t="e">
        <f>VLOOKUP(B139,Buylist!B:B,1,FALSE)</f>
        <v>#N/A</v>
      </c>
      <c r="S139" s="3" t="e">
        <f>VLOOKUP(B139,Buylist!B:O,13,FALSE)</f>
        <v>#N/A</v>
      </c>
      <c r="T139" s="78">
        <v>138</v>
      </c>
    </row>
    <row r="140" spans="1:20">
      <c r="A140" s="26" t="s">
        <v>1051</v>
      </c>
      <c r="B140" s="63">
        <f>VLOOKUP(A140,TypeIDs!B:C,2,FALSE)</f>
        <v>2205</v>
      </c>
      <c r="C140" s="36">
        <v>309900</v>
      </c>
      <c r="D140" s="69">
        <f t="shared" si="21"/>
        <v>328190.55</v>
      </c>
      <c r="E140" s="35">
        <f>INDEX(MARKET_INPUT[Column1.price],MATCH(B140,MARKET_INPUT[Column1.type_id]))</f>
        <v>674400</v>
      </c>
      <c r="F140" s="35">
        <f t="shared" si="22"/>
        <v>644389.19999999995</v>
      </c>
      <c r="G140" s="18">
        <f>VLOOKUP(B140,TypeIDs!C:D,2,FALSE)</f>
        <v>5</v>
      </c>
      <c r="I140" s="15">
        <v>60</v>
      </c>
      <c r="J140" s="17">
        <f t="shared" si="25"/>
        <v>3908.8</v>
      </c>
      <c r="K140" s="20">
        <f t="shared" si="26"/>
        <v>420</v>
      </c>
      <c r="L140" s="19">
        <f t="shared" si="23"/>
        <v>2100</v>
      </c>
      <c r="M140" s="8">
        <f t="shared" si="29"/>
        <v>1.9634605566796484</v>
      </c>
      <c r="N140" s="9">
        <f t="shared" si="30"/>
        <v>137840031</v>
      </c>
      <c r="O140" s="10">
        <f t="shared" si="27"/>
        <v>132803432.99999999</v>
      </c>
      <c r="P140" s="11">
        <f t="shared" si="28"/>
        <v>63239.729999999996</v>
      </c>
      <c r="Q140" s="23">
        <f t="shared" si="24"/>
        <v>270643464</v>
      </c>
      <c r="R140" s="3">
        <f>VLOOKUP(B140,Buylist!B:B,1,FALSE)</f>
        <v>2205</v>
      </c>
      <c r="S140" s="3">
        <f>VLOOKUP(B140,Buylist!B:O,13,FALSE)</f>
        <v>0</v>
      </c>
      <c r="T140" s="78">
        <v>139</v>
      </c>
    </row>
    <row r="141" spans="1:20">
      <c r="A141" s="26" t="s">
        <v>1237</v>
      </c>
      <c r="B141" s="63">
        <f>VLOOKUP(A141,TypeIDs!B:C,2,FALSE)</f>
        <v>2456</v>
      </c>
      <c r="C141" s="36">
        <v>312600</v>
      </c>
      <c r="D141" s="69">
        <f t="shared" si="21"/>
        <v>331010.7</v>
      </c>
      <c r="E141" s="35">
        <f>INDEX(MARKET_INPUT[Column1.price],MATCH(B141,MARKET_INPUT[Column1.type_id]))</f>
        <v>668900</v>
      </c>
      <c r="F141" s="35">
        <f t="shared" si="22"/>
        <v>639133.94999999995</v>
      </c>
      <c r="G141" s="18">
        <f>VLOOKUP(B141,TypeIDs!C:D,2,FALSE)</f>
        <v>5</v>
      </c>
      <c r="I141" s="15">
        <v>30</v>
      </c>
      <c r="J141" s="17">
        <f t="shared" si="25"/>
        <v>1975.6000000000001</v>
      </c>
      <c r="K141" s="20">
        <f t="shared" si="26"/>
        <v>210</v>
      </c>
      <c r="L141" s="19">
        <f t="shared" si="23"/>
        <v>1050</v>
      </c>
      <c r="M141" s="8">
        <f t="shared" si="29"/>
        <v>1.9308558605507313</v>
      </c>
      <c r="N141" s="9">
        <f t="shared" si="30"/>
        <v>69512247</v>
      </c>
      <c r="O141" s="10">
        <f t="shared" si="27"/>
        <v>64705882.499999985</v>
      </c>
      <c r="P141" s="11">
        <f t="shared" si="28"/>
        <v>61624.649999999987</v>
      </c>
      <c r="Q141" s="23">
        <f t="shared" si="24"/>
        <v>134218129.5</v>
      </c>
      <c r="R141" s="3">
        <f>VLOOKUP(B141,Buylist!B:B,1,FALSE)</f>
        <v>2456</v>
      </c>
      <c r="S141" s="3">
        <f>VLOOKUP(B141,Buylist!B:O,13,FALSE)</f>
        <v>0</v>
      </c>
      <c r="T141" s="78">
        <v>140</v>
      </c>
    </row>
    <row r="142" spans="1:20">
      <c r="A142" s="26" t="s">
        <v>1247</v>
      </c>
      <c r="B142" s="63">
        <f>VLOOKUP(A142,TypeIDs!B:C,2,FALSE)</f>
        <v>2466</v>
      </c>
      <c r="C142" s="36">
        <v>340800</v>
      </c>
      <c r="D142" s="69">
        <f t="shared" si="21"/>
        <v>360465.6</v>
      </c>
      <c r="E142" s="35">
        <f>INDEX(MARKET_INPUT[Column1.price],MATCH(B142,MARKET_INPUT[Column1.type_id]))</f>
        <v>700000</v>
      </c>
      <c r="F142" s="35">
        <f t="shared" si="22"/>
        <v>668850</v>
      </c>
      <c r="G142" s="18">
        <f>VLOOKUP(B142,TypeIDs!C:D,2,FALSE)</f>
        <v>5</v>
      </c>
      <c r="I142" s="15">
        <v>5</v>
      </c>
      <c r="J142" s="17">
        <f t="shared" si="25"/>
        <v>365.8</v>
      </c>
      <c r="K142" s="20">
        <f t="shared" si="26"/>
        <v>35</v>
      </c>
      <c r="L142" s="19">
        <f t="shared" si="23"/>
        <v>175</v>
      </c>
      <c r="M142" s="8">
        <f t="shared" si="29"/>
        <v>1.855516864854788</v>
      </c>
      <c r="N142" s="9">
        <f t="shared" si="30"/>
        <v>12616296</v>
      </c>
      <c r="O142" s="10">
        <f t="shared" si="27"/>
        <v>10793454</v>
      </c>
      <c r="P142" s="11">
        <f t="shared" si="28"/>
        <v>61676.880000000005</v>
      </c>
      <c r="Q142" s="23">
        <f t="shared" si="24"/>
        <v>23409750</v>
      </c>
      <c r="R142" s="3" t="e">
        <f>VLOOKUP(B142,Buylist!B:B,1,FALSE)</f>
        <v>#N/A</v>
      </c>
      <c r="S142" s="3" t="e">
        <f>VLOOKUP(B142,Buylist!B:O,13,FALSE)</f>
        <v>#N/A</v>
      </c>
      <c r="T142" s="78">
        <v>141</v>
      </c>
    </row>
    <row r="143" spans="1:20">
      <c r="A143" s="26" t="s">
        <v>1269</v>
      </c>
      <c r="B143" s="63">
        <f>VLOOKUP(A143,TypeIDs!B:C,2,FALSE)</f>
        <v>2488</v>
      </c>
      <c r="C143" s="36">
        <v>337900</v>
      </c>
      <c r="D143" s="69">
        <f t="shared" si="21"/>
        <v>357436.55</v>
      </c>
      <c r="E143" s="35">
        <f>INDEX(MARKET_INPUT[Column1.price],MATCH(B143,MARKET_INPUT[Column1.type_id]))</f>
        <v>513900</v>
      </c>
      <c r="F143" s="35">
        <f t="shared" si="22"/>
        <v>491031.45</v>
      </c>
      <c r="G143" s="18">
        <f>VLOOKUP(B143,TypeIDs!C:D,2,FALSE)</f>
        <v>5</v>
      </c>
      <c r="I143" s="15">
        <v>75</v>
      </c>
      <c r="J143" s="17">
        <f t="shared" si="25"/>
        <v>5303.5</v>
      </c>
      <c r="K143" s="20">
        <f t="shared" si="26"/>
        <v>525</v>
      </c>
      <c r="L143" s="19">
        <f t="shared" si="23"/>
        <v>2625</v>
      </c>
      <c r="M143" s="8">
        <f t="shared" si="29"/>
        <v>1.3737583635473205</v>
      </c>
      <c r="N143" s="9">
        <f t="shared" si="30"/>
        <v>187654188.75</v>
      </c>
      <c r="O143" s="10">
        <f t="shared" si="27"/>
        <v>70137322.500000015</v>
      </c>
      <c r="P143" s="11">
        <f t="shared" si="28"/>
        <v>26718.980000000003</v>
      </c>
      <c r="Q143" s="23">
        <f t="shared" si="24"/>
        <v>257791511.25</v>
      </c>
      <c r="R143" s="3">
        <f>VLOOKUP(B143,Buylist!B:B,1,FALSE)</f>
        <v>2488</v>
      </c>
      <c r="S143" s="3">
        <f>VLOOKUP(B143,Buylist!B:O,13,FALSE)</f>
        <v>0</v>
      </c>
      <c r="T143" s="78">
        <v>142</v>
      </c>
    </row>
    <row r="144" spans="1:20">
      <c r="A144" s="26" t="s">
        <v>18127</v>
      </c>
      <c r="B144" s="63">
        <f>VLOOKUP(A144,TypeIDs!B:C,2,FALSE)</f>
        <v>31864</v>
      </c>
      <c r="C144" s="36">
        <v>1265000</v>
      </c>
      <c r="D144" s="69">
        <f t="shared" si="21"/>
        <v>1325792.5</v>
      </c>
      <c r="E144" s="35">
        <f>INDEX(MARKET_INPUT[Column1.price],MATCH(B144,MARKET_INPUT[Column1.type_id]))</f>
        <v>1750000</v>
      </c>
      <c r="F144" s="35">
        <f t="shared" si="22"/>
        <v>1672125</v>
      </c>
      <c r="G144" s="18">
        <f>VLOOKUP(B144,TypeIDs!C:D,2,FALSE)</f>
        <v>5</v>
      </c>
      <c r="I144" s="15">
        <v>5</v>
      </c>
      <c r="J144" s="17">
        <f t="shared" si="25"/>
        <v>1290</v>
      </c>
      <c r="K144" s="20">
        <f t="shared" si="26"/>
        <v>35</v>
      </c>
      <c r="L144" s="19">
        <f t="shared" si="23"/>
        <v>175</v>
      </c>
      <c r="M144" s="8">
        <f t="shared" si="29"/>
        <v>1.2612267756832234</v>
      </c>
      <c r="N144" s="9">
        <f t="shared" si="30"/>
        <v>46402737.5</v>
      </c>
      <c r="O144" s="10">
        <f t="shared" si="27"/>
        <v>12121637.5</v>
      </c>
      <c r="P144" s="11">
        <f t="shared" si="28"/>
        <v>69266.5</v>
      </c>
      <c r="Q144" s="23">
        <f t="shared" si="24"/>
        <v>58524375</v>
      </c>
      <c r="R144" s="3" t="e">
        <f>VLOOKUP(B144,Buylist!B:B,1,FALSE)</f>
        <v>#N/A</v>
      </c>
      <c r="S144" s="3" t="e">
        <f>VLOOKUP(B144,Buylist!B:O,13,FALSE)</f>
        <v>#N/A</v>
      </c>
      <c r="T144" s="78">
        <v>143</v>
      </c>
    </row>
    <row r="145" spans="1:20">
      <c r="A145" s="31" t="s">
        <v>18151</v>
      </c>
      <c r="B145" s="63">
        <f>VLOOKUP(A145,TypeIDs!B:C,2,FALSE)</f>
        <v>31888</v>
      </c>
      <c r="C145" s="36">
        <v>1307000</v>
      </c>
      <c r="D145" s="69">
        <f t="shared" si="21"/>
        <v>1369661.5</v>
      </c>
      <c r="E145" s="35">
        <f>INDEX(MARKET_INPUT[Column1.price],MATCH(B145,MARKET_INPUT[Column1.type_id]))</f>
        <v>1703000</v>
      </c>
      <c r="F145" s="35">
        <f t="shared" si="22"/>
        <v>1627216.5</v>
      </c>
      <c r="G145" s="18">
        <f>VLOOKUP(B145,TypeIDs!C:D,2,FALSE)</f>
        <v>5</v>
      </c>
      <c r="I145" s="15">
        <v>5</v>
      </c>
      <c r="J145" s="17">
        <f t="shared" si="25"/>
        <v>1332</v>
      </c>
      <c r="K145" s="20">
        <f t="shared" si="26"/>
        <v>35</v>
      </c>
      <c r="L145" s="19">
        <f t="shared" si="23"/>
        <v>175</v>
      </c>
      <c r="M145" s="8">
        <f t="shared" si="29"/>
        <v>1.1880428120378648</v>
      </c>
      <c r="N145" s="9">
        <f t="shared" si="30"/>
        <v>47938152.5</v>
      </c>
      <c r="O145" s="10">
        <f t="shared" si="27"/>
        <v>9014425</v>
      </c>
      <c r="P145" s="11">
        <f t="shared" si="28"/>
        <v>51511</v>
      </c>
      <c r="Q145" s="23">
        <f t="shared" si="24"/>
        <v>56952577.5</v>
      </c>
      <c r="R145" s="3" t="e">
        <f>VLOOKUP(B145,Buylist!B:B,1,FALSE)</f>
        <v>#N/A</v>
      </c>
      <c r="S145" s="3" t="e">
        <f>VLOOKUP(B145,Buylist!B:O,13,FALSE)</f>
        <v>#N/A</v>
      </c>
      <c r="T145" s="78">
        <v>144</v>
      </c>
    </row>
    <row r="146" spans="1:20">
      <c r="A146" s="26" t="s">
        <v>1020</v>
      </c>
      <c r="B146" s="63">
        <f>VLOOKUP(A146,TypeIDs!B:C,2,FALSE)</f>
        <v>2173</v>
      </c>
      <c r="C146" s="36">
        <v>49900</v>
      </c>
      <c r="D146" s="69">
        <f t="shared" si="21"/>
        <v>61120.55</v>
      </c>
      <c r="E146" s="35">
        <f>INDEX(MARKET_INPUT[Column1.price],MATCH(B146,MARKET_INPUT[Column1.type_id]))</f>
        <v>1501000</v>
      </c>
      <c r="F146" s="35">
        <f t="shared" si="22"/>
        <v>1434205.5</v>
      </c>
      <c r="G146" s="18">
        <f>VLOOKUP(B146,TypeIDs!C:D,2,FALSE)</f>
        <v>10</v>
      </c>
      <c r="I146" s="15">
        <v>10</v>
      </c>
      <c r="J146" s="17">
        <f t="shared" si="25"/>
        <v>149.80000000000001</v>
      </c>
      <c r="K146" s="20">
        <f t="shared" si="26"/>
        <v>70</v>
      </c>
      <c r="L146" s="19">
        <f t="shared" si="23"/>
        <v>700</v>
      </c>
      <c r="M146" s="8">
        <f t="shared" si="29"/>
        <v>23.465192967013547</v>
      </c>
      <c r="N146" s="9">
        <f t="shared" si="30"/>
        <v>4278438.5</v>
      </c>
      <c r="O146" s="10">
        <f t="shared" si="27"/>
        <v>96115946.5</v>
      </c>
      <c r="P146" s="11">
        <f t="shared" si="28"/>
        <v>137308.495</v>
      </c>
      <c r="Q146" s="23">
        <f t="shared" si="24"/>
        <v>100394385</v>
      </c>
      <c r="R146" s="3" t="e">
        <f>VLOOKUP(B146,Buylist!B:B,1,FALSE)</f>
        <v>#N/A</v>
      </c>
      <c r="S146" s="3" t="e">
        <f>VLOOKUP(B146,Buylist!B:O,13,FALSE)</f>
        <v>#N/A</v>
      </c>
      <c r="T146" s="78">
        <v>145</v>
      </c>
    </row>
    <row r="147" spans="1:20">
      <c r="A147" s="26" t="s">
        <v>1031</v>
      </c>
      <c r="B147" s="63">
        <f>VLOOKUP(A147,TypeIDs!B:C,2,FALSE)</f>
        <v>2185</v>
      </c>
      <c r="C147" s="36">
        <v>801000</v>
      </c>
      <c r="D147" s="69">
        <f t="shared" si="21"/>
        <v>845644.5</v>
      </c>
      <c r="E147" s="35">
        <f>INDEX(MARKET_INPUT[Column1.price],MATCH(B147,MARKET_INPUT[Column1.type_id]))</f>
        <v>1197000</v>
      </c>
      <c r="F147" s="35">
        <f t="shared" si="22"/>
        <v>1143733.5</v>
      </c>
      <c r="G147" s="18">
        <f>VLOOKUP(B147,TypeIDs!C:D,2,FALSE)</f>
        <v>10</v>
      </c>
      <c r="I147" s="15">
        <v>15</v>
      </c>
      <c r="J147" s="17">
        <f t="shared" si="25"/>
        <v>2468</v>
      </c>
      <c r="K147" s="20">
        <f t="shared" si="26"/>
        <v>105</v>
      </c>
      <c r="L147" s="19">
        <f t="shared" si="23"/>
        <v>1050</v>
      </c>
      <c r="M147" s="8">
        <f t="shared" si="29"/>
        <v>1.3524991884887798</v>
      </c>
      <c r="N147" s="9">
        <f t="shared" si="30"/>
        <v>88792672.5</v>
      </c>
      <c r="O147" s="10">
        <f t="shared" si="27"/>
        <v>31299345</v>
      </c>
      <c r="P147" s="11">
        <f t="shared" si="28"/>
        <v>29808.9</v>
      </c>
      <c r="Q147" s="23">
        <f t="shared" si="24"/>
        <v>120092017.5</v>
      </c>
      <c r="R147" s="3" t="e">
        <f>VLOOKUP(B147,Buylist!B:B,1,FALSE)</f>
        <v>#N/A</v>
      </c>
      <c r="S147" s="3" t="e">
        <f>VLOOKUP(B147,Buylist!B:O,13,FALSE)</f>
        <v>#N/A</v>
      </c>
      <c r="T147" s="78">
        <v>146</v>
      </c>
    </row>
    <row r="148" spans="1:20">
      <c r="A148" s="26" t="s">
        <v>1022</v>
      </c>
      <c r="B148" s="63">
        <f>VLOOKUP(A148,TypeIDs!B:C,2,FALSE)</f>
        <v>2175</v>
      </c>
      <c r="C148" s="36">
        <v>849000</v>
      </c>
      <c r="D148" s="69">
        <f t="shared" si="21"/>
        <v>895780.5</v>
      </c>
      <c r="E148" s="35">
        <f>INDEX(MARKET_INPUT[Column1.price],MATCH(B148,MARKET_INPUT[Column1.type_id]))</f>
        <v>2989000</v>
      </c>
      <c r="F148" s="35">
        <f t="shared" si="22"/>
        <v>2855989.5</v>
      </c>
      <c r="G148" s="18">
        <f>VLOOKUP(B148,TypeIDs!C:D,2,FALSE)</f>
        <v>10</v>
      </c>
      <c r="I148" s="15">
        <v>50</v>
      </c>
      <c r="J148" s="17">
        <f t="shared" si="25"/>
        <v>8660</v>
      </c>
      <c r="K148" s="20">
        <f t="shared" si="26"/>
        <v>350</v>
      </c>
      <c r="L148" s="19">
        <f t="shared" si="23"/>
        <v>3500</v>
      </c>
      <c r="M148" s="8">
        <f t="shared" si="29"/>
        <v>3.1882693360706109</v>
      </c>
      <c r="N148" s="9">
        <f t="shared" si="30"/>
        <v>313523175</v>
      </c>
      <c r="O148" s="10">
        <f t="shared" si="27"/>
        <v>686073150</v>
      </c>
      <c r="P148" s="11">
        <f t="shared" si="28"/>
        <v>196020.9</v>
      </c>
      <c r="Q148" s="23">
        <f t="shared" si="24"/>
        <v>999596325</v>
      </c>
      <c r="R148" s="3">
        <f>VLOOKUP(B148,Buylist!B:B,1,FALSE)</f>
        <v>2175</v>
      </c>
      <c r="S148" s="3">
        <f>VLOOKUP(B148,Buylist!B:O,13,FALSE)</f>
        <v>0</v>
      </c>
      <c r="T148" s="78">
        <v>147</v>
      </c>
    </row>
    <row r="149" spans="1:20">
      <c r="A149" s="26" t="s">
        <v>10259</v>
      </c>
      <c r="B149" s="63">
        <f>VLOOKUP(A149,TypeIDs!B:C,2,FALSE)</f>
        <v>21640</v>
      </c>
      <c r="C149" s="36">
        <v>879000</v>
      </c>
      <c r="D149" s="69">
        <f t="shared" si="21"/>
        <v>927115.5</v>
      </c>
      <c r="E149" s="35">
        <f>INDEX(MARKET_INPUT[Column1.price],MATCH(B149,MARKET_INPUT[Column1.type_id]))</f>
        <v>1340000</v>
      </c>
      <c r="F149" s="35">
        <f t="shared" si="22"/>
        <v>1280370</v>
      </c>
      <c r="G149" s="18">
        <f>VLOOKUP(B149,TypeIDs!C:D,2,FALSE)</f>
        <v>10</v>
      </c>
      <c r="I149" s="15">
        <v>15</v>
      </c>
      <c r="J149" s="17">
        <f t="shared" si="25"/>
        <v>2702</v>
      </c>
      <c r="K149" s="20">
        <f t="shared" si="26"/>
        <v>105</v>
      </c>
      <c r="L149" s="19">
        <f t="shared" si="23"/>
        <v>1050</v>
      </c>
      <c r="M149" s="8">
        <f t="shared" si="29"/>
        <v>1.3810253415027578</v>
      </c>
      <c r="N149" s="9">
        <f t="shared" si="30"/>
        <v>97347127.5</v>
      </c>
      <c r="O149" s="10">
        <f t="shared" si="27"/>
        <v>37091722.5</v>
      </c>
      <c r="P149" s="11">
        <f t="shared" si="28"/>
        <v>35325.449999999997</v>
      </c>
      <c r="Q149" s="23">
        <f t="shared" si="24"/>
        <v>134438850</v>
      </c>
      <c r="R149" s="3">
        <f>VLOOKUP(B149,Buylist!B:B,1,FALSE)</f>
        <v>21640</v>
      </c>
      <c r="S149" s="3">
        <f>VLOOKUP(B149,Buylist!B:O,13,FALSE)</f>
        <v>0</v>
      </c>
      <c r="T149" s="78">
        <v>148</v>
      </c>
    </row>
    <row r="150" spans="1:20">
      <c r="A150" s="26" t="s">
        <v>10257</v>
      </c>
      <c r="B150" s="63">
        <f>VLOOKUP(A150,TypeIDs!B:C,2,FALSE)</f>
        <v>21638</v>
      </c>
      <c r="C150" s="36">
        <v>867500</v>
      </c>
      <c r="D150" s="69">
        <f t="shared" si="21"/>
        <v>915103.75</v>
      </c>
      <c r="E150" s="35">
        <f>INDEX(MARKET_INPUT[Column1.price],MATCH(B150,MARKET_INPUT[Column1.type_id]))</f>
        <v>1395000</v>
      </c>
      <c r="F150" s="35">
        <f t="shared" si="22"/>
        <v>1332922.5</v>
      </c>
      <c r="G150" s="18">
        <f>VLOOKUP(B150,TypeIDs!C:D,2,FALSE)</f>
        <v>10</v>
      </c>
      <c r="I150" s="15">
        <v>5</v>
      </c>
      <c r="J150" s="17">
        <f t="shared" si="25"/>
        <v>902.5</v>
      </c>
      <c r="K150" s="20">
        <f t="shared" si="26"/>
        <v>35</v>
      </c>
      <c r="L150" s="19">
        <f t="shared" si="23"/>
        <v>350</v>
      </c>
      <c r="M150" s="8">
        <f t="shared" si="29"/>
        <v>1.4565807428939068</v>
      </c>
      <c r="N150" s="9">
        <f t="shared" si="30"/>
        <v>32028631.25</v>
      </c>
      <c r="O150" s="10">
        <f t="shared" si="27"/>
        <v>14623656.25</v>
      </c>
      <c r="P150" s="11">
        <f t="shared" si="28"/>
        <v>41781.875</v>
      </c>
      <c r="Q150" s="23">
        <f t="shared" si="24"/>
        <v>46652287.5</v>
      </c>
      <c r="R150" s="3" t="e">
        <f>VLOOKUP(B150,Buylist!B:B,1,FALSE)</f>
        <v>#N/A</v>
      </c>
      <c r="S150" s="3" t="e">
        <f>VLOOKUP(B150,Buylist!B:O,13,FALSE)</f>
        <v>#N/A</v>
      </c>
      <c r="T150" s="78">
        <v>149</v>
      </c>
    </row>
    <row r="151" spans="1:20">
      <c r="A151" s="26" t="s">
        <v>18129</v>
      </c>
      <c r="B151" s="63">
        <f>VLOOKUP(A151,TypeIDs!B:C,2,FALSE)</f>
        <v>31866</v>
      </c>
      <c r="C151" s="36">
        <v>1623000</v>
      </c>
      <c r="D151" s="69">
        <f t="shared" si="21"/>
        <v>1704223.5</v>
      </c>
      <c r="E151" s="35">
        <f>INDEX(MARKET_INPUT[Column1.price],MATCH(B151,MARKET_INPUT[Column1.type_id]))</f>
        <v>2250000</v>
      </c>
      <c r="F151" s="35">
        <f t="shared" si="22"/>
        <v>2149875</v>
      </c>
      <c r="G151" s="18">
        <f>VLOOKUP(B151,TypeIDs!C:D,2,FALSE)</f>
        <v>10</v>
      </c>
      <c r="I151" s="15">
        <v>5</v>
      </c>
      <c r="J151" s="17">
        <f t="shared" si="25"/>
        <v>1658</v>
      </c>
      <c r="K151" s="20">
        <f t="shared" si="26"/>
        <v>35</v>
      </c>
      <c r="L151" s="19">
        <f t="shared" si="23"/>
        <v>350</v>
      </c>
      <c r="M151" s="8">
        <f t="shared" si="29"/>
        <v>1.2614982717935763</v>
      </c>
      <c r="N151" s="9">
        <f t="shared" si="30"/>
        <v>59647822.5</v>
      </c>
      <c r="O151" s="10">
        <f t="shared" si="27"/>
        <v>15597802.5</v>
      </c>
      <c r="P151" s="11">
        <f t="shared" si="28"/>
        <v>44565.15</v>
      </c>
      <c r="Q151" s="23">
        <f t="shared" si="24"/>
        <v>75245625</v>
      </c>
      <c r="R151" s="3" t="e">
        <f>VLOOKUP(B151,Buylist!B:B,1,FALSE)</f>
        <v>#N/A</v>
      </c>
      <c r="S151" s="3" t="e">
        <f>VLOOKUP(B151,Buylist!B:O,13,FALSE)</f>
        <v>#N/A</v>
      </c>
      <c r="T151" s="78">
        <v>150</v>
      </c>
    </row>
    <row r="152" spans="1:20">
      <c r="A152" s="26" t="s">
        <v>15279</v>
      </c>
      <c r="B152" s="63">
        <f>VLOOKUP(A152,TypeIDs!B:C,2,FALSE)</f>
        <v>28213</v>
      </c>
      <c r="C152" s="36">
        <v>1199000</v>
      </c>
      <c r="D152" s="69">
        <f t="shared" si="21"/>
        <v>1274855.5</v>
      </c>
      <c r="E152" s="35">
        <f>INDEX(MARKET_INPUT[Column1.price],MATCH(B152,MARKET_INPUT[Column1.type_id]))</f>
        <v>1595000</v>
      </c>
      <c r="F152" s="35">
        <f t="shared" si="22"/>
        <v>1524022.5</v>
      </c>
      <c r="G152" s="18">
        <f>VLOOKUP(B152,TypeIDs!C:D,2,FALSE)</f>
        <v>25</v>
      </c>
      <c r="I152" s="15">
        <v>10</v>
      </c>
      <c r="J152" s="17">
        <f t="shared" si="25"/>
        <v>2478</v>
      </c>
      <c r="K152" s="20">
        <f t="shared" si="26"/>
        <v>70</v>
      </c>
      <c r="L152" s="19">
        <f t="shared" si="23"/>
        <v>1750</v>
      </c>
      <c r="M152" s="8">
        <f t="shared" si="29"/>
        <v>1.1954472487274048</v>
      </c>
      <c r="N152" s="9">
        <f t="shared" si="30"/>
        <v>89239885</v>
      </c>
      <c r="O152" s="10">
        <f t="shared" si="27"/>
        <v>17441690</v>
      </c>
      <c r="P152" s="11">
        <f t="shared" si="28"/>
        <v>9966.68</v>
      </c>
      <c r="Q152" s="23">
        <f t="shared" si="24"/>
        <v>106681575</v>
      </c>
      <c r="R152" s="3" t="e">
        <f>VLOOKUP(B152,Buylist!B:B,1,FALSE)</f>
        <v>#N/A</v>
      </c>
      <c r="S152" s="3" t="e">
        <f>VLOOKUP(B152,Buylist!B:O,13,FALSE)</f>
        <v>#N/A</v>
      </c>
      <c r="T152" s="78">
        <v>151</v>
      </c>
    </row>
    <row r="153" spans="1:20">
      <c r="A153" s="26" t="s">
        <v>18131</v>
      </c>
      <c r="B153" s="63">
        <f>VLOOKUP(A153,TypeIDs!B:C,2,FALSE)</f>
        <v>31868</v>
      </c>
      <c r="C153" s="36">
        <v>2737000</v>
      </c>
      <c r="D153" s="69">
        <f t="shared" si="21"/>
        <v>2881296.5</v>
      </c>
      <c r="E153" s="35">
        <f>INDEX(MARKET_INPUT[Column1.price],MATCH(B153,MARKET_INPUT[Column1.type_id]))</f>
        <v>3500000</v>
      </c>
      <c r="F153" s="35">
        <f t="shared" si="22"/>
        <v>3344250</v>
      </c>
      <c r="G153" s="18">
        <f>VLOOKUP(B153,TypeIDs!C:D,2,FALSE)</f>
        <v>25</v>
      </c>
      <c r="I153" s="15">
        <v>10</v>
      </c>
      <c r="J153" s="17">
        <f t="shared" si="25"/>
        <v>5554</v>
      </c>
      <c r="K153" s="20">
        <f t="shared" si="26"/>
        <v>70</v>
      </c>
      <c r="L153" s="19">
        <f t="shared" si="23"/>
        <v>1750</v>
      </c>
      <c r="M153" s="8">
        <f t="shared" si="29"/>
        <v>1.1606754112254674</v>
      </c>
      <c r="N153" s="9">
        <f t="shared" si="30"/>
        <v>201690755</v>
      </c>
      <c r="O153" s="10">
        <f t="shared" si="27"/>
        <v>32406745</v>
      </c>
      <c r="P153" s="11">
        <f t="shared" si="28"/>
        <v>18518.14</v>
      </c>
      <c r="Q153" s="23">
        <f t="shared" si="24"/>
        <v>234097500</v>
      </c>
      <c r="R153" s="3" t="e">
        <f>VLOOKUP(B153,Buylist!B:B,1,FALSE)</f>
        <v>#N/A</v>
      </c>
      <c r="S153" s="3" t="e">
        <f>VLOOKUP(B153,Buylist!B:O,13,FALSE)</f>
        <v>#N/A</v>
      </c>
      <c r="T153" s="78">
        <v>152</v>
      </c>
    </row>
    <row r="154" spans="1:20">
      <c r="A154" s="26" t="s">
        <v>11840</v>
      </c>
      <c r="B154" s="63">
        <f>VLOOKUP(A154,TypeIDs!B:C,2,FALSE)</f>
        <v>23707</v>
      </c>
      <c r="C154" s="36">
        <v>5696</v>
      </c>
      <c r="D154" s="69">
        <f t="shared" si="21"/>
        <v>10449.472</v>
      </c>
      <c r="E154" s="35">
        <f>INDEX(MARKET_INPUT[Column1.price],MATCH(B154,MARKET_INPUT[Column1.type_id]))</f>
        <v>16000</v>
      </c>
      <c r="F154" s="35">
        <f t="shared" si="22"/>
        <v>15288</v>
      </c>
      <c r="G154" s="18">
        <f>VLOOKUP(B154,TypeIDs!C:D,2,FALSE)</f>
        <v>5</v>
      </c>
      <c r="I154" s="15">
        <v>70</v>
      </c>
      <c r="J154" s="17">
        <f t="shared" si="25"/>
        <v>299.74400000000003</v>
      </c>
      <c r="K154" s="20">
        <f t="shared" si="26"/>
        <v>490</v>
      </c>
      <c r="L154" s="19">
        <f t="shared" si="23"/>
        <v>2450</v>
      </c>
      <c r="M154" s="8">
        <f t="shared" si="29"/>
        <v>1.463040429219773</v>
      </c>
      <c r="N154" s="9">
        <f t="shared" si="30"/>
        <v>5120241.28</v>
      </c>
      <c r="O154" s="10">
        <f t="shared" si="27"/>
        <v>2370878.7200000002</v>
      </c>
      <c r="P154" s="11">
        <f t="shared" si="28"/>
        <v>967.7056</v>
      </c>
      <c r="Q154" s="23">
        <f t="shared" si="24"/>
        <v>7491120</v>
      </c>
      <c r="R154" s="3" t="e">
        <f>VLOOKUP(B154,Buylist!B:B,1,FALSE)</f>
        <v>#N/A</v>
      </c>
      <c r="S154" s="3" t="e">
        <f>VLOOKUP(B154,Buylist!B:O,13,FALSE)</f>
        <v>#N/A</v>
      </c>
      <c r="T154" s="78">
        <v>153</v>
      </c>
    </row>
    <row r="155" spans="1:20">
      <c r="A155" s="26" t="s">
        <v>11838</v>
      </c>
      <c r="B155" s="63">
        <f>VLOOKUP(A155,TypeIDs!B:C,2,FALSE)</f>
        <v>23705</v>
      </c>
      <c r="C155" s="36">
        <v>48220</v>
      </c>
      <c r="D155" s="69">
        <f t="shared" si="21"/>
        <v>59365.79</v>
      </c>
      <c r="E155" s="35">
        <f>INDEX(MARKET_INPUT[Column1.price],MATCH(B155,MARKET_INPUT[Column1.type_id]))</f>
        <v>209900</v>
      </c>
      <c r="F155" s="35">
        <f t="shared" si="22"/>
        <v>200559.45</v>
      </c>
      <c r="G155" s="18">
        <f>VLOOKUP(B155,TypeIDs!C:D,2,FALSE)</f>
        <v>10</v>
      </c>
      <c r="I155" s="15">
        <v>10</v>
      </c>
      <c r="J155" s="17">
        <f t="shared" si="25"/>
        <v>146.44</v>
      </c>
      <c r="K155" s="20">
        <f t="shared" si="26"/>
        <v>70</v>
      </c>
      <c r="L155" s="19">
        <f t="shared" si="23"/>
        <v>700</v>
      </c>
      <c r="M155" s="8">
        <f t="shared" si="29"/>
        <v>3.3783674065484517</v>
      </c>
      <c r="N155" s="9">
        <f t="shared" si="30"/>
        <v>4155605.3000000003</v>
      </c>
      <c r="O155" s="10">
        <f t="shared" si="27"/>
        <v>9883556.2000000011</v>
      </c>
      <c r="P155" s="11">
        <f t="shared" si="28"/>
        <v>14119.366</v>
      </c>
      <c r="Q155" s="23">
        <f t="shared" si="24"/>
        <v>14039161.500000002</v>
      </c>
      <c r="R155" s="3">
        <f>VLOOKUP(B155,Buylist!B:B,1,FALSE)</f>
        <v>23705</v>
      </c>
      <c r="S155" s="3">
        <f>VLOOKUP(B155,Buylist!B:O,13,FALSE)</f>
        <v>0</v>
      </c>
      <c r="T155" s="78">
        <v>154</v>
      </c>
    </row>
    <row r="156" spans="1:20">
      <c r="A156" s="26" t="s">
        <v>3898</v>
      </c>
      <c r="B156" s="63">
        <f>VLOOKUP(A156,TypeIDs!B:C,2,FALSE)</f>
        <v>10246</v>
      </c>
      <c r="C156" s="36">
        <v>11900</v>
      </c>
      <c r="D156" s="69">
        <f t="shared" si="21"/>
        <v>16929.55</v>
      </c>
      <c r="E156" s="35">
        <f>INDEX(MARKET_INPUT[Column1.price],MATCH(B156,MARKET_INPUT[Column1.type_id]))</f>
        <v>34980</v>
      </c>
      <c r="F156" s="35">
        <f t="shared" si="22"/>
        <v>33423.39</v>
      </c>
      <c r="G156" s="18">
        <f>VLOOKUP(B156,TypeIDs!C:D,2,FALSE)</f>
        <v>5</v>
      </c>
      <c r="I156" s="15">
        <v>10</v>
      </c>
      <c r="J156" s="17">
        <f t="shared" si="25"/>
        <v>63.8</v>
      </c>
      <c r="K156" s="20">
        <f t="shared" si="26"/>
        <v>70</v>
      </c>
      <c r="L156" s="19">
        <f t="shared" si="23"/>
        <v>350</v>
      </c>
      <c r="M156" s="8">
        <f t="shared" si="29"/>
        <v>1.9742633442708164</v>
      </c>
      <c r="N156" s="9">
        <f t="shared" si="30"/>
        <v>1185068.5</v>
      </c>
      <c r="O156" s="10">
        <f t="shared" si="27"/>
        <v>1154568.8</v>
      </c>
      <c r="P156" s="11">
        <f t="shared" si="28"/>
        <v>3298.768</v>
      </c>
      <c r="Q156" s="23">
        <f t="shared" si="24"/>
        <v>2339637.2999999998</v>
      </c>
      <c r="R156" s="3" t="e">
        <f>VLOOKUP(B156,Buylist!B:B,1,FALSE)</f>
        <v>#N/A</v>
      </c>
      <c r="S156" s="3" t="e">
        <f>VLOOKUP(B156,Buylist!B:O,13,FALSE)</f>
        <v>#N/A</v>
      </c>
      <c r="T156" s="78">
        <v>155</v>
      </c>
    </row>
    <row r="157" spans="1:20">
      <c r="A157" s="26" t="s">
        <v>3901</v>
      </c>
      <c r="B157" s="63">
        <f>VLOOKUP(A157,TypeIDs!B:C,2,FALSE)</f>
        <v>10250</v>
      </c>
      <c r="C157" s="36">
        <v>609900</v>
      </c>
      <c r="D157" s="69">
        <f t="shared" si="21"/>
        <v>641540.55000000005</v>
      </c>
      <c r="E157" s="35">
        <f>INDEX(MARKET_INPUT[Column1.price],MATCH(B157,MARKET_INPUT[Column1.type_id]))</f>
        <v>1498000</v>
      </c>
      <c r="F157" s="35">
        <f t="shared" si="22"/>
        <v>1431339</v>
      </c>
      <c r="G157" s="18">
        <f>VLOOKUP(B157,TypeIDs!C:D,2,FALSE)</f>
        <v>5</v>
      </c>
      <c r="I157" s="15">
        <v>15</v>
      </c>
      <c r="J157" s="17">
        <f t="shared" si="25"/>
        <v>1884.7</v>
      </c>
      <c r="K157" s="20">
        <f t="shared" si="26"/>
        <v>105</v>
      </c>
      <c r="L157" s="19">
        <f t="shared" si="23"/>
        <v>525</v>
      </c>
      <c r="M157" s="8">
        <f t="shared" si="29"/>
        <v>2.231096693731986</v>
      </c>
      <c r="N157" s="9">
        <f t="shared" si="30"/>
        <v>67361757.75</v>
      </c>
      <c r="O157" s="10">
        <f t="shared" si="27"/>
        <v>82928837.25</v>
      </c>
      <c r="P157" s="11">
        <f t="shared" si="28"/>
        <v>157959.69</v>
      </c>
      <c r="Q157" s="23">
        <f t="shared" si="24"/>
        <v>150290595</v>
      </c>
      <c r="R157" s="3">
        <f>VLOOKUP(B157,Buylist!B:B,1,FALSE)</f>
        <v>10250</v>
      </c>
      <c r="S157" s="3">
        <f>VLOOKUP(B157,Buylist!B:O,13,FALSE)</f>
        <v>0</v>
      </c>
      <c r="T157" s="78">
        <v>156</v>
      </c>
    </row>
    <row r="158" spans="1:20">
      <c r="A158" s="26" t="s">
        <v>18671</v>
      </c>
      <c r="B158" s="63">
        <f>VLOOKUP(A158,TypeIDs!B:C,2,FALSE)</f>
        <v>32787</v>
      </c>
      <c r="C158" s="36">
        <v>40590</v>
      </c>
      <c r="D158" s="69">
        <f t="shared" si="21"/>
        <v>46896.254999999997</v>
      </c>
      <c r="E158" s="35">
        <f>INDEX(MARKET_INPUT[Column1.price],MATCH(B158,MARKET_INPUT[Column1.type_id]))</f>
        <v>47970</v>
      </c>
      <c r="F158" s="35">
        <f t="shared" si="22"/>
        <v>45835.334999999999</v>
      </c>
      <c r="G158" s="18">
        <f>VLOOKUP(B158,TypeIDs!C:D,2,FALSE)</f>
        <v>5</v>
      </c>
      <c r="I158" s="15">
        <v>10</v>
      </c>
      <c r="J158" s="17">
        <f t="shared" si="25"/>
        <v>121.18</v>
      </c>
      <c r="K158" s="20">
        <f t="shared" si="26"/>
        <v>70</v>
      </c>
      <c r="L158" s="19">
        <f t="shared" si="23"/>
        <v>350</v>
      </c>
      <c r="M158" s="8">
        <f t="shared" si="29"/>
        <v>0.97737729803797768</v>
      </c>
      <c r="N158" s="9">
        <f t="shared" si="30"/>
        <v>3282737.8499999996</v>
      </c>
      <c r="O158" s="10">
        <f t="shared" si="27"/>
        <v>-74264.399999999878</v>
      </c>
      <c r="P158" s="11">
        <f t="shared" si="28"/>
        <v>-212.18399999999966</v>
      </c>
      <c r="Q158" s="23">
        <f t="shared" si="24"/>
        <v>3208473.4499999997</v>
      </c>
      <c r="R158" s="3" t="e">
        <f>VLOOKUP(B158,Buylist!B:B,1,FALSE)</f>
        <v>#N/A</v>
      </c>
      <c r="S158" s="3" t="e">
        <f>VLOOKUP(B158,Buylist!B:O,13,FALSE)</f>
        <v>#N/A</v>
      </c>
      <c r="T158" s="78">
        <v>157</v>
      </c>
    </row>
    <row r="159" spans="1:20">
      <c r="A159" s="18" t="s">
        <v>13478</v>
      </c>
      <c r="B159" s="63">
        <f>VLOOKUP(A159,TypeIDs!B:C,2,FALSE)</f>
        <v>25896</v>
      </c>
      <c r="C159" s="36">
        <v>8198000</v>
      </c>
      <c r="D159" s="69">
        <f t="shared" si="21"/>
        <v>8580811</v>
      </c>
      <c r="E159" s="35">
        <f>INDEX(MARKET_INPUT[Column1.price],MATCH(B159,MARKET_INPUT[Column1.type_id]))</f>
        <v>10110000</v>
      </c>
      <c r="F159" s="35">
        <f t="shared" si="22"/>
        <v>9660105</v>
      </c>
      <c r="G159" s="18">
        <f>VLOOKUP(B159,TypeIDs!C:D,2,FALSE)</f>
        <v>20</v>
      </c>
      <c r="I159" s="15">
        <v>2</v>
      </c>
      <c r="J159" s="17">
        <f t="shared" si="25"/>
        <v>3325.2</v>
      </c>
      <c r="K159" s="20">
        <f t="shared" si="26"/>
        <v>14</v>
      </c>
      <c r="L159" s="19">
        <f t="shared" si="23"/>
        <v>280</v>
      </c>
      <c r="M159" s="8">
        <f t="shared" si="29"/>
        <v>1.1257799525009933</v>
      </c>
      <c r="N159" s="9">
        <f t="shared" si="30"/>
        <v>120131354</v>
      </c>
      <c r="O159" s="10">
        <f t="shared" si="27"/>
        <v>15110116</v>
      </c>
      <c r="P159" s="11">
        <f t="shared" si="28"/>
        <v>53964.7</v>
      </c>
      <c r="Q159" s="23">
        <f t="shared" si="24"/>
        <v>135241470</v>
      </c>
      <c r="R159" s="3" t="e">
        <f>VLOOKUP(B159,Buylist!B:B,1,FALSE)</f>
        <v>#N/A</v>
      </c>
      <c r="S159" s="3" t="e">
        <f>VLOOKUP(B159,Buylist!B:O,13,FALSE)</f>
        <v>#N/A</v>
      </c>
      <c r="T159" s="78">
        <v>158</v>
      </c>
    </row>
    <row r="160" spans="1:20">
      <c r="A160" s="18" t="s">
        <v>13476</v>
      </c>
      <c r="B160" s="63">
        <f>VLOOKUP(A160,TypeIDs!B:C,2,FALSE)</f>
        <v>25894</v>
      </c>
      <c r="C160" s="36">
        <v>7391000</v>
      </c>
      <c r="D160" s="69">
        <f t="shared" si="21"/>
        <v>7737899.5</v>
      </c>
      <c r="E160" s="35">
        <f>INDEX(MARKET_INPUT[Column1.price],MATCH(B160,MARKET_INPUT[Column1.type_id]))</f>
        <v>9940000</v>
      </c>
      <c r="F160" s="35">
        <f t="shared" si="22"/>
        <v>9497670</v>
      </c>
      <c r="G160" s="18">
        <f>VLOOKUP(B160,TypeIDs!C:D,2,FALSE)</f>
        <v>20</v>
      </c>
      <c r="I160" s="15">
        <v>2</v>
      </c>
      <c r="J160" s="17">
        <f t="shared" si="25"/>
        <v>3002.4</v>
      </c>
      <c r="K160" s="20">
        <f t="shared" si="26"/>
        <v>14</v>
      </c>
      <c r="L160" s="19">
        <f t="shared" si="23"/>
        <v>280</v>
      </c>
      <c r="M160" s="8">
        <f t="shared" si="29"/>
        <v>1.2274222481178516</v>
      </c>
      <c r="N160" s="9">
        <f t="shared" si="30"/>
        <v>108330593</v>
      </c>
      <c r="O160" s="10">
        <f t="shared" si="27"/>
        <v>24636787</v>
      </c>
      <c r="P160" s="11">
        <f t="shared" si="28"/>
        <v>87988.524999999994</v>
      </c>
      <c r="Q160" s="23">
        <f t="shared" si="24"/>
        <v>132967380</v>
      </c>
      <c r="R160" s="3" t="e">
        <f>VLOOKUP(B160,Buylist!B:B,1,FALSE)</f>
        <v>#N/A</v>
      </c>
      <c r="S160" s="3" t="e">
        <f>VLOOKUP(B160,Buylist!B:O,13,FALSE)</f>
        <v>#N/A</v>
      </c>
      <c r="T160" s="78">
        <v>159</v>
      </c>
    </row>
    <row r="161" spans="1:20">
      <c r="A161" s="28" t="s">
        <v>17360</v>
      </c>
      <c r="B161" s="63">
        <f>VLOOKUP(A161,TypeIDs!B:C,2,FALSE)</f>
        <v>31047</v>
      </c>
      <c r="C161" s="36">
        <v>1592000</v>
      </c>
      <c r="D161" s="69">
        <f t="shared" si="21"/>
        <v>1671844</v>
      </c>
      <c r="E161" s="35">
        <f>INDEX(MARKET_INPUT[Column1.price],MATCH(B161,MARKET_INPUT[Column1.type_id]))</f>
        <v>2736000</v>
      </c>
      <c r="F161" s="35">
        <f t="shared" si="22"/>
        <v>2614248</v>
      </c>
      <c r="G161" s="18">
        <f>VLOOKUP(B161,TypeIDs!C:D,2,FALSE)</f>
        <v>10</v>
      </c>
      <c r="I161" s="15">
        <v>4</v>
      </c>
      <c r="J161" s="17">
        <f t="shared" si="25"/>
        <v>1305.5999999999999</v>
      </c>
      <c r="K161" s="20">
        <f t="shared" si="26"/>
        <v>28</v>
      </c>
      <c r="L161" s="19">
        <f t="shared" si="23"/>
        <v>280</v>
      </c>
      <c r="M161" s="8">
        <f t="shared" si="29"/>
        <v>1.5636913491928672</v>
      </c>
      <c r="N161" s="9">
        <f t="shared" si="30"/>
        <v>46811632</v>
      </c>
      <c r="O161" s="10">
        <f t="shared" si="27"/>
        <v>26387312</v>
      </c>
      <c r="P161" s="11">
        <f t="shared" si="28"/>
        <v>94240.4</v>
      </c>
      <c r="Q161" s="23">
        <f t="shared" si="24"/>
        <v>73198944</v>
      </c>
      <c r="R161" s="3">
        <f>VLOOKUP(B161,Buylist!B:B,1,FALSE)</f>
        <v>31047</v>
      </c>
      <c r="S161" s="3">
        <f>VLOOKUP(B161,Buylist!B:O,13,FALSE)</f>
        <v>0</v>
      </c>
      <c r="T161" s="78">
        <v>160</v>
      </c>
    </row>
    <row r="162" spans="1:20">
      <c r="A162" s="28" t="s">
        <v>17324</v>
      </c>
      <c r="B162" s="63">
        <f>VLOOKUP(A162,TypeIDs!B:C,2,FALSE)</f>
        <v>31011</v>
      </c>
      <c r="C162" s="36">
        <v>1184000</v>
      </c>
      <c r="D162" s="69">
        <f t="shared" si="21"/>
        <v>1245688</v>
      </c>
      <c r="E162" s="35">
        <f>INDEX(MARKET_INPUT[Column1.price],MATCH(B162,MARKET_INPUT[Column1.type_id]))</f>
        <v>2924000</v>
      </c>
      <c r="F162" s="35">
        <f t="shared" si="22"/>
        <v>2793882</v>
      </c>
      <c r="G162" s="18">
        <f>VLOOKUP(B162,TypeIDs!C:D,2,FALSE)</f>
        <v>10</v>
      </c>
      <c r="I162" s="15">
        <v>3</v>
      </c>
      <c r="J162" s="17">
        <f t="shared" si="25"/>
        <v>739.4</v>
      </c>
      <c r="K162" s="20">
        <f t="shared" si="26"/>
        <v>21</v>
      </c>
      <c r="L162" s="19">
        <f t="shared" si="23"/>
        <v>210</v>
      </c>
      <c r="M162" s="8">
        <f t="shared" si="29"/>
        <v>2.2428425095208433</v>
      </c>
      <c r="N162" s="9">
        <f t="shared" si="30"/>
        <v>26159448</v>
      </c>
      <c r="O162" s="10">
        <f t="shared" si="27"/>
        <v>32512074</v>
      </c>
      <c r="P162" s="11">
        <f t="shared" si="28"/>
        <v>154819.4</v>
      </c>
      <c r="Q162" s="23">
        <f t="shared" si="24"/>
        <v>58671522</v>
      </c>
      <c r="R162" s="3">
        <f>VLOOKUP(B162,Buylist!B:B,1,FALSE)</f>
        <v>31011</v>
      </c>
      <c r="S162" s="3">
        <f>VLOOKUP(B162,Buylist!B:O,13,FALSE)</f>
        <v>0</v>
      </c>
      <c r="T162" s="78">
        <v>161</v>
      </c>
    </row>
    <row r="163" spans="1:20">
      <c r="A163" s="28" t="s">
        <v>19557</v>
      </c>
      <c r="B163" s="63">
        <f>VLOOKUP(A163,TypeIDs!B:C,2,FALSE)</f>
        <v>33894</v>
      </c>
      <c r="C163" s="36">
        <v>1796000</v>
      </c>
      <c r="D163" s="69">
        <f t="shared" si="21"/>
        <v>1884922</v>
      </c>
      <c r="E163" s="35">
        <f>INDEX(MARKET_INPUT[Column1.price],MATCH(B163,MARKET_INPUT[Column1.type_id]))</f>
        <v>2500000</v>
      </c>
      <c r="F163" s="35">
        <f t="shared" si="22"/>
        <v>2388750</v>
      </c>
      <c r="G163" s="18">
        <f>VLOOKUP(B163,TypeIDs!C:D,2,FALSE)</f>
        <v>10</v>
      </c>
      <c r="I163" s="15">
        <v>4</v>
      </c>
      <c r="J163" s="17">
        <f t="shared" si="25"/>
        <v>1468.8</v>
      </c>
      <c r="K163" s="20">
        <f t="shared" si="26"/>
        <v>28</v>
      </c>
      <c r="L163" s="19">
        <f t="shared" si="23"/>
        <v>280</v>
      </c>
      <c r="M163" s="8">
        <f t="shared" si="29"/>
        <v>1.2672938190545815</v>
      </c>
      <c r="N163" s="9">
        <f t="shared" si="30"/>
        <v>52777816</v>
      </c>
      <c r="O163" s="10">
        <f t="shared" si="27"/>
        <v>14107184</v>
      </c>
      <c r="P163" s="11">
        <f t="shared" si="28"/>
        <v>50382.8</v>
      </c>
      <c r="Q163" s="23">
        <f t="shared" si="24"/>
        <v>66885000</v>
      </c>
      <c r="R163" s="3" t="e">
        <f>VLOOKUP(B163,Buylist!B:B,1,FALSE)</f>
        <v>#N/A</v>
      </c>
      <c r="S163" s="3" t="e">
        <f>VLOOKUP(B163,Buylist!B:O,13,FALSE)</f>
        <v>#N/A</v>
      </c>
      <c r="T163" s="78">
        <v>162</v>
      </c>
    </row>
    <row r="164" spans="1:20">
      <c r="A164" s="28" t="s">
        <v>17368</v>
      </c>
      <c r="B164" s="63">
        <f>VLOOKUP(A164,TypeIDs!B:C,2,FALSE)</f>
        <v>31055</v>
      </c>
      <c r="C164" s="36">
        <v>1320000</v>
      </c>
      <c r="D164" s="69">
        <f t="shared" si="21"/>
        <v>1387740</v>
      </c>
      <c r="E164" s="35">
        <f>INDEX(MARKET_INPUT[Column1.price],MATCH(B164,MARKET_INPUT[Column1.type_id]))</f>
        <v>2399000</v>
      </c>
      <c r="F164" s="35">
        <f t="shared" si="22"/>
        <v>2292244.5</v>
      </c>
      <c r="G164" s="18">
        <f>VLOOKUP(B164,TypeIDs!C:D,2,FALSE)</f>
        <v>10</v>
      </c>
      <c r="I164" s="15">
        <v>5</v>
      </c>
      <c r="J164" s="17">
        <f t="shared" si="25"/>
        <v>1355</v>
      </c>
      <c r="K164" s="20">
        <f t="shared" si="26"/>
        <v>35</v>
      </c>
      <c r="L164" s="19">
        <f t="shared" si="23"/>
        <v>350</v>
      </c>
      <c r="M164" s="8">
        <f t="shared" si="29"/>
        <v>1.651782394396645</v>
      </c>
      <c r="N164" s="9">
        <f t="shared" si="30"/>
        <v>48570900</v>
      </c>
      <c r="O164" s="10">
        <f t="shared" si="27"/>
        <v>31657657.5</v>
      </c>
      <c r="P164" s="11">
        <f t="shared" si="28"/>
        <v>90450.45</v>
      </c>
      <c r="Q164" s="23">
        <f t="shared" si="24"/>
        <v>80228557.5</v>
      </c>
      <c r="R164" s="3">
        <f>VLOOKUP(B164,Buylist!B:B,1,FALSE)</f>
        <v>31055</v>
      </c>
      <c r="S164" s="3">
        <f>VLOOKUP(B164,Buylist!B:O,13,FALSE)</f>
        <v>0</v>
      </c>
      <c r="T164" s="78">
        <v>163</v>
      </c>
    </row>
    <row r="165" spans="1:20">
      <c r="A165" s="28" t="s">
        <v>17366</v>
      </c>
      <c r="B165" s="63">
        <f>VLOOKUP(A165,TypeIDs!B:C,2,FALSE)</f>
        <v>31053</v>
      </c>
      <c r="C165" s="36">
        <v>30370000</v>
      </c>
      <c r="D165" s="69">
        <f t="shared" si="21"/>
        <v>31730465</v>
      </c>
      <c r="E165" s="35">
        <f>INDEX(MARKET_INPUT[Column1.price],MATCH(B165,MARKET_INPUT[Column1.type_id]))</f>
        <v>32880000</v>
      </c>
      <c r="F165" s="35">
        <f t="shared" si="22"/>
        <v>31416840</v>
      </c>
      <c r="G165" s="18">
        <f>VLOOKUP(B165,TypeIDs!C:D,2,FALSE)</f>
        <v>10</v>
      </c>
      <c r="I165" s="15">
        <v>1.3</v>
      </c>
      <c r="J165" s="17">
        <f t="shared" si="25"/>
        <v>7920.0999999999995</v>
      </c>
      <c r="K165" s="20">
        <f t="shared" si="26"/>
        <v>9.1</v>
      </c>
      <c r="L165" s="19">
        <f t="shared" si="23"/>
        <v>91</v>
      </c>
      <c r="M165" s="8">
        <f t="shared" si="29"/>
        <v>0.99011596583913919</v>
      </c>
      <c r="N165" s="9">
        <f t="shared" si="30"/>
        <v>288747231.5</v>
      </c>
      <c r="O165" s="10">
        <f t="shared" si="27"/>
        <v>-2853987.5</v>
      </c>
      <c r="P165" s="11">
        <f t="shared" si="28"/>
        <v>-31362.5</v>
      </c>
      <c r="Q165" s="23">
        <f t="shared" si="24"/>
        <v>285893244</v>
      </c>
      <c r="R165" s="3" t="e">
        <f>VLOOKUP(B165,Buylist!B:B,1,FALSE)</f>
        <v>#N/A</v>
      </c>
      <c r="S165" s="3" t="e">
        <f>VLOOKUP(B165,Buylist!B:O,13,FALSE)</f>
        <v>#N/A</v>
      </c>
      <c r="T165" s="78">
        <v>164</v>
      </c>
    </row>
    <row r="166" spans="1:20">
      <c r="A166" s="28" t="s">
        <v>17330</v>
      </c>
      <c r="B166" s="63">
        <f>VLOOKUP(A166,TypeIDs!B:C,2,FALSE)</f>
        <v>31017</v>
      </c>
      <c r="C166" s="36">
        <v>20590000</v>
      </c>
      <c r="D166" s="69">
        <f t="shared" si="21"/>
        <v>21515255</v>
      </c>
      <c r="E166" s="35">
        <f>INDEX(MARKET_INPUT[Column1.price],MATCH(B166,MARKET_INPUT[Column1.type_id]))</f>
        <v>25410000</v>
      </c>
      <c r="F166" s="35">
        <f t="shared" si="22"/>
        <v>24279255</v>
      </c>
      <c r="G166" s="18">
        <f>VLOOKUP(B166,TypeIDs!C:D,2,FALSE)</f>
        <v>10</v>
      </c>
      <c r="I166" s="15">
        <v>2</v>
      </c>
      <c r="J166" s="17">
        <f t="shared" si="25"/>
        <v>8262</v>
      </c>
      <c r="K166" s="20">
        <f t="shared" si="26"/>
        <v>14</v>
      </c>
      <c r="L166" s="19">
        <f t="shared" si="23"/>
        <v>140</v>
      </c>
      <c r="M166" s="8">
        <f t="shared" si="29"/>
        <v>1.1284669877256859</v>
      </c>
      <c r="N166" s="9">
        <f t="shared" si="30"/>
        <v>301213570</v>
      </c>
      <c r="O166" s="10">
        <f t="shared" si="27"/>
        <v>38696000</v>
      </c>
      <c r="P166" s="11">
        <f t="shared" si="28"/>
        <v>276400</v>
      </c>
      <c r="Q166" s="23">
        <f t="shared" si="24"/>
        <v>339909570</v>
      </c>
      <c r="R166" s="3" t="e">
        <f>VLOOKUP(B166,Buylist!B:B,1,FALSE)</f>
        <v>#N/A</v>
      </c>
      <c r="S166" s="3" t="e">
        <f>VLOOKUP(B166,Buylist!B:O,13,FALSE)</f>
        <v>#N/A</v>
      </c>
      <c r="T166" s="78">
        <v>165</v>
      </c>
    </row>
    <row r="167" spans="1:20">
      <c r="A167" s="28" t="s">
        <v>17372</v>
      </c>
      <c r="B167" s="63">
        <f>VLOOKUP(A167,TypeIDs!B:C,2,FALSE)</f>
        <v>31059</v>
      </c>
      <c r="C167" s="36">
        <v>18380000</v>
      </c>
      <c r="D167" s="69">
        <f t="shared" si="21"/>
        <v>19206910</v>
      </c>
      <c r="E167" s="35">
        <f>INDEX(MARKET_INPUT[Column1.price],MATCH(B167,MARKET_INPUT[Column1.type_id]))</f>
        <v>31930000</v>
      </c>
      <c r="F167" s="35">
        <f t="shared" si="22"/>
        <v>30509115</v>
      </c>
      <c r="G167" s="18">
        <f>VLOOKUP(B167,TypeIDs!C:D,2,FALSE)</f>
        <v>10</v>
      </c>
      <c r="I167" s="15">
        <v>4</v>
      </c>
      <c r="J167" s="17">
        <f t="shared" si="25"/>
        <v>14736</v>
      </c>
      <c r="K167" s="20">
        <f t="shared" si="26"/>
        <v>28</v>
      </c>
      <c r="L167" s="19">
        <f t="shared" si="23"/>
        <v>280</v>
      </c>
      <c r="M167" s="8">
        <f t="shared" si="29"/>
        <v>1.5884447316096135</v>
      </c>
      <c r="N167" s="9">
        <f t="shared" si="30"/>
        <v>537793480</v>
      </c>
      <c r="O167" s="10">
        <f t="shared" si="27"/>
        <v>316461740</v>
      </c>
      <c r="P167" s="11">
        <f t="shared" si="28"/>
        <v>1130220.5</v>
      </c>
      <c r="Q167" s="23">
        <f t="shared" si="24"/>
        <v>854255220</v>
      </c>
      <c r="R167" s="3" t="e">
        <f>VLOOKUP(B167,Buylist!B:B,1,FALSE)</f>
        <v>#N/A</v>
      </c>
      <c r="S167" s="3" t="e">
        <f>VLOOKUP(B167,Buylist!B:O,13,FALSE)</f>
        <v>#N/A</v>
      </c>
      <c r="T167" s="78">
        <v>166</v>
      </c>
    </row>
    <row r="168" spans="1:20">
      <c r="A168" s="18" t="s">
        <v>19553</v>
      </c>
      <c r="B168" s="63">
        <f>VLOOKUP(A168,TypeIDs!B:C,2,FALSE)</f>
        <v>33890</v>
      </c>
      <c r="C168" s="36">
        <v>647700</v>
      </c>
      <c r="D168" s="69">
        <f t="shared" si="21"/>
        <v>681022.65</v>
      </c>
      <c r="E168" s="35">
        <f>INDEX(MARKET_INPUT[Column1.price],MATCH(B168,MARKET_INPUT[Column1.type_id]))</f>
        <v>349900</v>
      </c>
      <c r="F168" s="35">
        <f t="shared" si="22"/>
        <v>334329.45</v>
      </c>
      <c r="G168" s="18">
        <f>VLOOKUP(B168,TypeIDs!C:D,2,FALSE)</f>
        <v>5</v>
      </c>
      <c r="I168" s="15">
        <v>2.2999999999999998</v>
      </c>
      <c r="J168" s="17">
        <f t="shared" si="25"/>
        <v>314.84199999999998</v>
      </c>
      <c r="K168" s="20">
        <f t="shared" si="26"/>
        <v>16.099999999999998</v>
      </c>
      <c r="L168" s="19">
        <f t="shared" si="23"/>
        <v>80.5</v>
      </c>
      <c r="M168" s="8">
        <f t="shared" si="29"/>
        <v>0.49092265873976437</v>
      </c>
      <c r="N168" s="9">
        <f t="shared" si="30"/>
        <v>10964464.664999999</v>
      </c>
      <c r="O168" s="10">
        <f t="shared" si="27"/>
        <v>-5581760.5199999996</v>
      </c>
      <c r="P168" s="11">
        <f t="shared" si="28"/>
        <v>-69338.64</v>
      </c>
      <c r="Q168" s="23">
        <f t="shared" si="24"/>
        <v>5382704.1449999996</v>
      </c>
      <c r="R168" s="3">
        <f>VLOOKUP(B168,Buylist!B:B,1,FALSE)</f>
        <v>33890</v>
      </c>
      <c r="S168" s="3" t="str">
        <f>VLOOKUP(B168,Buylist!B:O,13,FALSE)</f>
        <v>x</v>
      </c>
      <c r="T168" s="78">
        <v>167</v>
      </c>
    </row>
    <row r="169" spans="1:20">
      <c r="A169" s="28" t="s">
        <v>17364</v>
      </c>
      <c r="B169" s="63">
        <f>VLOOKUP(A169,TypeIDs!B:C,2,FALSE)</f>
        <v>31051</v>
      </c>
      <c r="C169" s="36">
        <v>7626000</v>
      </c>
      <c r="D169" s="69">
        <f t="shared" si="21"/>
        <v>7969857</v>
      </c>
      <c r="E169" s="35">
        <f>INDEX(MARKET_INPUT[Column1.price],MATCH(B169,MARKET_INPUT[Column1.type_id]))</f>
        <v>7694000</v>
      </c>
      <c r="F169" s="35">
        <f t="shared" si="22"/>
        <v>7351617</v>
      </c>
      <c r="G169" s="18">
        <f>VLOOKUP(B169,TypeIDs!C:D,2,FALSE)</f>
        <v>5</v>
      </c>
      <c r="I169" s="15">
        <v>2</v>
      </c>
      <c r="J169" s="17">
        <f t="shared" si="25"/>
        <v>3066.4</v>
      </c>
      <c r="K169" s="20">
        <f t="shared" si="26"/>
        <v>14</v>
      </c>
      <c r="L169" s="19">
        <f t="shared" si="23"/>
        <v>70</v>
      </c>
      <c r="M169" s="8">
        <f t="shared" si="29"/>
        <v>0.92242771733545537</v>
      </c>
      <c r="N169" s="9">
        <f t="shared" si="30"/>
        <v>111577998</v>
      </c>
      <c r="O169" s="10">
        <f t="shared" si="27"/>
        <v>-8655360</v>
      </c>
      <c r="P169" s="11">
        <f t="shared" si="28"/>
        <v>-123648</v>
      </c>
      <c r="Q169" s="23">
        <f t="shared" si="24"/>
        <v>102922638</v>
      </c>
      <c r="R169" s="3" t="e">
        <f>VLOOKUP(B169,Buylist!B:B,1,FALSE)</f>
        <v>#N/A</v>
      </c>
      <c r="S169" s="3" t="e">
        <f>VLOOKUP(B169,Buylist!B:O,13,FALSE)</f>
        <v>#N/A</v>
      </c>
      <c r="T169" s="78">
        <v>168</v>
      </c>
    </row>
    <row r="170" spans="1:20">
      <c r="A170" s="28" t="s">
        <v>19555</v>
      </c>
      <c r="B170" s="63">
        <f>VLOOKUP(A170,TypeIDs!B:C,2,FALSE)</f>
        <v>33892</v>
      </c>
      <c r="C170" s="36">
        <v>2774000</v>
      </c>
      <c r="D170" s="69">
        <f t="shared" si="21"/>
        <v>2901943</v>
      </c>
      <c r="E170" s="35">
        <f>INDEX(MARKET_INPUT[Column1.price],MATCH(B170,MARKET_INPUT[Column1.type_id]))</f>
        <v>3899000</v>
      </c>
      <c r="F170" s="35">
        <f t="shared" si="22"/>
        <v>3725494.5</v>
      </c>
      <c r="G170" s="18">
        <f>VLOOKUP(B170,TypeIDs!C:D,2,FALSE)</f>
        <v>5</v>
      </c>
      <c r="I170" s="15">
        <v>3</v>
      </c>
      <c r="J170" s="17">
        <f t="shared" si="25"/>
        <v>1683.3999999999999</v>
      </c>
      <c r="K170" s="20">
        <f t="shared" si="26"/>
        <v>21</v>
      </c>
      <c r="L170" s="19">
        <f t="shared" si="23"/>
        <v>105</v>
      </c>
      <c r="M170" s="8">
        <f t="shared" si="29"/>
        <v>1.2837931344619795</v>
      </c>
      <c r="N170" s="9">
        <f t="shared" si="30"/>
        <v>60940803</v>
      </c>
      <c r="O170" s="10">
        <f t="shared" si="27"/>
        <v>17294581.5</v>
      </c>
      <c r="P170" s="11">
        <f t="shared" si="28"/>
        <v>164710.29999999999</v>
      </c>
      <c r="Q170" s="23">
        <f t="shared" si="24"/>
        <v>78235384.5</v>
      </c>
      <c r="R170" s="3" t="e">
        <f>VLOOKUP(B170,Buylist!B:B,1,FALSE)</f>
        <v>#N/A</v>
      </c>
      <c r="S170" s="3" t="e">
        <f>VLOOKUP(B170,Buylist!B:O,13,FALSE)</f>
        <v>#N/A</v>
      </c>
      <c r="T170" s="78">
        <v>169</v>
      </c>
    </row>
    <row r="171" spans="1:20">
      <c r="A171" s="32" t="s">
        <v>17370</v>
      </c>
      <c r="B171" s="63">
        <f>VLOOKUP(A171,TypeIDs!B:C,2,FALSE)</f>
        <v>31057</v>
      </c>
      <c r="C171" s="36">
        <v>7126000</v>
      </c>
      <c r="D171" s="69">
        <f t="shared" si="21"/>
        <v>7447607</v>
      </c>
      <c r="E171" s="35">
        <f>INDEX(MARKET_INPUT[Column1.price],MATCH(B171,MARKET_INPUT[Column1.type_id]))</f>
        <v>7249000</v>
      </c>
      <c r="F171" s="35">
        <f t="shared" si="22"/>
        <v>6926419.5</v>
      </c>
      <c r="G171" s="18">
        <f>VLOOKUP(B171,TypeIDs!C:D,2,FALSE)</f>
        <v>5</v>
      </c>
      <c r="I171" s="15">
        <v>1</v>
      </c>
      <c r="J171" s="17">
        <f t="shared" si="25"/>
        <v>1438.2</v>
      </c>
      <c r="K171" s="20">
        <f t="shared" si="26"/>
        <v>7</v>
      </c>
      <c r="L171" s="19">
        <f t="shared" si="23"/>
        <v>35</v>
      </c>
      <c r="M171" s="8">
        <f t="shared" si="29"/>
        <v>0.93001946799824431</v>
      </c>
      <c r="N171" s="9">
        <f t="shared" si="30"/>
        <v>52133249</v>
      </c>
      <c r="O171" s="10">
        <f t="shared" si="27"/>
        <v>-3648312.5</v>
      </c>
      <c r="P171" s="11">
        <f t="shared" si="28"/>
        <v>-104237.5</v>
      </c>
      <c r="Q171" s="23">
        <f t="shared" si="24"/>
        <v>48484936.5</v>
      </c>
      <c r="R171" s="3" t="e">
        <f>VLOOKUP(B171,Buylist!B:B,1,FALSE)</f>
        <v>#N/A</v>
      </c>
      <c r="S171" s="3" t="e">
        <f>VLOOKUP(B171,Buylist!B:O,13,FALSE)</f>
        <v>#N/A</v>
      </c>
      <c r="T171" s="78">
        <v>170</v>
      </c>
    </row>
    <row r="172" spans="1:20">
      <c r="A172" s="28" t="s">
        <v>17423</v>
      </c>
      <c r="B172" s="63">
        <f>VLOOKUP(A172,TypeIDs!B:C,2,FALSE)</f>
        <v>31119</v>
      </c>
      <c r="C172" s="36">
        <v>269500</v>
      </c>
      <c r="D172" s="69">
        <f t="shared" si="21"/>
        <v>290492.75</v>
      </c>
      <c r="E172" s="35">
        <f>INDEX(MARKET_INPUT[Column1.price],MATCH(B172,MARKET_INPUT[Column1.type_id]))</f>
        <v>849800</v>
      </c>
      <c r="F172" s="35">
        <f t="shared" si="22"/>
        <v>811983.9</v>
      </c>
      <c r="G172" s="18">
        <f>VLOOKUP(B172,TypeIDs!C:D,2,FALSE)</f>
        <v>10</v>
      </c>
      <c r="I172" s="15">
        <v>6</v>
      </c>
      <c r="J172" s="17">
        <f t="shared" si="25"/>
        <v>361.4</v>
      </c>
      <c r="K172" s="20">
        <f t="shared" si="26"/>
        <v>42</v>
      </c>
      <c r="L172" s="19">
        <f t="shared" si="23"/>
        <v>420</v>
      </c>
      <c r="M172" s="8">
        <f t="shared" si="29"/>
        <v>2.7951950608061646</v>
      </c>
      <c r="N172" s="9">
        <f t="shared" si="30"/>
        <v>12200695.5</v>
      </c>
      <c r="O172" s="10">
        <f t="shared" si="27"/>
        <v>21902628.300000001</v>
      </c>
      <c r="P172" s="11">
        <f t="shared" si="28"/>
        <v>52149.115000000005</v>
      </c>
      <c r="Q172" s="23">
        <f t="shared" si="24"/>
        <v>34103323.799999997</v>
      </c>
      <c r="R172" s="3">
        <f>VLOOKUP(B172,Buylist!B:B,1,FALSE)</f>
        <v>31119</v>
      </c>
      <c r="S172" s="3">
        <f>VLOOKUP(B172,Buylist!B:O,13,FALSE)</f>
        <v>0</v>
      </c>
      <c r="T172" s="78">
        <v>171</v>
      </c>
    </row>
    <row r="173" spans="1:20">
      <c r="A173" s="28" t="s">
        <v>17465</v>
      </c>
      <c r="B173" s="63">
        <f>VLOOKUP(A173,TypeIDs!B:C,2,FALSE)</f>
        <v>31161</v>
      </c>
      <c r="C173" s="36">
        <v>921400</v>
      </c>
      <c r="D173" s="69">
        <f t="shared" si="21"/>
        <v>971402.3</v>
      </c>
      <c r="E173" s="35">
        <f>INDEX(MARKET_INPUT[Column1.price],MATCH(B173,MARKET_INPUT[Column1.type_id]))</f>
        <v>1180000</v>
      </c>
      <c r="F173" s="35">
        <f t="shared" si="22"/>
        <v>1127490</v>
      </c>
      <c r="G173" s="18">
        <f>VLOOKUP(B173,TypeIDs!C:D,2,FALSE)</f>
        <v>10</v>
      </c>
      <c r="I173" s="15">
        <v>6</v>
      </c>
      <c r="J173" s="17">
        <f t="shared" si="25"/>
        <v>1143.6799999999998</v>
      </c>
      <c r="K173" s="20">
        <f t="shared" si="26"/>
        <v>42</v>
      </c>
      <c r="L173" s="19">
        <f t="shared" si="23"/>
        <v>420</v>
      </c>
      <c r="M173" s="8">
        <f t="shared" si="29"/>
        <v>1.1606828602320582</v>
      </c>
      <c r="N173" s="9">
        <f t="shared" si="30"/>
        <v>40798896.600000001</v>
      </c>
      <c r="O173" s="10">
        <f t="shared" si="27"/>
        <v>6555683.3999999985</v>
      </c>
      <c r="P173" s="11">
        <f t="shared" si="28"/>
        <v>15608.769999999995</v>
      </c>
      <c r="Q173" s="23">
        <f t="shared" si="24"/>
        <v>47354580</v>
      </c>
      <c r="R173" s="3">
        <f>VLOOKUP(B173,Buylist!B:B,1,FALSE)</f>
        <v>31161</v>
      </c>
      <c r="S173" s="3">
        <f>VLOOKUP(B173,Buylist!B:O,13,FALSE)</f>
        <v>0</v>
      </c>
      <c r="T173" s="78">
        <v>172</v>
      </c>
    </row>
    <row r="174" spans="1:20">
      <c r="A174" s="28" t="s">
        <v>17459</v>
      </c>
      <c r="B174" s="63">
        <f>VLOOKUP(A174,TypeIDs!B:C,2,FALSE)</f>
        <v>31155</v>
      </c>
      <c r="C174" s="36">
        <v>645400</v>
      </c>
      <c r="D174" s="69">
        <f t="shared" si="21"/>
        <v>683120.3</v>
      </c>
      <c r="E174" s="35">
        <f>INDEX(MARKET_INPUT[Column1.price],MATCH(B174,MARKET_INPUT[Column1.type_id]))</f>
        <v>1240000</v>
      </c>
      <c r="F174" s="35">
        <f t="shared" si="22"/>
        <v>1184820</v>
      </c>
      <c r="G174" s="18">
        <f>VLOOKUP(B174,TypeIDs!C:D,2,FALSE)</f>
        <v>10</v>
      </c>
      <c r="I174" s="15">
        <v>9</v>
      </c>
      <c r="J174" s="17">
        <f t="shared" si="25"/>
        <v>1208.72</v>
      </c>
      <c r="K174" s="20">
        <f t="shared" si="26"/>
        <v>63</v>
      </c>
      <c r="L174" s="19">
        <f t="shared" si="23"/>
        <v>630</v>
      </c>
      <c r="M174" s="8">
        <f t="shared" si="29"/>
        <v>1.7344236439760317</v>
      </c>
      <c r="N174" s="9">
        <f t="shared" si="30"/>
        <v>43036578.900000006</v>
      </c>
      <c r="O174" s="10">
        <f t="shared" si="27"/>
        <v>31607081.099999998</v>
      </c>
      <c r="P174" s="11">
        <f t="shared" si="28"/>
        <v>50169.969999999994</v>
      </c>
      <c r="Q174" s="23">
        <f t="shared" si="24"/>
        <v>74643660</v>
      </c>
      <c r="R174" s="3">
        <f>VLOOKUP(B174,Buylist!B:B,1,FALSE)</f>
        <v>31155</v>
      </c>
      <c r="S174" s="3">
        <f>VLOOKUP(B174,Buylist!B:O,13,FALSE)</f>
        <v>0</v>
      </c>
      <c r="T174" s="78">
        <v>173</v>
      </c>
    </row>
    <row r="175" spans="1:20">
      <c r="A175" s="32" t="s">
        <v>17483</v>
      </c>
      <c r="B175" s="63">
        <f>VLOOKUP(A175,TypeIDs!B:C,2,FALSE)</f>
        <v>31179</v>
      </c>
      <c r="C175" s="36">
        <v>251900</v>
      </c>
      <c r="D175" s="69">
        <f t="shared" si="21"/>
        <v>272109.55</v>
      </c>
      <c r="E175" s="35">
        <f>INDEX(MARKET_INPUT[Column1.price],MATCH(B175,MARKET_INPUT[Column1.type_id]))</f>
        <v>798500</v>
      </c>
      <c r="F175" s="35">
        <f t="shared" si="22"/>
        <v>762966.75</v>
      </c>
      <c r="G175" s="18">
        <f>VLOOKUP(B175,TypeIDs!C:D,2,FALSE)</f>
        <v>10</v>
      </c>
      <c r="I175" s="15">
        <v>1</v>
      </c>
      <c r="J175" s="17">
        <f t="shared" si="25"/>
        <v>73.38</v>
      </c>
      <c r="K175" s="20">
        <f t="shared" si="26"/>
        <v>7</v>
      </c>
      <c r="L175" s="19">
        <f t="shared" si="23"/>
        <v>70</v>
      </c>
      <c r="M175" s="8">
        <f t="shared" si="29"/>
        <v>2.8038955266362393</v>
      </c>
      <c r="N175" s="9">
        <f t="shared" si="30"/>
        <v>1904766.8499999999</v>
      </c>
      <c r="O175" s="10">
        <f t="shared" si="27"/>
        <v>3436000.4</v>
      </c>
      <c r="P175" s="11">
        <f t="shared" si="28"/>
        <v>49085.72</v>
      </c>
      <c r="Q175" s="23">
        <f t="shared" si="24"/>
        <v>5340767.25</v>
      </c>
      <c r="R175" s="3" t="e">
        <f>VLOOKUP(B175,Buylist!B:B,1,FALSE)</f>
        <v>#N/A</v>
      </c>
      <c r="S175" s="3" t="e">
        <f>VLOOKUP(B175,Buylist!B:O,13,FALSE)</f>
        <v>#N/A</v>
      </c>
      <c r="T175" s="78">
        <v>174</v>
      </c>
    </row>
    <row r="176" spans="1:20">
      <c r="A176" s="28" t="s">
        <v>17429</v>
      </c>
      <c r="B176" s="63">
        <f>VLOOKUP(A176,TypeIDs!B:C,2,FALSE)</f>
        <v>31125</v>
      </c>
      <c r="C176" s="36">
        <v>9874000</v>
      </c>
      <c r="D176" s="69">
        <f t="shared" si="21"/>
        <v>10322393</v>
      </c>
      <c r="E176" s="35">
        <f>INDEX(MARKET_INPUT[Column1.price],MATCH(B176,MARKET_INPUT[Column1.type_id]))</f>
        <v>14990000</v>
      </c>
      <c r="F176" s="35">
        <f t="shared" si="22"/>
        <v>14322945</v>
      </c>
      <c r="G176" s="18">
        <f>VLOOKUP(B176,TypeIDs!C:D,2,FALSE)</f>
        <v>10</v>
      </c>
      <c r="I176" s="15">
        <v>1.6</v>
      </c>
      <c r="J176" s="17">
        <f t="shared" si="25"/>
        <v>3184.48</v>
      </c>
      <c r="K176" s="20">
        <f t="shared" si="26"/>
        <v>11.200000000000001</v>
      </c>
      <c r="L176" s="19">
        <f t="shared" si="23"/>
        <v>112</v>
      </c>
      <c r="M176" s="8">
        <f t="shared" si="29"/>
        <v>1.3875605201235799</v>
      </c>
      <c r="N176" s="9">
        <f t="shared" si="30"/>
        <v>115610801.60000001</v>
      </c>
      <c r="O176" s="10">
        <f t="shared" si="27"/>
        <v>44806182.400000006</v>
      </c>
      <c r="P176" s="11">
        <f t="shared" si="28"/>
        <v>400055.2</v>
      </c>
      <c r="Q176" s="23">
        <f t="shared" si="24"/>
        <v>160416984</v>
      </c>
      <c r="R176" s="3" t="e">
        <f>VLOOKUP(B176,Buylist!B:B,1,FALSE)</f>
        <v>#N/A</v>
      </c>
      <c r="S176" s="3" t="e">
        <f>VLOOKUP(B176,Buylist!B:O,13,FALSE)</f>
        <v>#N/A</v>
      </c>
      <c r="T176" s="78">
        <v>175</v>
      </c>
    </row>
    <row r="177" spans="1:20">
      <c r="A177" s="28" t="s">
        <v>17471</v>
      </c>
      <c r="B177" s="63">
        <f>VLOOKUP(A177,TypeIDs!B:C,2,FALSE)</f>
        <v>31167</v>
      </c>
      <c r="C177" s="36">
        <v>7490000</v>
      </c>
      <c r="D177" s="69">
        <f t="shared" si="21"/>
        <v>7832305</v>
      </c>
      <c r="E177" s="35">
        <f>INDEX(MARKET_INPUT[Column1.price],MATCH(B177,MARKET_INPUT[Column1.type_id]))</f>
        <v>13380000</v>
      </c>
      <c r="F177" s="35">
        <f t="shared" si="22"/>
        <v>12784590</v>
      </c>
      <c r="G177" s="18">
        <f>VLOOKUP(B177,TypeIDs!C:D,2,FALSE)</f>
        <v>10</v>
      </c>
      <c r="I177" s="15">
        <v>2</v>
      </c>
      <c r="J177" s="17">
        <f t="shared" si="25"/>
        <v>3022</v>
      </c>
      <c r="K177" s="20">
        <f t="shared" si="26"/>
        <v>14</v>
      </c>
      <c r="L177" s="19">
        <f t="shared" si="23"/>
        <v>140</v>
      </c>
      <c r="M177" s="8">
        <f t="shared" si="29"/>
        <v>1.6322896005709686</v>
      </c>
      <c r="N177" s="9">
        <f t="shared" si="30"/>
        <v>109652270</v>
      </c>
      <c r="O177" s="10">
        <f t="shared" si="27"/>
        <v>69331990</v>
      </c>
      <c r="P177" s="11">
        <f t="shared" si="28"/>
        <v>495228.5</v>
      </c>
      <c r="Q177" s="23">
        <f t="shared" si="24"/>
        <v>178984260</v>
      </c>
      <c r="R177" s="3">
        <f>VLOOKUP(B177,Buylist!B:B,1,FALSE)</f>
        <v>31167</v>
      </c>
      <c r="S177" s="3">
        <f>VLOOKUP(B177,Buylist!B:O,13,FALSE)</f>
        <v>0</v>
      </c>
      <c r="T177" s="78">
        <v>176</v>
      </c>
    </row>
    <row r="178" spans="1:20">
      <c r="A178" s="28" t="s">
        <v>17489</v>
      </c>
      <c r="B178" s="63">
        <f>VLOOKUP(A178,TypeIDs!B:C,2,FALSE)</f>
        <v>31185</v>
      </c>
      <c r="C178" s="36">
        <f t="array" ref="C178:C262">_xlfn.FILTERXML(BF46,BG21)</f>
        <v>10250000</v>
      </c>
      <c r="D178" s="36">
        <f t="shared" si="21"/>
        <v>10715125</v>
      </c>
      <c r="E178" s="35">
        <f>INDEX(MARKET_INPUT[Column1.price],MATCH(B178,MARKET_INPUT[Column1.type_id]))</f>
        <v>16890000</v>
      </c>
      <c r="F178" s="35">
        <f t="shared" si="22"/>
        <v>16138395</v>
      </c>
      <c r="G178" s="18">
        <f>VLOOKUP(B178,TypeIDs!C:D,2,FALSE)</f>
        <v>10</v>
      </c>
      <c r="I178" s="15">
        <v>1</v>
      </c>
      <c r="J178" s="17">
        <f t="shared" si="25"/>
        <v>2073</v>
      </c>
      <c r="K178" s="20">
        <f t="shared" si="26"/>
        <v>7</v>
      </c>
      <c r="L178" s="19">
        <f t="shared" si="23"/>
        <v>70</v>
      </c>
      <c r="M178" s="8">
        <f t="shared" si="29"/>
        <v>1.5061322196427946</v>
      </c>
      <c r="N178" s="9">
        <f t="shared" si="30"/>
        <v>75005875</v>
      </c>
      <c r="O178" s="10">
        <f t="shared" si="27"/>
        <v>37962890</v>
      </c>
      <c r="P178" s="11">
        <f t="shared" si="28"/>
        <v>542327</v>
      </c>
      <c r="Q178" s="23">
        <f t="shared" si="24"/>
        <v>112968765</v>
      </c>
      <c r="R178" s="3" t="e">
        <f>VLOOKUP(B178,Buylist!B:B,1,FALSE)</f>
        <v>#N/A</v>
      </c>
      <c r="S178" s="3" t="e">
        <f>VLOOKUP(B178,Buylist!B:O,13,FALSE)</f>
        <v>#N/A</v>
      </c>
      <c r="T178" s="78">
        <v>177</v>
      </c>
    </row>
    <row r="179" spans="1:20">
      <c r="A179" s="32" t="s">
        <v>17477</v>
      </c>
      <c r="B179" s="63">
        <f>VLOOKUP(A179,TypeIDs!B:C,2,FALSE)</f>
        <v>31173</v>
      </c>
      <c r="C179" s="36">
        <v>6334000</v>
      </c>
      <c r="D179" s="36">
        <f t="shared" si="21"/>
        <v>6624863</v>
      </c>
      <c r="E179" s="35">
        <f>INDEX(MARKET_INPUT[Column1.price],MATCH(B179,MARKET_INPUT[Column1.type_id]))</f>
        <v>16630000</v>
      </c>
      <c r="F179" s="35">
        <f t="shared" si="22"/>
        <v>15889965</v>
      </c>
      <c r="G179" s="18">
        <f>VLOOKUP(B179,TypeIDs!C:D,2,FALSE)</f>
        <v>10</v>
      </c>
      <c r="I179" s="15">
        <v>1</v>
      </c>
      <c r="J179" s="17">
        <f t="shared" si="25"/>
        <v>1289.8</v>
      </c>
      <c r="K179" s="20">
        <f t="shared" si="26"/>
        <v>7</v>
      </c>
      <c r="L179" s="19">
        <f t="shared" si="23"/>
        <v>70</v>
      </c>
      <c r="M179" s="8">
        <f t="shared" si="29"/>
        <v>2.3985348829100315</v>
      </c>
      <c r="N179" s="9">
        <f t="shared" si="30"/>
        <v>46374041</v>
      </c>
      <c r="O179" s="10">
        <f t="shared" si="27"/>
        <v>64855714</v>
      </c>
      <c r="P179" s="11">
        <f t="shared" si="28"/>
        <v>926510.2</v>
      </c>
      <c r="Q179" s="23">
        <f t="shared" si="24"/>
        <v>111229755</v>
      </c>
      <c r="R179" s="3" t="e">
        <f>VLOOKUP(B179,Buylist!B:B,1,FALSE)</f>
        <v>#N/A</v>
      </c>
      <c r="S179" s="3" t="e">
        <f>VLOOKUP(B179,Buylist!B:O,13,FALSE)</f>
        <v>#N/A</v>
      </c>
      <c r="T179" s="78">
        <v>178</v>
      </c>
    </row>
    <row r="180" spans="1:20">
      <c r="A180" s="28" t="s">
        <v>17421</v>
      </c>
      <c r="B180" s="63">
        <f>VLOOKUP(A180,TypeIDs!B:C,2,FALSE)</f>
        <v>31117</v>
      </c>
      <c r="C180" s="36">
        <v>62120</v>
      </c>
      <c r="D180" s="36">
        <f t="shared" si="21"/>
        <v>69384.34</v>
      </c>
      <c r="E180" s="35">
        <f>INDEX(MARKET_INPUT[Column1.price],MATCH(B180,MARKET_INPUT[Column1.type_id]))</f>
        <v>1240000</v>
      </c>
      <c r="F180" s="35">
        <f t="shared" si="22"/>
        <v>1184820</v>
      </c>
      <c r="G180" s="18">
        <f>VLOOKUP(B180,TypeIDs!C:D,2,FALSE)</f>
        <v>5</v>
      </c>
      <c r="I180" s="15">
        <v>5</v>
      </c>
      <c r="J180" s="17">
        <f t="shared" si="25"/>
        <v>87.12</v>
      </c>
      <c r="K180" s="20">
        <f t="shared" si="26"/>
        <v>35</v>
      </c>
      <c r="L180" s="19">
        <f t="shared" si="23"/>
        <v>175</v>
      </c>
      <c r="M180" s="8">
        <f t="shared" si="29"/>
        <v>17.076187508593438</v>
      </c>
      <c r="N180" s="9">
        <f t="shared" si="30"/>
        <v>2428451.9</v>
      </c>
      <c r="O180" s="10">
        <f t="shared" si="27"/>
        <v>39040248.099999994</v>
      </c>
      <c r="P180" s="11">
        <f t="shared" si="28"/>
        <v>223087.13199999998</v>
      </c>
      <c r="Q180" s="23">
        <f t="shared" si="24"/>
        <v>41468699.999999993</v>
      </c>
      <c r="R180" s="3">
        <f>VLOOKUP(B180,Buylist!B:B,1,FALSE)</f>
        <v>31117</v>
      </c>
      <c r="S180" s="3">
        <f>VLOOKUP(B180,Buylist!B:O,13,FALSE)</f>
        <v>0</v>
      </c>
      <c r="T180" s="78">
        <v>179</v>
      </c>
    </row>
    <row r="181" spans="1:20">
      <c r="A181" s="28" t="s">
        <v>17457</v>
      </c>
      <c r="B181" s="63">
        <f>VLOOKUP(A181,TypeIDs!B:C,2,FALSE)</f>
        <v>31153</v>
      </c>
      <c r="C181" s="36">
        <v>111300</v>
      </c>
      <c r="D181" s="36">
        <f t="shared" si="21"/>
        <v>120752.85</v>
      </c>
      <c r="E181" s="35">
        <f>INDEX(MARKET_INPUT[Column1.price],MATCH(B181,MARKET_INPUT[Column1.type_id]))</f>
        <v>594900</v>
      </c>
      <c r="F181" s="35">
        <f t="shared" si="22"/>
        <v>568426.94999999995</v>
      </c>
      <c r="G181" s="18">
        <f>VLOOKUP(B181,TypeIDs!C:D,2,FALSE)</f>
        <v>5</v>
      </c>
      <c r="I181" s="15">
        <v>3</v>
      </c>
      <c r="J181" s="17">
        <f t="shared" si="25"/>
        <v>85.78</v>
      </c>
      <c r="K181" s="20">
        <f t="shared" si="26"/>
        <v>21</v>
      </c>
      <c r="L181" s="19">
        <f t="shared" si="23"/>
        <v>105</v>
      </c>
      <c r="M181" s="8">
        <f t="shared" si="29"/>
        <v>4.7073584598624372</v>
      </c>
      <c r="N181" s="9">
        <f t="shared" si="30"/>
        <v>2535809.85</v>
      </c>
      <c r="O181" s="10">
        <f t="shared" si="27"/>
        <v>9401156.0999999996</v>
      </c>
      <c r="P181" s="11">
        <f t="shared" si="28"/>
        <v>89534.819999999992</v>
      </c>
      <c r="Q181" s="23">
        <f t="shared" si="24"/>
        <v>11936965.949999999</v>
      </c>
      <c r="R181" s="3">
        <f>VLOOKUP(B181,Buylist!B:B,1,FALSE)</f>
        <v>31153</v>
      </c>
      <c r="S181" s="3">
        <f>VLOOKUP(B181,Buylist!B:O,13,FALSE)</f>
        <v>0</v>
      </c>
      <c r="T181" s="78">
        <v>180</v>
      </c>
    </row>
    <row r="182" spans="1:20">
      <c r="A182" s="28" t="s">
        <v>17481</v>
      </c>
      <c r="B182" s="63">
        <f>VLOOKUP(A182,TypeIDs!B:C,2,FALSE)</f>
        <v>31177</v>
      </c>
      <c r="C182" s="36">
        <v>77690</v>
      </c>
      <c r="D182" s="36">
        <f t="shared" si="21"/>
        <v>85647.205000000002</v>
      </c>
      <c r="E182" s="35">
        <f>INDEX(MARKET_INPUT[Column1.price],MATCH(B182,MARKET_INPUT[Column1.type_id]))</f>
        <v>479900</v>
      </c>
      <c r="F182" s="35">
        <f t="shared" si="22"/>
        <v>458544.45</v>
      </c>
      <c r="G182" s="18">
        <f>VLOOKUP(B182,TypeIDs!C:D,2,FALSE)</f>
        <v>5</v>
      </c>
      <c r="I182" s="15">
        <v>3</v>
      </c>
      <c r="J182" s="17">
        <f t="shared" si="25"/>
        <v>65.614000000000004</v>
      </c>
      <c r="K182" s="20">
        <f t="shared" si="26"/>
        <v>21</v>
      </c>
      <c r="L182" s="19">
        <f t="shared" si="23"/>
        <v>105</v>
      </c>
      <c r="M182" s="8">
        <f t="shared" si="29"/>
        <v>5.353875237376398</v>
      </c>
      <c r="N182" s="9">
        <f t="shared" si="30"/>
        <v>1798591.3049999999</v>
      </c>
      <c r="O182" s="10">
        <f t="shared" si="27"/>
        <v>7830842.1449999996</v>
      </c>
      <c r="P182" s="11">
        <f t="shared" si="28"/>
        <v>74579.448999999993</v>
      </c>
      <c r="Q182" s="23">
        <f t="shared" si="24"/>
        <v>9629433.4499999993</v>
      </c>
      <c r="R182" s="3">
        <f>VLOOKUP(B182,Buylist!B:B,1,FALSE)</f>
        <v>31177</v>
      </c>
      <c r="S182" s="3">
        <f>VLOOKUP(B182,Buylist!B:O,13,FALSE)</f>
        <v>0</v>
      </c>
      <c r="T182" s="78">
        <v>181</v>
      </c>
    </row>
    <row r="183" spans="1:20">
      <c r="A183" s="28" t="s">
        <v>17469</v>
      </c>
      <c r="B183" s="63">
        <f>VLOOKUP(A183,TypeIDs!B:C,2,FALSE)</f>
        <v>31165</v>
      </c>
      <c r="C183" s="36">
        <v>1826000</v>
      </c>
      <c r="D183" s="36">
        <f t="shared" si="21"/>
        <v>1911757</v>
      </c>
      <c r="E183" s="35">
        <f>INDEX(MARKET_INPUT[Column1.price],MATCH(B183,MARKET_INPUT[Column1.type_id]))</f>
        <v>3100000</v>
      </c>
      <c r="F183" s="35">
        <f t="shared" si="22"/>
        <v>2962050</v>
      </c>
      <c r="G183" s="18">
        <f>VLOOKUP(B183,TypeIDs!C:D,2,FALSE)</f>
        <v>5</v>
      </c>
      <c r="I183" s="15">
        <v>3</v>
      </c>
      <c r="J183" s="17">
        <f t="shared" si="25"/>
        <v>1114.5999999999999</v>
      </c>
      <c r="K183" s="20">
        <f t="shared" si="26"/>
        <v>21</v>
      </c>
      <c r="L183" s="19">
        <f t="shared" si="23"/>
        <v>105</v>
      </c>
      <c r="M183" s="8">
        <f t="shared" si="29"/>
        <v>1.5493862452184037</v>
      </c>
      <c r="N183" s="9">
        <f t="shared" si="30"/>
        <v>40146897</v>
      </c>
      <c r="O183" s="10">
        <f t="shared" si="27"/>
        <v>22056153</v>
      </c>
      <c r="P183" s="11">
        <f t="shared" si="28"/>
        <v>210058.6</v>
      </c>
      <c r="Q183" s="23">
        <f t="shared" si="24"/>
        <v>62203050</v>
      </c>
      <c r="R183" s="3" t="e">
        <f>VLOOKUP(B183,Buylist!B:B,1,FALSE)</f>
        <v>#N/A</v>
      </c>
      <c r="S183" s="3" t="e">
        <f>VLOOKUP(B183,Buylist!B:O,13,FALSE)</f>
        <v>#N/A</v>
      </c>
      <c r="T183" s="78">
        <v>182</v>
      </c>
    </row>
    <row r="184" spans="1:20">
      <c r="A184" s="18" t="s">
        <v>17475</v>
      </c>
      <c r="B184" s="63">
        <f>VLOOKUP(A184,TypeIDs!B:C,2,FALSE)</f>
        <v>31171</v>
      </c>
      <c r="C184" s="36">
        <v>1712000</v>
      </c>
      <c r="D184" s="36">
        <f t="shared" si="21"/>
        <v>1792684</v>
      </c>
      <c r="E184" s="35">
        <f>INDEX(MARKET_INPUT[Column1.price],MATCH(B184,MARKET_INPUT[Column1.type_id]))</f>
        <v>2601000</v>
      </c>
      <c r="F184" s="35">
        <f t="shared" si="22"/>
        <v>2485255.5</v>
      </c>
      <c r="G184" s="18">
        <f>VLOOKUP(B184,TypeIDs!C:D,2,FALSE)</f>
        <v>5</v>
      </c>
      <c r="I184" s="15">
        <v>2</v>
      </c>
      <c r="J184" s="17">
        <f t="shared" si="25"/>
        <v>700.8</v>
      </c>
      <c r="K184" s="20">
        <f t="shared" si="26"/>
        <v>14</v>
      </c>
      <c r="L184" s="19">
        <f t="shared" si="23"/>
        <v>70</v>
      </c>
      <c r="M184" s="8">
        <f t="shared" si="29"/>
        <v>1.3863321700868643</v>
      </c>
      <c r="N184" s="9">
        <f t="shared" si="30"/>
        <v>25097576</v>
      </c>
      <c r="O184" s="10">
        <f t="shared" si="27"/>
        <v>9696001</v>
      </c>
      <c r="P184" s="11">
        <f t="shared" si="28"/>
        <v>138514.29999999999</v>
      </c>
      <c r="Q184" s="23">
        <f t="shared" si="24"/>
        <v>34793577</v>
      </c>
      <c r="R184" s="3" t="e">
        <f>VLOOKUP(B184,Buylist!B:B,1,FALSE)</f>
        <v>#N/A</v>
      </c>
      <c r="S184" s="3" t="e">
        <f>VLOOKUP(B184,Buylist!B:O,13,FALSE)</f>
        <v>#N/A</v>
      </c>
      <c r="T184" s="78">
        <v>183</v>
      </c>
    </row>
    <row r="185" spans="1:20">
      <c r="A185" s="18" t="s">
        <v>17487</v>
      </c>
      <c r="B185" s="63">
        <f>VLOOKUP(A185,TypeIDs!B:C,2,FALSE)</f>
        <v>31183</v>
      </c>
      <c r="C185" s="36">
        <v>2590000</v>
      </c>
      <c r="D185" s="36">
        <f t="shared" si="21"/>
        <v>2709755</v>
      </c>
      <c r="E185" s="35">
        <f>INDEX(MARKET_INPUT[Column1.price],MATCH(B185,MARKET_INPUT[Column1.type_id]))</f>
        <v>3199000</v>
      </c>
      <c r="F185" s="35">
        <f t="shared" si="22"/>
        <v>3056644.5</v>
      </c>
      <c r="G185" s="18">
        <f>VLOOKUP(B185,TypeIDs!C:D,2,FALSE)</f>
        <v>5</v>
      </c>
      <c r="I185" s="15">
        <v>3</v>
      </c>
      <c r="J185" s="17">
        <f t="shared" si="25"/>
        <v>1573</v>
      </c>
      <c r="K185" s="20">
        <f t="shared" si="26"/>
        <v>21</v>
      </c>
      <c r="L185" s="19">
        <f t="shared" si="23"/>
        <v>105</v>
      </c>
      <c r="M185" s="8">
        <f t="shared" si="29"/>
        <v>1.1280150788539924</v>
      </c>
      <c r="N185" s="9">
        <f t="shared" si="30"/>
        <v>56904855</v>
      </c>
      <c r="O185" s="10">
        <f t="shared" si="27"/>
        <v>7284679.5</v>
      </c>
      <c r="P185" s="11">
        <f t="shared" si="28"/>
        <v>69377.899999999994</v>
      </c>
      <c r="Q185" s="23">
        <f t="shared" si="24"/>
        <v>64189534.5</v>
      </c>
      <c r="R185" s="3" t="e">
        <f>VLOOKUP(B185,Buylist!B:B,1,FALSE)</f>
        <v>#N/A</v>
      </c>
      <c r="S185" s="3" t="e">
        <f>VLOOKUP(B185,Buylist!B:O,13,FALSE)</f>
        <v>#N/A</v>
      </c>
      <c r="T185" s="78">
        <v>184</v>
      </c>
    </row>
    <row r="186" spans="1:20">
      <c r="A186" s="18" t="s">
        <v>18254</v>
      </c>
      <c r="B186" s="63">
        <f>VLOOKUP(A186,TypeIDs!B:C,2,FALSE)</f>
        <v>32043</v>
      </c>
      <c r="C186" s="36">
        <v>839900</v>
      </c>
      <c r="D186" s="36">
        <f t="shared" si="21"/>
        <v>886275.55</v>
      </c>
      <c r="E186" s="35">
        <f>INDEX(MARKET_INPUT[Column1.price],MATCH(B186,MARKET_INPUT[Column1.type_id]))</f>
        <v>4597000</v>
      </c>
      <c r="F186" s="35">
        <f t="shared" si="22"/>
        <v>4392433.5</v>
      </c>
      <c r="G186" s="18">
        <f>VLOOKUP(B186,TypeIDs!C:D,2,FALSE)</f>
        <v>10</v>
      </c>
      <c r="I186" s="15">
        <v>1</v>
      </c>
      <c r="J186" s="17">
        <f t="shared" si="25"/>
        <v>190.98</v>
      </c>
      <c r="K186" s="20">
        <f t="shared" si="26"/>
        <v>7</v>
      </c>
      <c r="L186" s="19">
        <f t="shared" si="23"/>
        <v>70</v>
      </c>
      <c r="M186" s="8">
        <f t="shared" si="29"/>
        <v>4.9560585305551976</v>
      </c>
      <c r="N186" s="9">
        <f t="shared" si="30"/>
        <v>6203928.8500000006</v>
      </c>
      <c r="O186" s="10">
        <f t="shared" si="27"/>
        <v>24543105.650000002</v>
      </c>
      <c r="P186" s="11">
        <f t="shared" si="28"/>
        <v>350615.79500000004</v>
      </c>
      <c r="Q186" s="23">
        <f t="shared" si="24"/>
        <v>30747034.500000004</v>
      </c>
      <c r="R186" s="3">
        <f>VLOOKUP(B186,Buylist!B:B,1,FALSE)</f>
        <v>32043</v>
      </c>
      <c r="S186" s="3">
        <f>VLOOKUP(B186,Buylist!B:O,13,FALSE)</f>
        <v>0</v>
      </c>
      <c r="T186" s="78">
        <v>185</v>
      </c>
    </row>
    <row r="187" spans="1:20">
      <c r="A187" s="28" t="s">
        <v>13516</v>
      </c>
      <c r="B187" s="63">
        <f>VLOOKUP(A187,TypeIDs!B:C,2,FALSE)</f>
        <v>25948</v>
      </c>
      <c r="C187" s="36">
        <v>2737000</v>
      </c>
      <c r="D187" s="36">
        <f t="shared" si="21"/>
        <v>2876796.5</v>
      </c>
      <c r="E187" s="35">
        <f>INDEX(MARKET_INPUT[Column1.price],MATCH(B187,MARKET_INPUT[Column1.type_id]))</f>
        <v>14990000</v>
      </c>
      <c r="F187" s="35">
        <f t="shared" si="22"/>
        <v>14322945</v>
      </c>
      <c r="G187" s="18">
        <f>VLOOKUP(B187,TypeIDs!C:D,2,FALSE)</f>
        <v>20</v>
      </c>
      <c r="I187" s="15">
        <v>1</v>
      </c>
      <c r="J187" s="17">
        <f t="shared" si="25"/>
        <v>590.4</v>
      </c>
      <c r="K187" s="20">
        <f t="shared" si="26"/>
        <v>7</v>
      </c>
      <c r="L187" s="19">
        <f t="shared" si="23"/>
        <v>140</v>
      </c>
      <c r="M187" s="8">
        <f t="shared" si="29"/>
        <v>4.9787828231854423</v>
      </c>
      <c r="N187" s="9">
        <f t="shared" si="30"/>
        <v>20137575.5</v>
      </c>
      <c r="O187" s="10">
        <f t="shared" si="27"/>
        <v>80123039.5</v>
      </c>
      <c r="P187" s="11">
        <f t="shared" si="28"/>
        <v>572307.42500000005</v>
      </c>
      <c r="Q187" s="23">
        <f t="shared" si="24"/>
        <v>100260615</v>
      </c>
      <c r="R187" s="3">
        <f>VLOOKUP(B187,Buylist!B:B,1,FALSE)</f>
        <v>25948</v>
      </c>
      <c r="S187" s="3">
        <f>VLOOKUP(B187,Buylist!B:O,13,FALSE)</f>
        <v>0</v>
      </c>
      <c r="T187" s="78">
        <v>186</v>
      </c>
    </row>
    <row r="188" spans="1:20">
      <c r="A188" s="18" t="s">
        <v>13866</v>
      </c>
      <c r="B188" s="63">
        <f>VLOOKUP(A188,TypeIDs!B:C,2,FALSE)</f>
        <v>26374</v>
      </c>
      <c r="C188" s="36">
        <v>28990000</v>
      </c>
      <c r="D188" s="36">
        <f t="shared" si="21"/>
        <v>30298055</v>
      </c>
      <c r="E188" s="35">
        <f>INDEX(MARKET_INPUT[Column1.price],MATCH(B188,MARKET_INPUT[Column1.type_id]))</f>
        <v>52000000</v>
      </c>
      <c r="F188" s="35">
        <f t="shared" si="22"/>
        <v>49686000</v>
      </c>
      <c r="G188" s="18">
        <f>VLOOKUP(B188,TypeIDs!C:D,2,FALSE)</f>
        <v>20</v>
      </c>
      <c r="I188" s="15">
        <v>1</v>
      </c>
      <c r="J188" s="17">
        <f t="shared" si="25"/>
        <v>5841</v>
      </c>
      <c r="K188" s="20">
        <f t="shared" si="26"/>
        <v>7</v>
      </c>
      <c r="L188" s="19">
        <f t="shared" si="23"/>
        <v>140</v>
      </c>
      <c r="M188" s="8">
        <f t="shared" si="29"/>
        <v>1.6399072481715411</v>
      </c>
      <c r="N188" s="9">
        <f t="shared" si="30"/>
        <v>212086385</v>
      </c>
      <c r="O188" s="10">
        <f t="shared" si="27"/>
        <v>135715615</v>
      </c>
      <c r="P188" s="11">
        <f t="shared" si="28"/>
        <v>969397.25</v>
      </c>
      <c r="Q188" s="23">
        <f t="shared" si="24"/>
        <v>347802000</v>
      </c>
      <c r="R188" s="3">
        <f>VLOOKUP(B188,Buylist!B:B,1,FALSE)</f>
        <v>26374</v>
      </c>
      <c r="S188" s="3">
        <f>VLOOKUP(B188,Buylist!B:O,13,FALSE)</f>
        <v>0</v>
      </c>
      <c r="T188" s="78">
        <v>187</v>
      </c>
    </row>
    <row r="189" spans="1:20">
      <c r="A189" s="28" t="s">
        <v>17663</v>
      </c>
      <c r="B189" s="63">
        <f>VLOOKUP(A189,TypeIDs!B:C,2,FALSE)</f>
        <v>31360</v>
      </c>
      <c r="C189" s="36">
        <v>3189000</v>
      </c>
      <c r="D189" s="36">
        <f t="shared" si="21"/>
        <v>3339910.5</v>
      </c>
      <c r="E189" s="35">
        <f>INDEX(MARKET_INPUT[Column1.price],MATCH(B189,MARKET_INPUT[Column1.type_id]))</f>
        <v>4769000</v>
      </c>
      <c r="F189" s="35">
        <f t="shared" si="22"/>
        <v>4556779.5</v>
      </c>
      <c r="G189" s="18">
        <f>VLOOKUP(B189,TypeIDs!C:D,2,FALSE)</f>
        <v>10</v>
      </c>
      <c r="I189" s="15">
        <v>5</v>
      </c>
      <c r="J189" s="17">
        <f t="shared" si="25"/>
        <v>3224</v>
      </c>
      <c r="K189" s="20">
        <f t="shared" si="26"/>
        <v>35</v>
      </c>
      <c r="L189" s="19">
        <f t="shared" si="23"/>
        <v>350</v>
      </c>
      <c r="M189" s="8">
        <f t="shared" si="29"/>
        <v>1.3643417989793438</v>
      </c>
      <c r="N189" s="9">
        <f t="shared" si="30"/>
        <v>116896867.5</v>
      </c>
      <c r="O189" s="10">
        <f t="shared" si="27"/>
        <v>42590415</v>
      </c>
      <c r="P189" s="11">
        <f t="shared" si="28"/>
        <v>121686.9</v>
      </c>
      <c r="Q189" s="23">
        <f t="shared" si="24"/>
        <v>159487282.5</v>
      </c>
      <c r="R189" s="3">
        <f>VLOOKUP(B189,Buylist!B:B,1,FALSE)</f>
        <v>31360</v>
      </c>
      <c r="S189" s="3">
        <f>VLOOKUP(B189,Buylist!B:O,13,FALSE)</f>
        <v>0</v>
      </c>
      <c r="T189" s="78">
        <v>188</v>
      </c>
    </row>
    <row r="190" spans="1:20">
      <c r="A190" s="28" t="s">
        <v>17675</v>
      </c>
      <c r="B190" s="63">
        <f>VLOOKUP(A190,TypeIDs!B:C,2,FALSE)</f>
        <v>31372</v>
      </c>
      <c r="C190" s="36">
        <v>490000</v>
      </c>
      <c r="D190" s="36">
        <f t="shared" si="21"/>
        <v>520805</v>
      </c>
      <c r="E190" s="35">
        <f>INDEX(MARKET_INPUT[Column1.price],MATCH(B190,MARKET_INPUT[Column1.type_id]))</f>
        <v>1295000</v>
      </c>
      <c r="F190" s="35">
        <f t="shared" si="22"/>
        <v>1237372.5</v>
      </c>
      <c r="G190" s="18">
        <f>VLOOKUP(B190,TypeIDs!C:D,2,FALSE)</f>
        <v>10</v>
      </c>
      <c r="I190" s="15">
        <v>5</v>
      </c>
      <c r="J190" s="17">
        <f t="shared" si="25"/>
        <v>525</v>
      </c>
      <c r="K190" s="20">
        <f t="shared" si="26"/>
        <v>35</v>
      </c>
      <c r="L190" s="19">
        <f t="shared" si="23"/>
        <v>350</v>
      </c>
      <c r="M190" s="8">
        <f t="shared" si="29"/>
        <v>2.3758844481139776</v>
      </c>
      <c r="N190" s="9">
        <f t="shared" si="30"/>
        <v>18228175</v>
      </c>
      <c r="O190" s="10">
        <f t="shared" si="27"/>
        <v>25079862.5</v>
      </c>
      <c r="P190" s="11">
        <f t="shared" si="28"/>
        <v>71656.75</v>
      </c>
      <c r="Q190" s="23">
        <f t="shared" si="24"/>
        <v>43308037.5</v>
      </c>
      <c r="R190" s="3">
        <f>VLOOKUP(B190,Buylist!B:B,1,FALSE)</f>
        <v>31372</v>
      </c>
      <c r="S190" s="3">
        <f>VLOOKUP(B190,Buylist!B:O,13,FALSE)</f>
        <v>0</v>
      </c>
      <c r="T190" s="78">
        <v>189</v>
      </c>
    </row>
    <row r="191" spans="1:20">
      <c r="A191" s="28" t="s">
        <v>28223</v>
      </c>
      <c r="B191" s="63">
        <f>VLOOKUP(A191,TypeIDs!B:C,2,FALSE)</f>
        <v>43896</v>
      </c>
      <c r="C191" s="36">
        <v>612300</v>
      </c>
      <c r="D191" s="36">
        <f t="shared" si="21"/>
        <v>648547.35</v>
      </c>
      <c r="E191" s="35">
        <f>INDEX(MARKET_INPUT[Column1.price],MATCH(B191,MARKET_INPUT[Column1.type_id]))</f>
        <v>1000000</v>
      </c>
      <c r="F191" s="35">
        <f t="shared" si="22"/>
        <v>955500</v>
      </c>
      <c r="G191" s="18">
        <f>VLOOKUP(B191,TypeIDs!C:D,2,FALSE)</f>
        <v>10</v>
      </c>
      <c r="I191" s="15">
        <v>3</v>
      </c>
      <c r="J191" s="17">
        <f t="shared" si="25"/>
        <v>396.38</v>
      </c>
      <c r="K191" s="20">
        <f t="shared" si="26"/>
        <v>21</v>
      </c>
      <c r="L191" s="19">
        <f t="shared" si="23"/>
        <v>210</v>
      </c>
      <c r="M191" s="8">
        <f t="shared" si="29"/>
        <v>1.4732925822609559</v>
      </c>
      <c r="N191" s="9">
        <f t="shared" si="30"/>
        <v>13619494.35</v>
      </c>
      <c r="O191" s="10">
        <f t="shared" si="27"/>
        <v>6446005.6500000004</v>
      </c>
      <c r="P191" s="11">
        <f t="shared" si="28"/>
        <v>30695.265000000003</v>
      </c>
      <c r="Q191" s="23">
        <f t="shared" si="24"/>
        <v>20065500</v>
      </c>
      <c r="R191" s="3">
        <f>VLOOKUP(B191,Buylist!B:B,1,FALSE)</f>
        <v>43896</v>
      </c>
      <c r="S191" s="3">
        <f>VLOOKUP(B191,Buylist!B:O,13,FALSE)</f>
        <v>0</v>
      </c>
      <c r="T191" s="78">
        <v>190</v>
      </c>
    </row>
    <row r="192" spans="1:20">
      <c r="A192" s="28" t="s">
        <v>3012</v>
      </c>
      <c r="B192" s="63">
        <f>VLOOKUP(A192,TypeIDs!B:C,2,FALSE)</f>
        <v>4395</v>
      </c>
      <c r="C192" s="36">
        <v>185400</v>
      </c>
      <c r="D192" s="36">
        <f t="shared" si="21"/>
        <v>198150.3</v>
      </c>
      <c r="E192" s="35">
        <f>INDEX(MARKET_INPUT[Column1.price],MATCH(B192,MARKET_INPUT[Column1.type_id]))</f>
        <v>1488000</v>
      </c>
      <c r="F192" s="35">
        <f t="shared" si="22"/>
        <v>1421784</v>
      </c>
      <c r="G192" s="18">
        <f>VLOOKUP(B192,TypeIDs!C:D,2,FALSE)</f>
        <v>5</v>
      </c>
      <c r="I192" s="15">
        <v>8</v>
      </c>
      <c r="J192" s="17">
        <f t="shared" si="25"/>
        <v>330.64</v>
      </c>
      <c r="K192" s="20">
        <f t="shared" si="26"/>
        <v>56</v>
      </c>
      <c r="L192" s="19">
        <f t="shared" si="23"/>
        <v>280</v>
      </c>
      <c r="M192" s="8">
        <f t="shared" si="29"/>
        <v>7.1752805824669457</v>
      </c>
      <c r="N192" s="9">
        <f t="shared" si="30"/>
        <v>11096416.799999999</v>
      </c>
      <c r="O192" s="10">
        <f t="shared" si="27"/>
        <v>68523487.200000003</v>
      </c>
      <c r="P192" s="11">
        <f t="shared" si="28"/>
        <v>244726.74</v>
      </c>
      <c r="Q192" s="23">
        <f t="shared" si="24"/>
        <v>79619904</v>
      </c>
      <c r="R192" s="3">
        <f>VLOOKUP(B192,Buylist!B:B,1,FALSE)</f>
        <v>4395</v>
      </c>
      <c r="S192" s="3">
        <f>VLOOKUP(B192,Buylist!B:O,13,FALSE)</f>
        <v>0</v>
      </c>
      <c r="T192" s="78">
        <v>191</v>
      </c>
    </row>
    <row r="193" spans="1:20">
      <c r="A193" s="18" t="s">
        <v>17711</v>
      </c>
      <c r="B193" s="63">
        <f>VLOOKUP(A193,TypeIDs!B:C,2,FALSE)</f>
        <v>31408</v>
      </c>
      <c r="C193" s="36">
        <v>1017000</v>
      </c>
      <c r="D193" s="36">
        <f t="shared" si="21"/>
        <v>1071256.5</v>
      </c>
      <c r="E193" s="35">
        <f>INDEX(MARKET_INPUT[Column1.price],MATCH(B193,MARKET_INPUT[Column1.type_id]))</f>
        <v>3103000</v>
      </c>
      <c r="F193" s="35">
        <f t="shared" si="22"/>
        <v>2964916.5</v>
      </c>
      <c r="G193" s="18">
        <f>VLOOKUP(B193,TypeIDs!C:D,2,FALSE)</f>
        <v>10</v>
      </c>
      <c r="I193" s="15">
        <v>1</v>
      </c>
      <c r="J193" s="17">
        <f t="shared" si="25"/>
        <v>226.4</v>
      </c>
      <c r="K193" s="20">
        <f t="shared" si="26"/>
        <v>7</v>
      </c>
      <c r="L193" s="19">
        <f t="shared" si="23"/>
        <v>70</v>
      </c>
      <c r="M193" s="8">
        <f t="shared" si="29"/>
        <v>2.7676998926027521</v>
      </c>
      <c r="N193" s="9">
        <f t="shared" si="30"/>
        <v>7498795.5</v>
      </c>
      <c r="O193" s="10">
        <f t="shared" si="27"/>
        <v>13255620</v>
      </c>
      <c r="P193" s="11">
        <f t="shared" si="28"/>
        <v>189366</v>
      </c>
      <c r="Q193" s="23">
        <f t="shared" si="24"/>
        <v>20754415.5</v>
      </c>
      <c r="R193" s="3" t="e">
        <f>VLOOKUP(B193,Buylist!B:B,1,FALSE)</f>
        <v>#N/A</v>
      </c>
      <c r="S193" s="3" t="e">
        <f>VLOOKUP(B193,Buylist!B:O,13,FALSE)</f>
        <v>#N/A</v>
      </c>
      <c r="T193" s="78">
        <v>192</v>
      </c>
    </row>
    <row r="194" spans="1:20">
      <c r="A194" s="28" t="s">
        <v>17669</v>
      </c>
      <c r="B194" s="63">
        <f>VLOOKUP(A194,TypeIDs!B:C,2,FALSE)</f>
        <v>31366</v>
      </c>
      <c r="C194" s="36">
        <v>20390000</v>
      </c>
      <c r="D194" s="36">
        <f t="shared" ref="D194:D257" si="31">(C194+(C194*TaxRate))+(G194*ShippingCost)</f>
        <v>21306355</v>
      </c>
      <c r="E194" s="35">
        <f>INDEX(MARKET_INPUT[Column1.price],MATCH(B194,MARKET_INPUT[Column1.type_id]))</f>
        <v>27630000</v>
      </c>
      <c r="F194" s="35">
        <f t="shared" ref="F194:F257" si="32">E194-(E194*TaxRate)</f>
        <v>26400465</v>
      </c>
      <c r="G194" s="18">
        <f>VLOOKUP(B194,TypeIDs!C:D,2,FALSE)</f>
        <v>10</v>
      </c>
      <c r="I194" s="15">
        <v>4</v>
      </c>
      <c r="J194" s="17">
        <f t="shared" si="25"/>
        <v>16344</v>
      </c>
      <c r="K194" s="20">
        <f t="shared" si="26"/>
        <v>28</v>
      </c>
      <c r="L194" s="19">
        <f t="shared" ref="L194:L257" si="33">(G194*I194)*7</f>
        <v>280</v>
      </c>
      <c r="M194" s="8">
        <f t="shared" si="29"/>
        <v>1.2390887601375271</v>
      </c>
      <c r="N194" s="9">
        <f t="shared" si="30"/>
        <v>596577940</v>
      </c>
      <c r="O194" s="10">
        <f t="shared" si="27"/>
        <v>142635080</v>
      </c>
      <c r="P194" s="11">
        <f t="shared" si="28"/>
        <v>509411</v>
      </c>
      <c r="Q194" s="23">
        <f t="shared" ref="Q194:Q257" si="34">N194+O194</f>
        <v>739213020</v>
      </c>
      <c r="R194" s="3" t="e">
        <f>VLOOKUP(B194,Buylist!B:B,1,FALSE)</f>
        <v>#N/A</v>
      </c>
      <c r="S194" s="3" t="e">
        <f>VLOOKUP(B194,Buylist!B:O,13,FALSE)</f>
        <v>#N/A</v>
      </c>
      <c r="T194" s="78">
        <v>193</v>
      </c>
    </row>
    <row r="195" spans="1:20">
      <c r="A195" s="28" t="s">
        <v>17681</v>
      </c>
      <c r="B195" s="63">
        <f>VLOOKUP(A195,TypeIDs!B:C,2,FALSE)</f>
        <v>31378</v>
      </c>
      <c r="C195" s="36">
        <v>7503000</v>
      </c>
      <c r="D195" s="36">
        <f t="shared" si="31"/>
        <v>7845883.5</v>
      </c>
      <c r="E195" s="35">
        <f>INDEX(MARKET_INPUT[Column1.price],MATCH(B195,MARKET_INPUT[Column1.type_id]))</f>
        <v>10910000</v>
      </c>
      <c r="F195" s="35">
        <f t="shared" si="32"/>
        <v>10424505</v>
      </c>
      <c r="G195" s="18">
        <f>VLOOKUP(B195,TypeIDs!C:D,2,FALSE)</f>
        <v>10</v>
      </c>
      <c r="I195" s="15">
        <v>2.5</v>
      </c>
      <c r="J195" s="17">
        <f t="shared" ref="J195:J258" si="35">((C195/(5000/I195))+(G195*2)+(I195*3))</f>
        <v>3779</v>
      </c>
      <c r="K195" s="20">
        <f t="shared" ref="K195:K258" si="36">I195*7</f>
        <v>17.5</v>
      </c>
      <c r="L195" s="19">
        <f t="shared" si="33"/>
        <v>175</v>
      </c>
      <c r="M195" s="8">
        <f t="shared" si="29"/>
        <v>1.3286591624767305</v>
      </c>
      <c r="N195" s="9">
        <f t="shared" si="30"/>
        <v>137302961.25</v>
      </c>
      <c r="O195" s="10">
        <f t="shared" ref="O195:O258" si="37">(F195-D195)*K195</f>
        <v>45125876.25</v>
      </c>
      <c r="P195" s="11">
        <f t="shared" ref="P195:P258" si="38">(F195-D195)/G195</f>
        <v>257862.15</v>
      </c>
      <c r="Q195" s="23">
        <f t="shared" si="34"/>
        <v>182428837.5</v>
      </c>
      <c r="R195" s="3" t="e">
        <f>VLOOKUP(B195,Buylist!B:B,1,FALSE)</f>
        <v>#N/A</v>
      </c>
      <c r="S195" s="3" t="e">
        <f>VLOOKUP(B195,Buylist!B:O,13,FALSE)</f>
        <v>#N/A</v>
      </c>
      <c r="T195" s="78">
        <v>194</v>
      </c>
    </row>
    <row r="196" spans="1:20">
      <c r="A196" s="28" t="s">
        <v>3016</v>
      </c>
      <c r="B196" s="63">
        <f>VLOOKUP(A196,TypeIDs!B:C,2,FALSE)</f>
        <v>4399</v>
      </c>
      <c r="C196" s="36">
        <v>4289000</v>
      </c>
      <c r="D196" s="36">
        <f t="shared" si="31"/>
        <v>4484360.5</v>
      </c>
      <c r="E196" s="35">
        <f>INDEX(MARKET_INPUT[Column1.price],MATCH(B196,MARKET_INPUT[Column1.type_id]))</f>
        <v>15000000</v>
      </c>
      <c r="F196" s="35">
        <f t="shared" si="32"/>
        <v>14332500</v>
      </c>
      <c r="G196" s="18">
        <f>VLOOKUP(B196,TypeIDs!C:D,2,FALSE)</f>
        <v>5</v>
      </c>
      <c r="I196" s="15">
        <v>1</v>
      </c>
      <c r="J196" s="17">
        <f t="shared" si="35"/>
        <v>870.8</v>
      </c>
      <c r="K196" s="20">
        <f t="shared" si="36"/>
        <v>7</v>
      </c>
      <c r="L196" s="19">
        <f t="shared" si="33"/>
        <v>35</v>
      </c>
      <c r="M196" s="8">
        <f t="shared" ref="M196:M259" si="39">F196/D196</f>
        <v>3.1961078954290136</v>
      </c>
      <c r="N196" s="9">
        <f t="shared" ref="N196:N259" si="40">D196*K196</f>
        <v>31390523.5</v>
      </c>
      <c r="O196" s="10">
        <f t="shared" si="37"/>
        <v>68936976.5</v>
      </c>
      <c r="P196" s="11">
        <f t="shared" si="38"/>
        <v>1969627.9</v>
      </c>
      <c r="Q196" s="23">
        <f t="shared" si="34"/>
        <v>100327500</v>
      </c>
      <c r="R196" s="3" t="e">
        <f>VLOOKUP(B196,Buylist!B:B,1,FALSE)</f>
        <v>#N/A</v>
      </c>
      <c r="S196" s="3" t="e">
        <f>VLOOKUP(B196,Buylist!B:O,13,FALSE)</f>
        <v>#N/A</v>
      </c>
      <c r="T196" s="78">
        <v>195</v>
      </c>
    </row>
    <row r="197" spans="1:20">
      <c r="A197" s="28" t="s">
        <v>17661</v>
      </c>
      <c r="B197" s="63">
        <f>VLOOKUP(A197,TypeIDs!B:C,2,FALSE)</f>
        <v>31358</v>
      </c>
      <c r="C197" s="36">
        <v>479700</v>
      </c>
      <c r="D197" s="36">
        <f t="shared" si="31"/>
        <v>505546.65</v>
      </c>
      <c r="E197" s="35">
        <f>INDEX(MARKET_INPUT[Column1.price],MATCH(B197,MARKET_INPUT[Column1.type_id]))</f>
        <v>739700</v>
      </c>
      <c r="F197" s="35">
        <f t="shared" si="32"/>
        <v>706783.35</v>
      </c>
      <c r="G197" s="18">
        <f>VLOOKUP(B197,TypeIDs!C:D,2,FALSE)</f>
        <v>5</v>
      </c>
      <c r="I197" s="15">
        <v>5</v>
      </c>
      <c r="J197" s="17">
        <f t="shared" si="35"/>
        <v>504.7</v>
      </c>
      <c r="K197" s="20">
        <f t="shared" si="36"/>
        <v>35</v>
      </c>
      <c r="L197" s="19">
        <f t="shared" si="33"/>
        <v>175</v>
      </c>
      <c r="M197" s="8">
        <f t="shared" si="39"/>
        <v>1.3980576273228196</v>
      </c>
      <c r="N197" s="9">
        <f t="shared" si="40"/>
        <v>17694132.75</v>
      </c>
      <c r="O197" s="10">
        <f t="shared" si="37"/>
        <v>7043284.4999999981</v>
      </c>
      <c r="P197" s="11">
        <f t="shared" si="38"/>
        <v>40247.339999999989</v>
      </c>
      <c r="Q197" s="23">
        <f t="shared" si="34"/>
        <v>24737417.25</v>
      </c>
      <c r="R197" s="3" t="e">
        <f>VLOOKUP(B197,Buylist!B:B,1,FALSE)</f>
        <v>#N/A</v>
      </c>
      <c r="S197" s="3" t="e">
        <f>VLOOKUP(B197,Buylist!B:O,13,FALSE)</f>
        <v>#N/A</v>
      </c>
      <c r="T197" s="78">
        <v>196</v>
      </c>
    </row>
    <row r="198" spans="1:20">
      <c r="A198" s="28" t="s">
        <v>14309</v>
      </c>
      <c r="B198" s="63">
        <f>VLOOKUP(A198,TypeIDs!B:C,2,FALSE)</f>
        <v>26929</v>
      </c>
      <c r="C198" s="36">
        <v>49870</v>
      </c>
      <c r="D198" s="36">
        <f t="shared" si="31"/>
        <v>56589.214999999997</v>
      </c>
      <c r="E198" s="35">
        <f>INDEX(MARKET_INPUT[Column1.price],MATCH(B198,MARKET_INPUT[Column1.type_id]))</f>
        <v>599900</v>
      </c>
      <c r="F198" s="35">
        <f t="shared" si="32"/>
        <v>573204.44999999995</v>
      </c>
      <c r="G198" s="18">
        <f>VLOOKUP(B198,TypeIDs!C:D,2,FALSE)</f>
        <v>5</v>
      </c>
      <c r="I198" s="15">
        <v>4</v>
      </c>
      <c r="J198" s="17">
        <f t="shared" si="35"/>
        <v>61.896000000000001</v>
      </c>
      <c r="K198" s="20">
        <f t="shared" si="36"/>
        <v>28</v>
      </c>
      <c r="L198" s="19">
        <f t="shared" si="33"/>
        <v>140</v>
      </c>
      <c r="M198" s="8">
        <f t="shared" si="39"/>
        <v>10.129217201546266</v>
      </c>
      <c r="N198" s="9">
        <f t="shared" si="40"/>
        <v>1584498.02</v>
      </c>
      <c r="O198" s="10">
        <f t="shared" si="37"/>
        <v>14465226.58</v>
      </c>
      <c r="P198" s="11">
        <f t="shared" si="38"/>
        <v>103323.04699999999</v>
      </c>
      <c r="Q198" s="23">
        <f t="shared" si="34"/>
        <v>16049724.6</v>
      </c>
      <c r="R198" s="3">
        <f>VLOOKUP(B198,Buylist!B:B,1,FALSE)</f>
        <v>26929</v>
      </c>
      <c r="S198" s="3">
        <f>VLOOKUP(B198,Buylist!B:O,13,FALSE)</f>
        <v>0</v>
      </c>
      <c r="T198" s="78">
        <v>197</v>
      </c>
    </row>
    <row r="199" spans="1:20">
      <c r="A199" s="28" t="s">
        <v>17667</v>
      </c>
      <c r="B199" s="63">
        <f>VLOOKUP(A199,TypeIDs!B:C,2,FALSE)</f>
        <v>31364</v>
      </c>
      <c r="C199" s="36">
        <v>3200000</v>
      </c>
      <c r="D199" s="36">
        <f t="shared" si="31"/>
        <v>3346900</v>
      </c>
      <c r="E199" s="35">
        <f>INDEX(MARKET_INPUT[Column1.price],MATCH(B199,MARKET_INPUT[Column1.type_id]))</f>
        <v>3398000</v>
      </c>
      <c r="F199" s="35">
        <f t="shared" si="32"/>
        <v>3246789</v>
      </c>
      <c r="G199" s="18">
        <f>VLOOKUP(B199,TypeIDs!C:D,2,FALSE)</f>
        <v>5</v>
      </c>
      <c r="I199" s="15">
        <v>3</v>
      </c>
      <c r="J199" s="17">
        <f t="shared" si="35"/>
        <v>1939</v>
      </c>
      <c r="K199" s="20">
        <f t="shared" si="36"/>
        <v>21</v>
      </c>
      <c r="L199" s="19">
        <f t="shared" si="33"/>
        <v>105</v>
      </c>
      <c r="M199" s="8">
        <f t="shared" si="39"/>
        <v>0.97008844004900052</v>
      </c>
      <c r="N199" s="9">
        <f t="shared" si="40"/>
        <v>70284900</v>
      </c>
      <c r="O199" s="10">
        <f t="shared" si="37"/>
        <v>-2102331</v>
      </c>
      <c r="P199" s="11">
        <f t="shared" si="38"/>
        <v>-20022.2</v>
      </c>
      <c r="Q199" s="23">
        <f t="shared" si="34"/>
        <v>68182569</v>
      </c>
      <c r="R199" s="3" t="e">
        <f>VLOOKUP(B199,Buylist!B:B,1,FALSE)</f>
        <v>#N/A</v>
      </c>
      <c r="S199" s="3" t="e">
        <f>VLOOKUP(B199,Buylist!B:O,13,FALSE)</f>
        <v>#N/A</v>
      </c>
      <c r="T199" s="78">
        <v>198</v>
      </c>
    </row>
    <row r="200" spans="1:20">
      <c r="A200" s="28" t="s">
        <v>17903</v>
      </c>
      <c r="B200" s="63">
        <f>VLOOKUP(A200,TypeIDs!B:C,2,FALSE)</f>
        <v>31600</v>
      </c>
      <c r="C200" s="36">
        <v>639700</v>
      </c>
      <c r="D200" s="36">
        <f t="shared" si="31"/>
        <v>677166.65</v>
      </c>
      <c r="E200" s="35">
        <f>INDEX(MARKET_INPUT[Column1.price],MATCH(B200,MARKET_INPUT[Column1.type_id]))</f>
        <v>1399000</v>
      </c>
      <c r="F200" s="35">
        <f t="shared" si="32"/>
        <v>1336744.5</v>
      </c>
      <c r="G200" s="18">
        <f>VLOOKUP(B200,TypeIDs!C:D,2,FALSE)</f>
        <v>10</v>
      </c>
      <c r="I200" s="15">
        <v>3</v>
      </c>
      <c r="J200" s="17">
        <f t="shared" si="35"/>
        <v>412.82</v>
      </c>
      <c r="K200" s="20">
        <f t="shared" si="36"/>
        <v>21</v>
      </c>
      <c r="L200" s="19">
        <f t="shared" si="33"/>
        <v>210</v>
      </c>
      <c r="M200" s="8">
        <f t="shared" si="39"/>
        <v>1.9740258915585993</v>
      </c>
      <c r="N200" s="9">
        <f t="shared" si="40"/>
        <v>14220499.65</v>
      </c>
      <c r="O200" s="10">
        <f t="shared" si="37"/>
        <v>13851134.85</v>
      </c>
      <c r="P200" s="11">
        <f t="shared" si="38"/>
        <v>65957.785000000003</v>
      </c>
      <c r="Q200" s="23">
        <f t="shared" si="34"/>
        <v>28071634.5</v>
      </c>
      <c r="R200" s="3" t="e">
        <f>VLOOKUP(B200,Buylist!B:B,1,FALSE)</f>
        <v>#N/A</v>
      </c>
      <c r="S200" s="3" t="e">
        <f>VLOOKUP(B200,Buylist!B:O,13,FALSE)</f>
        <v>#N/A</v>
      </c>
      <c r="T200" s="78">
        <v>199</v>
      </c>
    </row>
    <row r="201" spans="1:20">
      <c r="A201" s="28" t="s">
        <v>17913</v>
      </c>
      <c r="B201" s="63">
        <f>VLOOKUP(A201,TypeIDs!B:C,2,FALSE)</f>
        <v>31610</v>
      </c>
      <c r="C201" s="36">
        <v>665800</v>
      </c>
      <c r="D201" s="36">
        <f t="shared" si="31"/>
        <v>704428.1</v>
      </c>
      <c r="E201" s="35">
        <f>INDEX(MARKET_INPUT[Column1.price],MATCH(B201,MARKET_INPUT[Column1.type_id]))</f>
        <v>1249000</v>
      </c>
      <c r="F201" s="35">
        <f t="shared" si="32"/>
        <v>1193419.5</v>
      </c>
      <c r="G201" s="18">
        <f>VLOOKUP(B201,TypeIDs!C:D,2,FALSE)</f>
        <v>10</v>
      </c>
      <c r="I201" s="15">
        <v>2</v>
      </c>
      <c r="J201" s="17">
        <f t="shared" si="35"/>
        <v>292.32</v>
      </c>
      <c r="K201" s="20">
        <f t="shared" si="36"/>
        <v>14</v>
      </c>
      <c r="L201" s="19">
        <f t="shared" si="33"/>
        <v>140</v>
      </c>
      <c r="M201" s="8">
        <f t="shared" si="39"/>
        <v>1.6941679356629868</v>
      </c>
      <c r="N201" s="9">
        <f t="shared" si="40"/>
        <v>9861993.4000000004</v>
      </c>
      <c r="O201" s="10">
        <f t="shared" si="37"/>
        <v>6845879.6000000006</v>
      </c>
      <c r="P201" s="11">
        <f t="shared" si="38"/>
        <v>48899.14</v>
      </c>
      <c r="Q201" s="23">
        <f t="shared" si="34"/>
        <v>16707873</v>
      </c>
      <c r="R201" s="3">
        <f>VLOOKUP(B201,Buylist!B:B,1,FALSE)</f>
        <v>31610</v>
      </c>
      <c r="S201" s="3">
        <f>VLOOKUP(B201,Buylist!B:O,13,FALSE)</f>
        <v>0</v>
      </c>
      <c r="T201" s="78">
        <v>200</v>
      </c>
    </row>
    <row r="202" spans="1:20">
      <c r="A202" s="28" t="s">
        <v>18692</v>
      </c>
      <c r="B202" s="63">
        <f>VLOOKUP(A202,TypeIDs!B:C,2,FALSE)</f>
        <v>32819</v>
      </c>
      <c r="C202" s="36">
        <v>329600</v>
      </c>
      <c r="D202" s="36">
        <f t="shared" si="31"/>
        <v>353267.20000000001</v>
      </c>
      <c r="E202" s="35">
        <f>INDEX(MARKET_INPUT[Column1.price],MATCH(B202,MARKET_INPUT[Column1.type_id]))</f>
        <v>1398000</v>
      </c>
      <c r="F202" s="35">
        <f t="shared" si="32"/>
        <v>1335789</v>
      </c>
      <c r="G202" s="18">
        <f>VLOOKUP(B202,TypeIDs!C:D,2,FALSE)</f>
        <v>10</v>
      </c>
      <c r="I202" s="15">
        <v>8</v>
      </c>
      <c r="J202" s="17">
        <f t="shared" si="35"/>
        <v>571.36</v>
      </c>
      <c r="K202" s="20">
        <f t="shared" si="36"/>
        <v>56</v>
      </c>
      <c r="L202" s="19">
        <f t="shared" si="33"/>
        <v>560</v>
      </c>
      <c r="M202" s="8">
        <f t="shared" si="39"/>
        <v>3.7812426401318886</v>
      </c>
      <c r="N202" s="9">
        <f t="shared" si="40"/>
        <v>19782963.199999999</v>
      </c>
      <c r="O202" s="10">
        <f t="shared" si="37"/>
        <v>55021220.800000004</v>
      </c>
      <c r="P202" s="11">
        <f t="shared" si="38"/>
        <v>98252.180000000008</v>
      </c>
      <c r="Q202" s="23">
        <f t="shared" si="34"/>
        <v>74804184</v>
      </c>
      <c r="R202" s="3">
        <f>VLOOKUP(B202,Buylist!B:B,1,FALSE)</f>
        <v>32819</v>
      </c>
      <c r="S202" s="3">
        <f>VLOOKUP(B202,Buylist!B:O,13,FALSE)</f>
        <v>0</v>
      </c>
      <c r="T202" s="78">
        <v>201</v>
      </c>
    </row>
    <row r="203" spans="1:20">
      <c r="A203" s="28" t="s">
        <v>18690</v>
      </c>
      <c r="B203" s="63">
        <f>VLOOKUP(A203,TypeIDs!B:C,2,FALSE)</f>
        <v>32817</v>
      </c>
      <c r="C203" s="36">
        <v>440800</v>
      </c>
      <c r="D203" s="36">
        <f t="shared" si="31"/>
        <v>469415.6</v>
      </c>
      <c r="E203" s="35">
        <f>INDEX(MARKET_INPUT[Column1.price],MATCH(B203,MARKET_INPUT[Column1.type_id]))</f>
        <v>3334000</v>
      </c>
      <c r="F203" s="35">
        <f t="shared" si="32"/>
        <v>3185637</v>
      </c>
      <c r="G203" s="18">
        <f>VLOOKUP(B203,TypeIDs!C:D,2,FALSE)</f>
        <v>10</v>
      </c>
      <c r="I203" s="15">
        <v>2</v>
      </c>
      <c r="J203" s="17">
        <f t="shared" si="35"/>
        <v>202.32</v>
      </c>
      <c r="K203" s="20">
        <f t="shared" si="36"/>
        <v>14</v>
      </c>
      <c r="L203" s="19">
        <f t="shared" si="33"/>
        <v>140</v>
      </c>
      <c r="M203" s="8">
        <f t="shared" si="39"/>
        <v>6.7863892891501694</v>
      </c>
      <c r="N203" s="9">
        <f t="shared" si="40"/>
        <v>6571818.3999999994</v>
      </c>
      <c r="O203" s="10">
        <f t="shared" si="37"/>
        <v>38027099.600000001</v>
      </c>
      <c r="P203" s="11">
        <f t="shared" si="38"/>
        <v>271622.14</v>
      </c>
      <c r="Q203" s="23">
        <f t="shared" si="34"/>
        <v>44598918</v>
      </c>
      <c r="R203" s="3">
        <f>VLOOKUP(B203,Buylist!B:B,1,FALSE)</f>
        <v>32817</v>
      </c>
      <c r="S203" s="3">
        <f>VLOOKUP(B203,Buylist!B:O,13,FALSE)</f>
        <v>0</v>
      </c>
      <c r="T203" s="78">
        <v>202</v>
      </c>
    </row>
    <row r="204" spans="1:20">
      <c r="A204" s="28" t="s">
        <v>17398</v>
      </c>
      <c r="B204" s="63">
        <f>VLOOKUP(A204,TypeIDs!B:C,2,FALSE)</f>
        <v>31085</v>
      </c>
      <c r="C204" s="36">
        <v>1170000</v>
      </c>
      <c r="D204" s="36">
        <f t="shared" si="31"/>
        <v>1231065</v>
      </c>
      <c r="E204" s="35">
        <f>INDEX(MARKET_INPUT[Column1.price],MATCH(B204,MARKET_INPUT[Column1.type_id]))</f>
        <v>1997000</v>
      </c>
      <c r="F204" s="35">
        <f t="shared" si="32"/>
        <v>1908133.5</v>
      </c>
      <c r="G204" s="18">
        <f>VLOOKUP(B204,TypeIDs!C:D,2,FALSE)</f>
        <v>10</v>
      </c>
      <c r="I204" s="15">
        <v>2</v>
      </c>
      <c r="J204" s="17">
        <f t="shared" si="35"/>
        <v>494</v>
      </c>
      <c r="K204" s="20">
        <f t="shared" si="36"/>
        <v>14</v>
      </c>
      <c r="L204" s="19">
        <f t="shared" si="33"/>
        <v>140</v>
      </c>
      <c r="M204" s="8">
        <f t="shared" si="39"/>
        <v>1.5499859877423208</v>
      </c>
      <c r="N204" s="9">
        <f t="shared" si="40"/>
        <v>17234910</v>
      </c>
      <c r="O204" s="10">
        <f t="shared" si="37"/>
        <v>9478959</v>
      </c>
      <c r="P204" s="11">
        <f t="shared" si="38"/>
        <v>67706.850000000006</v>
      </c>
      <c r="Q204" s="23">
        <f t="shared" si="34"/>
        <v>26713869</v>
      </c>
      <c r="R204" s="3" t="e">
        <f>VLOOKUP(B204,Buylist!B:B,1,FALSE)</f>
        <v>#N/A</v>
      </c>
      <c r="S204" s="3" t="e">
        <f>VLOOKUP(B204,Buylist!B:O,13,FALSE)</f>
        <v>#N/A</v>
      </c>
      <c r="T204" s="78">
        <v>203</v>
      </c>
    </row>
    <row r="205" spans="1:20">
      <c r="A205" s="32" t="s">
        <v>17404</v>
      </c>
      <c r="B205" s="63">
        <f>VLOOKUP(A205,TypeIDs!B:C,2,FALSE)</f>
        <v>31091</v>
      </c>
      <c r="C205" s="36">
        <v>39650000</v>
      </c>
      <c r="D205" s="36">
        <f t="shared" si="31"/>
        <v>41423425</v>
      </c>
      <c r="E205" s="35">
        <f>INDEX(MARKET_INPUT[Column1.price],MATCH(B205,MARKET_INPUT[Column1.type_id]))</f>
        <v>31630000</v>
      </c>
      <c r="F205" s="35">
        <f t="shared" si="32"/>
        <v>30222465</v>
      </c>
      <c r="G205" s="18">
        <f>VLOOKUP(B205,TypeIDs!C:D,2,FALSE)</f>
        <v>10</v>
      </c>
      <c r="I205" s="15">
        <v>1</v>
      </c>
      <c r="J205" s="17">
        <f t="shared" si="35"/>
        <v>7953</v>
      </c>
      <c r="K205" s="20">
        <f t="shared" si="36"/>
        <v>7</v>
      </c>
      <c r="L205" s="19">
        <f t="shared" si="33"/>
        <v>70</v>
      </c>
      <c r="M205" s="8">
        <f t="shared" si="39"/>
        <v>0.72959840959553679</v>
      </c>
      <c r="N205" s="9">
        <f t="shared" si="40"/>
        <v>289963975</v>
      </c>
      <c r="O205" s="10">
        <f t="shared" si="37"/>
        <v>-78406720</v>
      </c>
      <c r="P205" s="11">
        <f t="shared" si="38"/>
        <v>-1120096</v>
      </c>
      <c r="Q205" s="23">
        <f t="shared" si="34"/>
        <v>211557255</v>
      </c>
      <c r="R205" s="3" t="e">
        <f>VLOOKUP(B205,Buylist!B:B,1,FALSE)</f>
        <v>#N/A</v>
      </c>
      <c r="S205" s="3" t="e">
        <f>VLOOKUP(B205,Buylist!B:O,13,FALSE)</f>
        <v>#N/A</v>
      </c>
      <c r="T205" s="78">
        <v>204</v>
      </c>
    </row>
    <row r="206" spans="1:20">
      <c r="A206" s="28" t="s">
        <v>17396</v>
      </c>
      <c r="B206" s="63">
        <f>VLOOKUP(A206,TypeIDs!B:C,2,FALSE)</f>
        <v>31083</v>
      </c>
      <c r="C206" s="36">
        <v>408300</v>
      </c>
      <c r="D206" s="36">
        <f t="shared" si="31"/>
        <v>430969.35</v>
      </c>
      <c r="E206" s="35">
        <f>INDEX(MARKET_INPUT[Column1.price],MATCH(B206,MARKET_INPUT[Column1.type_id]))</f>
        <v>549800</v>
      </c>
      <c r="F206" s="35">
        <f t="shared" si="32"/>
        <v>525333.9</v>
      </c>
      <c r="G206" s="18">
        <f>VLOOKUP(B206,TypeIDs!C:D,2,FALSE)</f>
        <v>5</v>
      </c>
      <c r="I206" s="15">
        <v>2.5</v>
      </c>
      <c r="J206" s="17">
        <f t="shared" si="35"/>
        <v>221.65</v>
      </c>
      <c r="K206" s="20">
        <f t="shared" si="36"/>
        <v>17.5</v>
      </c>
      <c r="L206" s="19">
        <f t="shared" si="33"/>
        <v>87.5</v>
      </c>
      <c r="M206" s="8">
        <f t="shared" si="39"/>
        <v>1.2189588424327624</v>
      </c>
      <c r="N206" s="9">
        <f t="shared" si="40"/>
        <v>7541963.625</v>
      </c>
      <c r="O206" s="10">
        <f t="shared" si="37"/>
        <v>1651379.6250000009</v>
      </c>
      <c r="P206" s="11">
        <f t="shared" si="38"/>
        <v>18872.910000000011</v>
      </c>
      <c r="Q206" s="23">
        <f t="shared" si="34"/>
        <v>9193343.25</v>
      </c>
      <c r="R206" s="3">
        <f>VLOOKUP(B206,Buylist!B:B,1,FALSE)</f>
        <v>31083</v>
      </c>
      <c r="S206" s="3">
        <f>VLOOKUP(B206,Buylist!B:O,13,FALSE)</f>
        <v>0</v>
      </c>
      <c r="T206" s="78">
        <v>205</v>
      </c>
    </row>
    <row r="207" spans="1:20">
      <c r="A207" s="28" t="s">
        <v>17517</v>
      </c>
      <c r="B207" s="63">
        <f>VLOOKUP(A207,TypeIDs!B:C,2,FALSE)</f>
        <v>31213</v>
      </c>
      <c r="C207" s="36">
        <v>17980</v>
      </c>
      <c r="D207" s="36">
        <f t="shared" si="31"/>
        <v>23280.11</v>
      </c>
      <c r="E207" s="35">
        <f>INDEX(MARKET_INPUT[Column1.price],MATCH(B207,MARKET_INPUT[Column1.type_id]))</f>
        <v>195800</v>
      </c>
      <c r="F207" s="35">
        <f t="shared" si="32"/>
        <v>187086.9</v>
      </c>
      <c r="G207" s="18">
        <f>VLOOKUP(B207,TypeIDs!C:D,2,FALSE)</f>
        <v>5</v>
      </c>
      <c r="I207" s="15">
        <v>3</v>
      </c>
      <c r="J207" s="17">
        <f t="shared" si="35"/>
        <v>29.788</v>
      </c>
      <c r="K207" s="20">
        <f t="shared" si="36"/>
        <v>21</v>
      </c>
      <c r="L207" s="19">
        <f t="shared" si="33"/>
        <v>105</v>
      </c>
      <c r="M207" s="8">
        <f t="shared" si="39"/>
        <v>8.0363408935782523</v>
      </c>
      <c r="N207" s="9">
        <f t="shared" si="40"/>
        <v>488882.31</v>
      </c>
      <c r="O207" s="10">
        <f t="shared" si="37"/>
        <v>3439942.5899999994</v>
      </c>
      <c r="P207" s="11">
        <f t="shared" si="38"/>
        <v>32761.357999999997</v>
      </c>
      <c r="Q207" s="23">
        <f t="shared" si="34"/>
        <v>3928824.8999999994</v>
      </c>
      <c r="R207" s="3">
        <f>VLOOKUP(B207,Buylist!B:B,1,FALSE)</f>
        <v>31213</v>
      </c>
      <c r="S207" s="3">
        <f>VLOOKUP(B207,Buylist!B:O,13,FALSE)</f>
        <v>0</v>
      </c>
      <c r="T207" s="78">
        <v>206</v>
      </c>
    </row>
    <row r="208" spans="1:20">
      <c r="A208" s="32" t="s">
        <v>13620</v>
      </c>
      <c r="B208" s="63">
        <f>VLOOKUP(A208,TypeIDs!B:C,2,FALSE)</f>
        <v>26088</v>
      </c>
      <c r="C208" s="36">
        <v>3486000</v>
      </c>
      <c r="D208" s="36">
        <f t="shared" si="31"/>
        <v>3659127</v>
      </c>
      <c r="E208" s="35">
        <f>INDEX(MARKET_INPUT[Column1.price],MATCH(B208,MARKET_INPUT[Column1.type_id]))</f>
        <v>4446000</v>
      </c>
      <c r="F208" s="35">
        <f t="shared" si="32"/>
        <v>4248153</v>
      </c>
      <c r="G208" s="18">
        <f>VLOOKUP(B208,TypeIDs!C:D,2,FALSE)</f>
        <v>20</v>
      </c>
      <c r="I208" s="15">
        <v>1.5</v>
      </c>
      <c r="J208" s="17">
        <f t="shared" si="35"/>
        <v>1090.3</v>
      </c>
      <c r="K208" s="20">
        <f t="shared" si="36"/>
        <v>10.5</v>
      </c>
      <c r="L208" s="19">
        <f t="shared" si="33"/>
        <v>210</v>
      </c>
      <c r="M208" s="8">
        <f t="shared" si="39"/>
        <v>1.1609744619413318</v>
      </c>
      <c r="N208" s="9">
        <f t="shared" si="40"/>
        <v>38420833.5</v>
      </c>
      <c r="O208" s="10">
        <f t="shared" si="37"/>
        <v>6184773</v>
      </c>
      <c r="P208" s="11">
        <f t="shared" si="38"/>
        <v>29451.3</v>
      </c>
      <c r="Q208" s="23">
        <f t="shared" si="34"/>
        <v>44605606.5</v>
      </c>
      <c r="R208" s="3" t="e">
        <f>VLOOKUP(B208,Buylist!B:B,1,FALSE)</f>
        <v>#N/A</v>
      </c>
      <c r="S208" s="3" t="e">
        <f>VLOOKUP(B208,Buylist!B:O,13,FALSE)</f>
        <v>#N/A</v>
      </c>
      <c r="T208" s="78">
        <v>207</v>
      </c>
    </row>
    <row r="209" spans="1:20">
      <c r="A209" s="28" t="s">
        <v>18093</v>
      </c>
      <c r="B209" s="63">
        <f>VLOOKUP(A209,TypeIDs!B:C,2,FALSE)</f>
        <v>31790</v>
      </c>
      <c r="C209" s="36">
        <v>846000</v>
      </c>
      <c r="D209" s="36">
        <f t="shared" si="31"/>
        <v>892647</v>
      </c>
      <c r="E209" s="35">
        <f>INDEX(MARKET_INPUT[Column1.price],MATCH(B209,MARKET_INPUT[Column1.type_id]))</f>
        <v>1324000</v>
      </c>
      <c r="F209" s="35">
        <f t="shared" si="32"/>
        <v>1265082</v>
      </c>
      <c r="G209" s="18">
        <f>VLOOKUP(B209,TypeIDs!C:D,2,FALSE)</f>
        <v>10</v>
      </c>
      <c r="I209" s="15">
        <v>24</v>
      </c>
      <c r="J209" s="17">
        <f t="shared" si="35"/>
        <v>4152.7999999999993</v>
      </c>
      <c r="K209" s="20">
        <f t="shared" si="36"/>
        <v>168</v>
      </c>
      <c r="L209" s="19">
        <f t="shared" si="33"/>
        <v>1680</v>
      </c>
      <c r="M209" s="8">
        <f t="shared" si="39"/>
        <v>1.4172253981697132</v>
      </c>
      <c r="N209" s="9">
        <f t="shared" si="40"/>
        <v>149964696</v>
      </c>
      <c r="O209" s="10">
        <f t="shared" si="37"/>
        <v>62569080</v>
      </c>
      <c r="P209" s="11">
        <f t="shared" si="38"/>
        <v>37243.5</v>
      </c>
      <c r="Q209" s="23">
        <f t="shared" si="34"/>
        <v>212533776</v>
      </c>
      <c r="R209" s="3" t="e">
        <f>VLOOKUP(B209,Buylist!B:B,1,FALSE)</f>
        <v>#N/A</v>
      </c>
      <c r="S209" s="3" t="e">
        <f>VLOOKUP(B209,Buylist!B:O,13,FALSE)</f>
        <v>#N/A</v>
      </c>
      <c r="T209" s="78">
        <v>208</v>
      </c>
    </row>
    <row r="210" spans="1:20">
      <c r="A210" s="28" t="s">
        <v>18021</v>
      </c>
      <c r="B210" s="63">
        <f>VLOOKUP(A210,TypeIDs!B:C,2,FALSE)</f>
        <v>31718</v>
      </c>
      <c r="C210" s="36">
        <v>77200</v>
      </c>
      <c r="D210" s="36">
        <f t="shared" si="31"/>
        <v>89635.4</v>
      </c>
      <c r="E210" s="35">
        <f>INDEX(MARKET_INPUT[Column1.price],MATCH(B210,MARKET_INPUT[Column1.type_id]))</f>
        <v>359900</v>
      </c>
      <c r="F210" s="35">
        <f t="shared" si="32"/>
        <v>343884.45</v>
      </c>
      <c r="G210" s="18">
        <f>VLOOKUP(B210,TypeIDs!C:D,2,FALSE)</f>
        <v>10</v>
      </c>
      <c r="I210" s="15">
        <v>9</v>
      </c>
      <c r="J210" s="17">
        <f t="shared" si="35"/>
        <v>185.96</v>
      </c>
      <c r="K210" s="20">
        <f t="shared" si="36"/>
        <v>63</v>
      </c>
      <c r="L210" s="19">
        <f t="shared" si="33"/>
        <v>630</v>
      </c>
      <c r="M210" s="8">
        <f t="shared" si="39"/>
        <v>3.8364803414722313</v>
      </c>
      <c r="N210" s="9">
        <f t="shared" si="40"/>
        <v>5647030.1999999993</v>
      </c>
      <c r="O210" s="10">
        <f t="shared" si="37"/>
        <v>16017690.15</v>
      </c>
      <c r="P210" s="11">
        <f t="shared" si="38"/>
        <v>25424.905000000002</v>
      </c>
      <c r="Q210" s="23">
        <f t="shared" si="34"/>
        <v>21664720.350000001</v>
      </c>
      <c r="R210" s="3">
        <f>VLOOKUP(B210,Buylist!B:B,1,FALSE)</f>
        <v>31718</v>
      </c>
      <c r="S210" s="3">
        <f>VLOOKUP(B210,Buylist!B:O,13,FALSE)</f>
        <v>0</v>
      </c>
      <c r="T210" s="78">
        <v>209</v>
      </c>
    </row>
    <row r="211" spans="1:20">
      <c r="A211" s="28" t="s">
        <v>18057</v>
      </c>
      <c r="B211" s="63">
        <f>VLOOKUP(A211,TypeIDs!B:C,2,FALSE)</f>
        <v>31754</v>
      </c>
      <c r="C211" s="36">
        <v>96960</v>
      </c>
      <c r="D211" s="36">
        <f t="shared" si="31"/>
        <v>110274.72</v>
      </c>
      <c r="E211" s="35">
        <f>INDEX(MARKET_INPUT[Column1.price],MATCH(B211,MARKET_INPUT[Column1.type_id]))</f>
        <v>1125000</v>
      </c>
      <c r="F211" s="35">
        <f t="shared" si="32"/>
        <v>1074937.5</v>
      </c>
      <c r="G211" s="18">
        <f>VLOOKUP(B211,TypeIDs!C:D,2,FALSE)</f>
        <v>10</v>
      </c>
      <c r="I211" s="15">
        <v>4</v>
      </c>
      <c r="J211" s="17">
        <f t="shared" si="35"/>
        <v>109.568</v>
      </c>
      <c r="K211" s="20">
        <f t="shared" si="36"/>
        <v>28</v>
      </c>
      <c r="L211" s="19">
        <f t="shared" si="33"/>
        <v>280</v>
      </c>
      <c r="M211" s="8">
        <f t="shared" si="39"/>
        <v>9.7478143676084592</v>
      </c>
      <c r="N211" s="9">
        <f t="shared" si="40"/>
        <v>3087692.16</v>
      </c>
      <c r="O211" s="10">
        <f t="shared" si="37"/>
        <v>27010557.84</v>
      </c>
      <c r="P211" s="11">
        <f t="shared" si="38"/>
        <v>96466.278000000006</v>
      </c>
      <c r="Q211" s="23">
        <f t="shared" si="34"/>
        <v>30098250</v>
      </c>
      <c r="R211" s="3">
        <f>VLOOKUP(B211,Buylist!B:B,1,FALSE)</f>
        <v>31754</v>
      </c>
      <c r="S211" s="3">
        <f>VLOOKUP(B211,Buylist!B:O,13,FALSE)</f>
        <v>0</v>
      </c>
      <c r="T211" s="78">
        <v>210</v>
      </c>
    </row>
    <row r="212" spans="1:20">
      <c r="A212" s="28" t="s">
        <v>18099</v>
      </c>
      <c r="B212" s="63">
        <f>VLOOKUP(A212,TypeIDs!B:C,2,FALSE)</f>
        <v>31796</v>
      </c>
      <c r="C212" s="36">
        <v>19500000</v>
      </c>
      <c r="D212" s="36">
        <f t="shared" si="31"/>
        <v>20376750</v>
      </c>
      <c r="E212" s="35">
        <f>INDEX(MARKET_INPUT[Column1.price],MATCH(B212,MARKET_INPUT[Column1.type_id]))</f>
        <v>20830000</v>
      </c>
      <c r="F212" s="35">
        <f t="shared" si="32"/>
        <v>19903065</v>
      </c>
      <c r="G212" s="18">
        <f>VLOOKUP(B212,TypeIDs!C:D,2,FALSE)</f>
        <v>10</v>
      </c>
      <c r="I212" s="15">
        <v>9</v>
      </c>
      <c r="J212" s="17">
        <f t="shared" si="35"/>
        <v>35147</v>
      </c>
      <c r="K212" s="20">
        <f t="shared" si="36"/>
        <v>63</v>
      </c>
      <c r="L212" s="19">
        <f t="shared" si="33"/>
        <v>630</v>
      </c>
      <c r="M212" s="8">
        <f t="shared" si="39"/>
        <v>0.97675365306047335</v>
      </c>
      <c r="N212" s="9">
        <f t="shared" si="40"/>
        <v>1283735250</v>
      </c>
      <c r="O212" s="10">
        <f t="shared" si="37"/>
        <v>-29842155</v>
      </c>
      <c r="P212" s="11">
        <f t="shared" si="38"/>
        <v>-47368.5</v>
      </c>
      <c r="Q212" s="23">
        <f t="shared" si="34"/>
        <v>1253893095</v>
      </c>
      <c r="R212" s="3" t="e">
        <f>VLOOKUP(B212,Buylist!B:B,1,FALSE)</f>
        <v>#N/A</v>
      </c>
      <c r="S212" s="3" t="e">
        <f>VLOOKUP(B212,Buylist!B:O,13,FALSE)</f>
        <v>#N/A</v>
      </c>
      <c r="T212" s="78">
        <v>211</v>
      </c>
    </row>
    <row r="213" spans="1:20">
      <c r="A213" s="28" t="s">
        <v>18111</v>
      </c>
      <c r="B213" s="63">
        <f>VLOOKUP(A213,TypeIDs!B:C,2,FALSE)</f>
        <v>31812</v>
      </c>
      <c r="C213" s="36">
        <v>18540000</v>
      </c>
      <c r="D213" s="36">
        <f t="shared" si="31"/>
        <v>19374030</v>
      </c>
      <c r="E213" s="35">
        <f>INDEX(MARKET_INPUT[Column1.price],MATCH(B213,MARKET_INPUT[Column1.type_id]))</f>
        <v>27490000</v>
      </c>
      <c r="F213" s="35">
        <f t="shared" si="32"/>
        <v>26266695</v>
      </c>
      <c r="G213" s="18">
        <f>VLOOKUP(B213,TypeIDs!C:D,2,FALSE)</f>
        <v>10</v>
      </c>
      <c r="I213" s="15">
        <v>3</v>
      </c>
      <c r="J213" s="17">
        <f t="shared" si="35"/>
        <v>11153</v>
      </c>
      <c r="K213" s="20">
        <f t="shared" si="36"/>
        <v>21</v>
      </c>
      <c r="L213" s="19">
        <f t="shared" si="33"/>
        <v>210</v>
      </c>
      <c r="M213" s="8">
        <f t="shared" si="39"/>
        <v>1.3557682629788432</v>
      </c>
      <c r="N213" s="9">
        <f t="shared" si="40"/>
        <v>406854630</v>
      </c>
      <c r="O213" s="10">
        <f t="shared" si="37"/>
        <v>144745965</v>
      </c>
      <c r="P213" s="11">
        <f t="shared" si="38"/>
        <v>689266.5</v>
      </c>
      <c r="Q213" s="23">
        <f t="shared" si="34"/>
        <v>551600595</v>
      </c>
      <c r="R213" s="3" t="e">
        <f>VLOOKUP(B213,Buylist!B:B,1,FALSE)</f>
        <v>#N/A</v>
      </c>
      <c r="S213" s="3" t="e">
        <f>VLOOKUP(B213,Buylist!B:O,13,FALSE)</f>
        <v>#N/A</v>
      </c>
      <c r="T213" s="78">
        <v>212</v>
      </c>
    </row>
    <row r="214" spans="1:20">
      <c r="A214" s="28" t="s">
        <v>18027</v>
      </c>
      <c r="B214" s="63">
        <f>VLOOKUP(A214,TypeIDs!B:C,2,FALSE)</f>
        <v>31724</v>
      </c>
      <c r="C214" s="36">
        <v>3793000</v>
      </c>
      <c r="D214" s="36">
        <f t="shared" si="31"/>
        <v>3970788.5</v>
      </c>
      <c r="E214" s="35">
        <f>INDEX(MARKET_INPUT[Column1.price],MATCH(B214,MARKET_INPUT[Column1.type_id]))</f>
        <v>6488000</v>
      </c>
      <c r="F214" s="35">
        <f t="shared" si="32"/>
        <v>6199284</v>
      </c>
      <c r="G214" s="18">
        <f>VLOOKUP(B214,TypeIDs!C:D,2,FALSE)</f>
        <v>10</v>
      </c>
      <c r="I214" s="15">
        <v>12</v>
      </c>
      <c r="J214" s="17">
        <f t="shared" si="35"/>
        <v>9159.1999999999989</v>
      </c>
      <c r="K214" s="20">
        <f t="shared" si="36"/>
        <v>84</v>
      </c>
      <c r="L214" s="19">
        <f t="shared" si="33"/>
        <v>840</v>
      </c>
      <c r="M214" s="8">
        <f t="shared" si="39"/>
        <v>1.5612224121229323</v>
      </c>
      <c r="N214" s="9">
        <f t="shared" si="40"/>
        <v>333546234</v>
      </c>
      <c r="O214" s="10">
        <f t="shared" si="37"/>
        <v>187193622</v>
      </c>
      <c r="P214" s="11">
        <f t="shared" si="38"/>
        <v>222849.55</v>
      </c>
      <c r="Q214" s="23">
        <f t="shared" si="34"/>
        <v>520739856</v>
      </c>
      <c r="R214" s="3">
        <f>VLOOKUP(B214,Buylist!B:B,1,FALSE)</f>
        <v>31724</v>
      </c>
      <c r="S214" s="3">
        <f>VLOOKUP(B214,Buylist!B:O,13,FALSE)</f>
        <v>0</v>
      </c>
      <c r="T214" s="78">
        <v>213</v>
      </c>
    </row>
    <row r="215" spans="1:20">
      <c r="A215" s="28" t="s">
        <v>18063</v>
      </c>
      <c r="B215" s="63">
        <f>VLOOKUP(A215,TypeIDs!B:C,2,FALSE)</f>
        <v>31760</v>
      </c>
      <c r="C215" s="36">
        <v>3099000</v>
      </c>
      <c r="D215" s="36">
        <f t="shared" si="31"/>
        <v>3245905.5</v>
      </c>
      <c r="E215" s="35">
        <f>INDEX(MARKET_INPUT[Column1.price],MATCH(B215,MARKET_INPUT[Column1.type_id]))</f>
        <v>5461000</v>
      </c>
      <c r="F215" s="35">
        <f t="shared" si="32"/>
        <v>5217985.5</v>
      </c>
      <c r="G215" s="18">
        <f>VLOOKUP(B215,TypeIDs!C:D,2,FALSE)</f>
        <v>10</v>
      </c>
      <c r="I215" s="15">
        <v>3</v>
      </c>
      <c r="J215" s="17">
        <f t="shared" si="35"/>
        <v>1888.3999999999999</v>
      </c>
      <c r="K215" s="20">
        <f t="shared" si="36"/>
        <v>21</v>
      </c>
      <c r="L215" s="19">
        <f t="shared" si="33"/>
        <v>210</v>
      </c>
      <c r="M215" s="8">
        <f t="shared" si="39"/>
        <v>1.6075592773726777</v>
      </c>
      <c r="N215" s="9">
        <f t="shared" si="40"/>
        <v>68164015.5</v>
      </c>
      <c r="O215" s="10">
        <f t="shared" si="37"/>
        <v>41413680</v>
      </c>
      <c r="P215" s="11">
        <f t="shared" si="38"/>
        <v>197208</v>
      </c>
      <c r="Q215" s="23">
        <f t="shared" si="34"/>
        <v>109577695.5</v>
      </c>
      <c r="R215" s="3" t="e">
        <f>VLOOKUP(B215,Buylist!B:B,1,FALSE)</f>
        <v>#N/A</v>
      </c>
      <c r="S215" s="3" t="e">
        <f>VLOOKUP(B215,Buylist!B:O,13,FALSE)</f>
        <v>#N/A</v>
      </c>
      <c r="T215" s="78">
        <v>214</v>
      </c>
    </row>
    <row r="216" spans="1:20">
      <c r="A216" s="28" t="s">
        <v>18091</v>
      </c>
      <c r="B216" s="63">
        <f>VLOOKUP(A216,TypeIDs!B:C,2,FALSE)</f>
        <v>31788</v>
      </c>
      <c r="C216" s="36">
        <v>175200</v>
      </c>
      <c r="D216" s="36">
        <f t="shared" si="31"/>
        <v>187496.4</v>
      </c>
      <c r="E216" s="35">
        <f>INDEX(MARKET_INPUT[Column1.price],MATCH(B216,MARKET_INPUT[Column1.type_id]))</f>
        <v>299800</v>
      </c>
      <c r="F216" s="35">
        <f t="shared" si="32"/>
        <v>286458.90000000002</v>
      </c>
      <c r="G216" s="18">
        <f>VLOOKUP(B216,TypeIDs!C:D,2,FALSE)</f>
        <v>5</v>
      </c>
      <c r="I216" s="15">
        <v>6</v>
      </c>
      <c r="J216" s="17">
        <f t="shared" si="35"/>
        <v>238.23999999999998</v>
      </c>
      <c r="K216" s="20">
        <f t="shared" si="36"/>
        <v>42</v>
      </c>
      <c r="L216" s="19">
        <f t="shared" si="33"/>
        <v>210</v>
      </c>
      <c r="M216" s="8">
        <f t="shared" si="39"/>
        <v>1.527810133954572</v>
      </c>
      <c r="N216" s="9">
        <f t="shared" si="40"/>
        <v>7874848.7999999998</v>
      </c>
      <c r="O216" s="10">
        <f t="shared" si="37"/>
        <v>4156425.0000000014</v>
      </c>
      <c r="P216" s="11">
        <f t="shared" si="38"/>
        <v>19792.500000000007</v>
      </c>
      <c r="Q216" s="23">
        <f t="shared" si="34"/>
        <v>12031273.800000001</v>
      </c>
      <c r="R216" s="3">
        <f>VLOOKUP(B216,Buylist!B:B,1,FALSE)</f>
        <v>31788</v>
      </c>
      <c r="S216" s="3">
        <f>VLOOKUP(B216,Buylist!B:O,13,FALSE)</f>
        <v>0</v>
      </c>
      <c r="T216" s="78">
        <v>215</v>
      </c>
    </row>
    <row r="217" spans="1:20">
      <c r="A217" s="28" t="s">
        <v>18019</v>
      </c>
      <c r="B217" s="63">
        <f>VLOOKUP(A217,TypeIDs!B:C,2,FALSE)</f>
        <v>31716</v>
      </c>
      <c r="C217" s="36">
        <v>17300</v>
      </c>
      <c r="D217" s="36">
        <f t="shared" si="31"/>
        <v>22569.85</v>
      </c>
      <c r="E217" s="35">
        <f>INDEX(MARKET_INPUT[Column1.price],MATCH(B217,MARKET_INPUT[Column1.type_id]))</f>
        <v>89990</v>
      </c>
      <c r="F217" s="35">
        <f t="shared" si="32"/>
        <v>85985.445000000007</v>
      </c>
      <c r="G217" s="18">
        <f>VLOOKUP(B217,TypeIDs!C:D,2,FALSE)</f>
        <v>5</v>
      </c>
      <c r="I217" s="15">
        <v>3</v>
      </c>
      <c r="J217" s="17">
        <f t="shared" si="35"/>
        <v>29.38</v>
      </c>
      <c r="K217" s="20">
        <f t="shared" si="36"/>
        <v>21</v>
      </c>
      <c r="L217" s="19">
        <f t="shared" si="33"/>
        <v>105</v>
      </c>
      <c r="M217" s="8">
        <f t="shared" si="39"/>
        <v>3.8097481817557499</v>
      </c>
      <c r="N217" s="9">
        <f t="shared" si="40"/>
        <v>473966.85</v>
      </c>
      <c r="O217" s="10">
        <f t="shared" si="37"/>
        <v>1331727.4950000001</v>
      </c>
      <c r="P217" s="11">
        <f t="shared" si="38"/>
        <v>12683.119000000002</v>
      </c>
      <c r="Q217" s="23">
        <f t="shared" si="34"/>
        <v>1805694.3450000002</v>
      </c>
      <c r="R217" s="3" t="e">
        <f>VLOOKUP(B217,Buylist!B:B,1,FALSE)</f>
        <v>#N/A</v>
      </c>
      <c r="S217" s="3" t="e">
        <f>VLOOKUP(B217,Buylist!B:O,13,FALSE)</f>
        <v>#N/A</v>
      </c>
      <c r="T217" s="78">
        <v>216</v>
      </c>
    </row>
    <row r="218" spans="1:20">
      <c r="A218" s="28" t="s">
        <v>18097</v>
      </c>
      <c r="B218" s="63">
        <f>VLOOKUP(A218,TypeIDs!B:C,2,FALSE)</f>
        <v>31794</v>
      </c>
      <c r="C218" s="36">
        <v>6075000</v>
      </c>
      <c r="D218" s="36">
        <f t="shared" si="31"/>
        <v>6349837.5</v>
      </c>
      <c r="E218" s="35">
        <f>INDEX(MARKET_INPUT[Column1.price],MATCH(B218,MARKET_INPUT[Column1.type_id]))</f>
        <v>7876000</v>
      </c>
      <c r="F218" s="35">
        <f t="shared" si="32"/>
        <v>7525518</v>
      </c>
      <c r="G218" s="18">
        <f>VLOOKUP(B218,TypeIDs!C:D,2,FALSE)</f>
        <v>5</v>
      </c>
      <c r="I218" s="15">
        <v>6</v>
      </c>
      <c r="J218" s="17">
        <f t="shared" si="35"/>
        <v>7318</v>
      </c>
      <c r="K218" s="20">
        <f t="shared" si="36"/>
        <v>42</v>
      </c>
      <c r="L218" s="19">
        <f t="shared" si="33"/>
        <v>210</v>
      </c>
      <c r="M218" s="8">
        <f t="shared" si="39"/>
        <v>1.1851512735562131</v>
      </c>
      <c r="N218" s="9">
        <f t="shared" si="40"/>
        <v>266693175</v>
      </c>
      <c r="O218" s="10">
        <f t="shared" si="37"/>
        <v>49378581</v>
      </c>
      <c r="P218" s="11">
        <f t="shared" si="38"/>
        <v>235136.1</v>
      </c>
      <c r="Q218" s="23">
        <f t="shared" si="34"/>
        <v>316071756</v>
      </c>
      <c r="R218" s="3" t="e">
        <f>VLOOKUP(B218,Buylist!B:B,1,FALSE)</f>
        <v>#N/A</v>
      </c>
      <c r="S218" s="3" t="e">
        <f>VLOOKUP(B218,Buylist!B:O,13,FALSE)</f>
        <v>#N/A</v>
      </c>
      <c r="T218" s="78">
        <v>217</v>
      </c>
    </row>
    <row r="219" spans="1:20">
      <c r="A219" s="28" t="s">
        <v>18025</v>
      </c>
      <c r="B219" s="63">
        <f>VLOOKUP(A219,TypeIDs!B:C,2,FALSE)</f>
        <v>31722</v>
      </c>
      <c r="C219" s="36">
        <v>1694000</v>
      </c>
      <c r="D219" s="36">
        <f t="shared" si="31"/>
        <v>1773883</v>
      </c>
      <c r="E219" s="35">
        <f>INDEX(MARKET_INPUT[Column1.price],MATCH(B219,MARKET_INPUT[Column1.type_id]))</f>
        <v>3408000</v>
      </c>
      <c r="F219" s="35">
        <f t="shared" si="32"/>
        <v>3256344</v>
      </c>
      <c r="G219" s="18">
        <f>VLOOKUP(B219,TypeIDs!C:D,2,FALSE)</f>
        <v>5</v>
      </c>
      <c r="I219" s="15">
        <v>3</v>
      </c>
      <c r="J219" s="17">
        <f t="shared" si="35"/>
        <v>1035.4000000000001</v>
      </c>
      <c r="K219" s="20">
        <f t="shared" si="36"/>
        <v>21</v>
      </c>
      <c r="L219" s="19">
        <f t="shared" si="33"/>
        <v>105</v>
      </c>
      <c r="M219" s="8">
        <f t="shared" si="39"/>
        <v>1.8357152078237404</v>
      </c>
      <c r="N219" s="9">
        <f t="shared" si="40"/>
        <v>37251543</v>
      </c>
      <c r="O219" s="10">
        <f t="shared" si="37"/>
        <v>31131681</v>
      </c>
      <c r="P219" s="11">
        <f t="shared" si="38"/>
        <v>296492.2</v>
      </c>
      <c r="Q219" s="23">
        <f t="shared" si="34"/>
        <v>68383224</v>
      </c>
      <c r="R219" s="3" t="e">
        <f>VLOOKUP(B219,Buylist!B:B,1,FALSE)</f>
        <v>#N/A</v>
      </c>
      <c r="S219" s="3" t="e">
        <f>VLOOKUP(B219,Buylist!B:O,13,FALSE)</f>
        <v>#N/A</v>
      </c>
      <c r="T219" s="78">
        <v>218</v>
      </c>
    </row>
    <row r="220" spans="1:20">
      <c r="A220" s="28" t="s">
        <v>17579</v>
      </c>
      <c r="B220" s="63">
        <f>VLOOKUP(A220,TypeIDs!B:C,2,FALSE)</f>
        <v>31276</v>
      </c>
      <c r="C220" s="36">
        <v>648600</v>
      </c>
      <c r="D220" s="36">
        <f t="shared" si="31"/>
        <v>686462.7</v>
      </c>
      <c r="E220" s="35">
        <f>INDEX(MARKET_INPUT[Column1.price],MATCH(B220,MARKET_INPUT[Column1.type_id]))</f>
        <v>3472000</v>
      </c>
      <c r="F220" s="35">
        <f t="shared" si="32"/>
        <v>3317496</v>
      </c>
      <c r="G220" s="18">
        <f>VLOOKUP(B220,TypeIDs!C:D,2,FALSE)</f>
        <v>10</v>
      </c>
      <c r="I220" s="15">
        <v>3</v>
      </c>
      <c r="J220" s="17">
        <f t="shared" si="35"/>
        <v>418.15999999999997</v>
      </c>
      <c r="K220" s="20">
        <f t="shared" si="36"/>
        <v>21</v>
      </c>
      <c r="L220" s="19">
        <f t="shared" si="33"/>
        <v>210</v>
      </c>
      <c r="M220" s="8">
        <f t="shared" si="39"/>
        <v>4.8327403659368535</v>
      </c>
      <c r="N220" s="9">
        <f t="shared" si="40"/>
        <v>14415716.699999999</v>
      </c>
      <c r="O220" s="10">
        <f t="shared" si="37"/>
        <v>55251699.299999997</v>
      </c>
      <c r="P220" s="11">
        <f t="shared" si="38"/>
        <v>263103.32999999996</v>
      </c>
      <c r="Q220" s="23">
        <f t="shared" si="34"/>
        <v>69667416</v>
      </c>
      <c r="R220" s="3" t="e">
        <f>VLOOKUP(B220,Buylist!B:B,1,FALSE)</f>
        <v>#N/A</v>
      </c>
      <c r="S220" s="3" t="e">
        <f>VLOOKUP(B220,Buylist!B:O,13,FALSE)</f>
        <v>#N/A</v>
      </c>
      <c r="T220" s="78">
        <v>219</v>
      </c>
    </row>
    <row r="221" spans="1:20">
      <c r="A221" s="13" t="s">
        <v>3010</v>
      </c>
      <c r="B221" s="63">
        <f>VLOOKUP(A221,TypeIDs!B:C,2,FALSE)</f>
        <v>4393</v>
      </c>
      <c r="C221" s="36">
        <v>53620</v>
      </c>
      <c r="D221" s="36">
        <f t="shared" si="31"/>
        <v>60506.09</v>
      </c>
      <c r="E221" s="35">
        <f>INDEX(MARKET_INPUT[Column1.price],MATCH(B221,MARKET_INPUT[Column1.type_id]))</f>
        <v>124900</v>
      </c>
      <c r="F221" s="35">
        <f t="shared" si="32"/>
        <v>119341.95</v>
      </c>
      <c r="G221" s="18">
        <f>VLOOKUP(B221,TypeIDs!C:D,2,FALSE)</f>
        <v>5</v>
      </c>
      <c r="I221" s="15">
        <v>2</v>
      </c>
      <c r="J221" s="17">
        <f t="shared" si="35"/>
        <v>37.448</v>
      </c>
      <c r="K221" s="20">
        <f t="shared" si="36"/>
        <v>14</v>
      </c>
      <c r="L221" s="19">
        <f t="shared" si="33"/>
        <v>70</v>
      </c>
      <c r="M221" s="8">
        <f t="shared" si="39"/>
        <v>1.9723956712456547</v>
      </c>
      <c r="N221" s="9">
        <f t="shared" si="40"/>
        <v>847085.26</v>
      </c>
      <c r="O221" s="10">
        <f t="shared" si="37"/>
        <v>823702.04</v>
      </c>
      <c r="P221" s="11">
        <f t="shared" si="38"/>
        <v>11767.172</v>
      </c>
      <c r="Q221" s="23">
        <f t="shared" si="34"/>
        <v>1670787.3</v>
      </c>
      <c r="R221" s="3" t="e">
        <f>VLOOKUP(B221,Buylist!B:B,1,FALSE)</f>
        <v>#N/A</v>
      </c>
      <c r="S221" s="3" t="e">
        <f>VLOOKUP(B221,Buylist!B:O,13,FALSE)</f>
        <v>#N/A</v>
      </c>
      <c r="T221" s="78">
        <v>220</v>
      </c>
    </row>
    <row r="222" spans="1:20">
      <c r="A222" s="13" t="s">
        <v>11696</v>
      </c>
      <c r="B222" s="63">
        <f>VLOOKUP(A222,TypeIDs!B:C,2,FALSE)</f>
        <v>23527</v>
      </c>
      <c r="C222" s="36">
        <v>227500</v>
      </c>
      <c r="D222" s="36">
        <f t="shared" si="31"/>
        <v>260123.75</v>
      </c>
      <c r="E222" s="35">
        <f>INDEX(MARKET_INPUT[Column1.price],MATCH(B222,MARKET_INPUT[Column1.type_id]))</f>
        <v>399800</v>
      </c>
      <c r="F222" s="35">
        <f t="shared" si="32"/>
        <v>382008.9</v>
      </c>
      <c r="G222" s="18">
        <f>VLOOKUP(B222,TypeIDs!C:D,2,FALSE)</f>
        <v>25</v>
      </c>
      <c r="I222" s="15">
        <v>4</v>
      </c>
      <c r="J222" s="17">
        <f t="shared" si="35"/>
        <v>244</v>
      </c>
      <c r="K222" s="20">
        <f t="shared" si="36"/>
        <v>28</v>
      </c>
      <c r="L222" s="19">
        <f t="shared" si="33"/>
        <v>700</v>
      </c>
      <c r="M222" s="8">
        <f t="shared" si="39"/>
        <v>1.4685660190582368</v>
      </c>
      <c r="N222" s="9">
        <f t="shared" si="40"/>
        <v>7283465</v>
      </c>
      <c r="O222" s="10">
        <f t="shared" si="37"/>
        <v>3412784.2000000007</v>
      </c>
      <c r="P222" s="11">
        <f t="shared" si="38"/>
        <v>4875.4060000000009</v>
      </c>
      <c r="Q222" s="23">
        <f t="shared" si="34"/>
        <v>10696249.200000001</v>
      </c>
      <c r="R222" s="3" t="e">
        <f>VLOOKUP(B222,Buylist!B:B,1,FALSE)</f>
        <v>#N/A</v>
      </c>
      <c r="S222" s="3" t="e">
        <f>VLOOKUP(B222,Buylist!B:O,13,FALSE)</f>
        <v>#N/A</v>
      </c>
      <c r="T222" s="78">
        <v>221</v>
      </c>
    </row>
    <row r="223" spans="1:20">
      <c r="A223" s="33" t="s">
        <v>12464</v>
      </c>
      <c r="B223" s="63">
        <f>VLOOKUP(A223,TypeIDs!B:C,2,FALSE)</f>
        <v>24395</v>
      </c>
      <c r="C223" s="36">
        <v>300000</v>
      </c>
      <c r="D223" s="36">
        <f t="shared" si="31"/>
        <v>335850</v>
      </c>
      <c r="E223" s="35">
        <f>INDEX(MARKET_INPUT[Column1.price],MATCH(B223,MARKET_INPUT[Column1.type_id]))</f>
        <v>692700</v>
      </c>
      <c r="F223" s="35">
        <f t="shared" si="32"/>
        <v>661874.85</v>
      </c>
      <c r="G223" s="18">
        <f>VLOOKUP(B223,TypeIDs!C:D,2,FALSE)</f>
        <v>25</v>
      </c>
      <c r="I223" s="15">
        <v>2</v>
      </c>
      <c r="J223" s="17">
        <f t="shared" si="35"/>
        <v>176</v>
      </c>
      <c r="K223" s="20">
        <f t="shared" si="36"/>
        <v>14</v>
      </c>
      <c r="L223" s="19">
        <f t="shared" si="33"/>
        <v>350</v>
      </c>
      <c r="M223" s="8">
        <f t="shared" si="39"/>
        <v>1.9707454220634211</v>
      </c>
      <c r="N223" s="9">
        <f t="shared" si="40"/>
        <v>4701900</v>
      </c>
      <c r="O223" s="10">
        <f t="shared" si="37"/>
        <v>4564347.8999999994</v>
      </c>
      <c r="P223" s="11">
        <f t="shared" si="38"/>
        <v>13040.993999999999</v>
      </c>
      <c r="Q223" s="23">
        <f t="shared" si="34"/>
        <v>9266247.8999999985</v>
      </c>
      <c r="R223" s="3" t="e">
        <f>VLOOKUP(B223,Buylist!B:B,1,FALSE)</f>
        <v>#N/A</v>
      </c>
      <c r="S223" s="3" t="e">
        <f>VLOOKUP(B223,Buylist!B:O,13,FALSE)</f>
        <v>#N/A</v>
      </c>
      <c r="T223" s="78">
        <v>222</v>
      </c>
    </row>
    <row r="224" spans="1:20">
      <c r="A224" s="13" t="s">
        <v>3022</v>
      </c>
      <c r="B224" s="63">
        <f>VLOOKUP(A224,TypeIDs!B:C,2,FALSE)</f>
        <v>4405</v>
      </c>
      <c r="C224" s="36">
        <v>1208000</v>
      </c>
      <c r="D224" s="36">
        <f t="shared" si="31"/>
        <v>1266256</v>
      </c>
      <c r="E224" s="35">
        <f>INDEX(MARKET_INPUT[Column1.price],MATCH(B224,MARKET_INPUT[Column1.type_id]))</f>
        <v>1197000</v>
      </c>
      <c r="F224" s="35">
        <f t="shared" si="32"/>
        <v>1143733.5</v>
      </c>
      <c r="G224" s="18">
        <f>VLOOKUP(B224,TypeIDs!C:D,2,FALSE)</f>
        <v>5</v>
      </c>
      <c r="I224" s="15">
        <v>30</v>
      </c>
      <c r="J224" s="17">
        <f t="shared" si="35"/>
        <v>7348</v>
      </c>
      <c r="K224" s="20">
        <f t="shared" si="36"/>
        <v>210</v>
      </c>
      <c r="L224" s="19">
        <f t="shared" si="33"/>
        <v>1050</v>
      </c>
      <c r="M224" s="8">
        <f t="shared" si="39"/>
        <v>0.90324034002602949</v>
      </c>
      <c r="N224" s="9">
        <f t="shared" si="40"/>
        <v>265913760</v>
      </c>
      <c r="O224" s="10">
        <f t="shared" si="37"/>
        <v>-25729725</v>
      </c>
      <c r="P224" s="11">
        <f t="shared" si="38"/>
        <v>-24504.5</v>
      </c>
      <c r="Q224" s="23">
        <f t="shared" si="34"/>
        <v>240184035</v>
      </c>
      <c r="R224" s="3" t="e">
        <f>VLOOKUP(B224,Buylist!B:B,1,FALSE)</f>
        <v>#N/A</v>
      </c>
      <c r="S224" s="3" t="e">
        <f>VLOOKUP(B224,Buylist!B:O,13,FALSE)</f>
        <v>#N/A</v>
      </c>
      <c r="T224" s="78">
        <v>223</v>
      </c>
    </row>
    <row r="225" spans="1:20">
      <c r="A225" s="13" t="s">
        <v>12470</v>
      </c>
      <c r="B225" s="63">
        <f>VLOOKUP(A225,TypeIDs!B:C,2,FALSE)</f>
        <v>24427</v>
      </c>
      <c r="C225" s="36">
        <v>1262000</v>
      </c>
      <c r="D225" s="36">
        <f t="shared" si="31"/>
        <v>1340659</v>
      </c>
      <c r="E225" s="35">
        <f>INDEX(MARKET_INPUT[Column1.price],MATCH(B225,MARKET_INPUT[Column1.type_id]))</f>
        <v>1875000</v>
      </c>
      <c r="F225" s="35">
        <f t="shared" si="32"/>
        <v>1791562.5</v>
      </c>
      <c r="G225" s="18">
        <f>VLOOKUP(B225,TypeIDs!C:D,2,FALSE)</f>
        <v>25</v>
      </c>
      <c r="I225" s="15">
        <v>7</v>
      </c>
      <c r="J225" s="17">
        <f t="shared" si="35"/>
        <v>1837.8</v>
      </c>
      <c r="K225" s="20">
        <f t="shared" si="36"/>
        <v>49</v>
      </c>
      <c r="L225" s="19">
        <f t="shared" si="33"/>
        <v>1225</v>
      </c>
      <c r="M225" s="8">
        <f t="shared" si="39"/>
        <v>1.3363297452969025</v>
      </c>
      <c r="N225" s="9">
        <f t="shared" si="40"/>
        <v>65692291</v>
      </c>
      <c r="O225" s="10">
        <f t="shared" si="37"/>
        <v>22094271.5</v>
      </c>
      <c r="P225" s="11">
        <f t="shared" si="38"/>
        <v>18036.14</v>
      </c>
      <c r="Q225" s="23">
        <f t="shared" si="34"/>
        <v>87786562.5</v>
      </c>
      <c r="R225" s="3" t="e">
        <f>VLOOKUP(B225,Buylist!B:B,1,FALSE)</f>
        <v>#N/A</v>
      </c>
      <c r="S225" s="3" t="e">
        <f>VLOOKUP(B225,Buylist!B:O,13,FALSE)</f>
        <v>#N/A</v>
      </c>
      <c r="T225" s="78">
        <v>224</v>
      </c>
    </row>
    <row r="226" spans="1:20">
      <c r="A226" s="13" t="s">
        <v>12468</v>
      </c>
      <c r="B226" s="63">
        <f>VLOOKUP(A226,TypeIDs!B:C,2,FALSE)</f>
        <v>24417</v>
      </c>
      <c r="C226" s="36">
        <v>1287000</v>
      </c>
      <c r="D226" s="36">
        <f t="shared" si="31"/>
        <v>1348771.5</v>
      </c>
      <c r="E226" s="35">
        <f>INDEX(MARKET_INPUT[Column1.price],MATCH(B226,MARKET_INPUT[Column1.type_id]))</f>
        <v>1726000</v>
      </c>
      <c r="F226" s="35">
        <f t="shared" si="32"/>
        <v>1649193</v>
      </c>
      <c r="G226" s="18">
        <f>VLOOKUP(B226,TypeIDs!C:D,2,FALSE)</f>
        <v>5</v>
      </c>
      <c r="I226" s="15">
        <v>7</v>
      </c>
      <c r="J226" s="17">
        <f t="shared" si="35"/>
        <v>1832.8</v>
      </c>
      <c r="K226" s="20">
        <f t="shared" si="36"/>
        <v>49</v>
      </c>
      <c r="L226" s="19">
        <f t="shared" si="33"/>
        <v>245</v>
      </c>
      <c r="M226" s="8">
        <f t="shared" si="39"/>
        <v>1.2227371352375105</v>
      </c>
      <c r="N226" s="9">
        <f t="shared" si="40"/>
        <v>66089803.5</v>
      </c>
      <c r="O226" s="10">
        <f t="shared" si="37"/>
        <v>14720653.5</v>
      </c>
      <c r="P226" s="11">
        <f t="shared" si="38"/>
        <v>60084.3</v>
      </c>
      <c r="Q226" s="23">
        <f t="shared" si="34"/>
        <v>80810457</v>
      </c>
      <c r="R226" s="3" t="e">
        <f>VLOOKUP(B226,Buylist!B:B,1,FALSE)</f>
        <v>#N/A</v>
      </c>
      <c r="S226" s="3" t="e">
        <f>VLOOKUP(B226,Buylist!B:O,13,FALSE)</f>
        <v>#N/A</v>
      </c>
      <c r="T226" s="78">
        <v>225</v>
      </c>
    </row>
    <row r="227" spans="1:20">
      <c r="A227" s="13" t="s">
        <v>19509</v>
      </c>
      <c r="B227" s="63">
        <f>VLOOKUP(A227,TypeIDs!B:C,2,FALSE)</f>
        <v>33824</v>
      </c>
      <c r="C227" s="36">
        <v>617500</v>
      </c>
      <c r="D227" s="36">
        <f t="shared" si="31"/>
        <v>649478.75</v>
      </c>
      <c r="E227" s="35">
        <f>INDEX(MARKET_INPUT[Column1.price],MATCH(B227,MARKET_INPUT[Column1.type_id]))</f>
        <v>1385000</v>
      </c>
      <c r="F227" s="35">
        <f t="shared" si="32"/>
        <v>1323367.5</v>
      </c>
      <c r="G227" s="18">
        <f>VLOOKUP(B227,TypeIDs!C:D,2,FALSE)</f>
        <v>5</v>
      </c>
      <c r="I227" s="15">
        <v>3</v>
      </c>
      <c r="J227" s="17">
        <f t="shared" si="35"/>
        <v>389.5</v>
      </c>
      <c r="K227" s="20">
        <f t="shared" si="36"/>
        <v>21</v>
      </c>
      <c r="L227" s="19">
        <f t="shared" si="33"/>
        <v>105</v>
      </c>
      <c r="M227" s="8">
        <f t="shared" si="39"/>
        <v>2.037583985619237</v>
      </c>
      <c r="N227" s="9">
        <f t="shared" si="40"/>
        <v>13639053.75</v>
      </c>
      <c r="O227" s="10">
        <f t="shared" si="37"/>
        <v>14151663.75</v>
      </c>
      <c r="P227" s="11">
        <f t="shared" si="38"/>
        <v>134777.75</v>
      </c>
      <c r="Q227" s="23">
        <f t="shared" si="34"/>
        <v>27790717.5</v>
      </c>
      <c r="R227" s="3" t="e">
        <f>VLOOKUP(B227,Buylist!B:B,1,FALSE)</f>
        <v>#N/A</v>
      </c>
      <c r="S227" s="3" t="e">
        <f>VLOOKUP(B227,Buylist!B:O,13,FALSE)</f>
        <v>#N/A</v>
      </c>
      <c r="T227" s="78">
        <v>226</v>
      </c>
    </row>
    <row r="228" spans="1:20">
      <c r="A228" s="13" t="s">
        <v>12473</v>
      </c>
      <c r="B228" s="63">
        <f>VLOOKUP(A228,TypeIDs!B:C,2,FALSE)</f>
        <v>24438</v>
      </c>
      <c r="C228" s="36">
        <v>1265000</v>
      </c>
      <c r="D228" s="36">
        <f t="shared" si="31"/>
        <v>1325792.5</v>
      </c>
      <c r="E228" s="35">
        <f>INDEX(MARKET_INPUT[Column1.price],MATCH(B228,MARKET_INPUT[Column1.type_id]))</f>
        <v>1875000</v>
      </c>
      <c r="F228" s="35">
        <f t="shared" si="32"/>
        <v>1791562.5</v>
      </c>
      <c r="G228" s="18">
        <f>VLOOKUP(B228,TypeIDs!C:D,2,FALSE)</f>
        <v>5</v>
      </c>
      <c r="I228" s="15">
        <v>4</v>
      </c>
      <c r="J228" s="17">
        <f t="shared" si="35"/>
        <v>1034</v>
      </c>
      <c r="K228" s="20">
        <f t="shared" si="36"/>
        <v>28</v>
      </c>
      <c r="L228" s="19">
        <f t="shared" si="33"/>
        <v>140</v>
      </c>
      <c r="M228" s="8">
        <f t="shared" si="39"/>
        <v>1.3513144025177395</v>
      </c>
      <c r="N228" s="9">
        <f t="shared" si="40"/>
        <v>37122190</v>
      </c>
      <c r="O228" s="10">
        <f t="shared" si="37"/>
        <v>13041560</v>
      </c>
      <c r="P228" s="11">
        <f t="shared" si="38"/>
        <v>93154</v>
      </c>
      <c r="Q228" s="23">
        <f t="shared" si="34"/>
        <v>50163750</v>
      </c>
      <c r="R228" s="3" t="e">
        <f>VLOOKUP(B228,Buylist!B:B,1,FALSE)</f>
        <v>#N/A</v>
      </c>
      <c r="S228" s="3" t="e">
        <f>VLOOKUP(B228,Buylist!B:O,13,FALSE)</f>
        <v>#N/A</v>
      </c>
      <c r="T228" s="78">
        <v>227</v>
      </c>
    </row>
    <row r="229" spans="1:20">
      <c r="A229" s="13" t="s">
        <v>19512</v>
      </c>
      <c r="B229" s="63">
        <f>VLOOKUP(A229,TypeIDs!B:C,2,FALSE)</f>
        <v>33828</v>
      </c>
      <c r="C229" s="36">
        <v>3238000</v>
      </c>
      <c r="D229" s="36">
        <f t="shared" si="31"/>
        <v>3386591</v>
      </c>
      <c r="E229" s="35">
        <f>INDEX(MARKET_INPUT[Column1.price],MATCH(B229,MARKET_INPUT[Column1.type_id]))</f>
        <v>5000000</v>
      </c>
      <c r="F229" s="35">
        <f t="shared" si="32"/>
        <v>4777500</v>
      </c>
      <c r="G229" s="18">
        <f>VLOOKUP(B229,TypeIDs!C:D,2,FALSE)</f>
        <v>5</v>
      </c>
      <c r="I229" s="15">
        <v>1</v>
      </c>
      <c r="J229" s="17">
        <f t="shared" si="35"/>
        <v>660.6</v>
      </c>
      <c r="K229" s="20">
        <f t="shared" si="36"/>
        <v>7</v>
      </c>
      <c r="L229" s="19">
        <f t="shared" si="33"/>
        <v>35</v>
      </c>
      <c r="M229" s="8">
        <f t="shared" si="39"/>
        <v>1.4107106526887954</v>
      </c>
      <c r="N229" s="9">
        <f t="shared" si="40"/>
        <v>23706137</v>
      </c>
      <c r="O229" s="10">
        <f t="shared" si="37"/>
        <v>9736363</v>
      </c>
      <c r="P229" s="11">
        <f t="shared" si="38"/>
        <v>278181.8</v>
      </c>
      <c r="Q229" s="23">
        <f t="shared" si="34"/>
        <v>33442500</v>
      </c>
      <c r="R229" s="3" t="e">
        <f>VLOOKUP(B229,Buylist!B:B,1,FALSE)</f>
        <v>#N/A</v>
      </c>
      <c r="S229" s="3" t="e">
        <f>VLOOKUP(B229,Buylist!B:O,13,FALSE)</f>
        <v>#N/A</v>
      </c>
      <c r="T229" s="78">
        <v>228</v>
      </c>
    </row>
    <row r="230" spans="1:20">
      <c r="A230" s="33" t="s">
        <v>11059</v>
      </c>
      <c r="B230" s="63">
        <f>VLOOKUP(A230,TypeIDs!B:C,2,FALSE)</f>
        <v>22782</v>
      </c>
      <c r="C230" s="36">
        <v>2626000</v>
      </c>
      <c r="D230" s="36">
        <f t="shared" si="31"/>
        <v>2787857</v>
      </c>
      <c r="E230" s="35">
        <f>INDEX(MARKET_INPUT[Column1.price],MATCH(B230,MARKET_INPUT[Column1.type_id]))</f>
        <v>1600000</v>
      </c>
      <c r="F230" s="35">
        <f t="shared" si="32"/>
        <v>1528800</v>
      </c>
      <c r="G230" s="18">
        <f>VLOOKUP(B230,TypeIDs!C:D,2,FALSE)</f>
        <v>50</v>
      </c>
      <c r="I230" s="15">
        <v>2</v>
      </c>
      <c r="J230" s="17">
        <f t="shared" si="35"/>
        <v>1156.4000000000001</v>
      </c>
      <c r="K230" s="20">
        <f t="shared" si="36"/>
        <v>14</v>
      </c>
      <c r="L230" s="19">
        <f t="shared" si="33"/>
        <v>700</v>
      </c>
      <c r="M230" s="8">
        <f t="shared" si="39"/>
        <v>0.54837819873831406</v>
      </c>
      <c r="N230" s="9">
        <f t="shared" si="40"/>
        <v>39029998</v>
      </c>
      <c r="O230" s="10">
        <f t="shared" si="37"/>
        <v>-17626798</v>
      </c>
      <c r="P230" s="11">
        <f t="shared" si="38"/>
        <v>-25181.14</v>
      </c>
      <c r="Q230" s="23">
        <f t="shared" si="34"/>
        <v>21403200</v>
      </c>
      <c r="R230" s="3" t="e">
        <f>VLOOKUP(B230,Buylist!B:B,1,FALSE)</f>
        <v>#N/A</v>
      </c>
      <c r="S230" s="3" t="e">
        <f>VLOOKUP(B230,Buylist!B:O,13,FALSE)</f>
        <v>#N/A</v>
      </c>
      <c r="T230" s="78">
        <v>229</v>
      </c>
    </row>
    <row r="231" spans="1:20">
      <c r="A231" s="13" t="s">
        <v>25757</v>
      </c>
      <c r="B231" s="63">
        <f>VLOOKUP(A231,TypeIDs!B:C,2,FALSE)</f>
        <v>41057</v>
      </c>
      <c r="C231" s="36">
        <v>4268000</v>
      </c>
      <c r="D231" s="36">
        <f t="shared" si="31"/>
        <v>4502926</v>
      </c>
      <c r="E231" s="35">
        <f>INDEX(MARKET_INPUT[Column1.price],MATCH(B231,MARKET_INPUT[Column1.type_id]))</f>
        <v>7200000</v>
      </c>
      <c r="F231" s="35">
        <f t="shared" si="32"/>
        <v>6879600</v>
      </c>
      <c r="G231" s="18">
        <f>VLOOKUP(B231,TypeIDs!C:D,2,FALSE)</f>
        <v>50</v>
      </c>
      <c r="I231" s="15">
        <v>2</v>
      </c>
      <c r="J231" s="17">
        <f t="shared" si="35"/>
        <v>1813.2</v>
      </c>
      <c r="K231" s="20">
        <f t="shared" si="36"/>
        <v>14</v>
      </c>
      <c r="L231" s="19">
        <f t="shared" si="33"/>
        <v>700</v>
      </c>
      <c r="M231" s="8">
        <f t="shared" si="39"/>
        <v>1.5278065862063912</v>
      </c>
      <c r="N231" s="9">
        <f t="shared" si="40"/>
        <v>63040964</v>
      </c>
      <c r="O231" s="10">
        <f t="shared" si="37"/>
        <v>33273436</v>
      </c>
      <c r="P231" s="11">
        <f t="shared" si="38"/>
        <v>47533.48</v>
      </c>
      <c r="Q231" s="23">
        <f t="shared" si="34"/>
        <v>96314400</v>
      </c>
      <c r="R231" s="3" t="e">
        <f>VLOOKUP(B231,Buylist!B:B,1,FALSE)</f>
        <v>#N/A</v>
      </c>
      <c r="S231" s="3" t="e">
        <f>VLOOKUP(B231,Buylist!B:O,13,FALSE)</f>
        <v>#N/A</v>
      </c>
      <c r="T231" s="78">
        <v>230</v>
      </c>
    </row>
    <row r="232" spans="1:20">
      <c r="A232" s="13" t="s">
        <v>2677</v>
      </c>
      <c r="B232" s="63">
        <f>VLOOKUP(A232,TypeIDs!B:C,2,FALSE)</f>
        <v>4027</v>
      </c>
      <c r="C232" s="36">
        <v>36800</v>
      </c>
      <c r="D232" s="36">
        <f t="shared" si="31"/>
        <v>42937.599999999999</v>
      </c>
      <c r="E232" s="35">
        <f>INDEX(MARKET_INPUT[Column1.price],MATCH(B232,MARKET_INPUT[Column1.type_id]))</f>
        <v>88540</v>
      </c>
      <c r="F232" s="35">
        <f t="shared" si="32"/>
        <v>84599.97</v>
      </c>
      <c r="G232" s="18">
        <f>VLOOKUP(B232,TypeIDs!C:D,2,FALSE)</f>
        <v>5</v>
      </c>
      <c r="I232" s="15">
        <v>4</v>
      </c>
      <c r="J232" s="17">
        <f t="shared" si="35"/>
        <v>51.44</v>
      </c>
      <c r="K232" s="20">
        <f t="shared" si="36"/>
        <v>28</v>
      </c>
      <c r="L232" s="19">
        <f t="shared" si="33"/>
        <v>140</v>
      </c>
      <c r="M232" s="8">
        <f t="shared" si="39"/>
        <v>1.9703003894022955</v>
      </c>
      <c r="N232" s="9">
        <f t="shared" si="40"/>
        <v>1202252.8</v>
      </c>
      <c r="O232" s="10">
        <f t="shared" si="37"/>
        <v>1166546.3600000001</v>
      </c>
      <c r="P232" s="11">
        <f t="shared" si="38"/>
        <v>8332.4740000000002</v>
      </c>
      <c r="Q232" s="23">
        <f t="shared" si="34"/>
        <v>2368799.16</v>
      </c>
      <c r="R232" s="3" t="e">
        <f>VLOOKUP(B232,Buylist!B:B,1,FALSE)</f>
        <v>#N/A</v>
      </c>
      <c r="S232" s="3" t="e">
        <f>VLOOKUP(B232,Buylist!B:O,13,FALSE)</f>
        <v>#N/A</v>
      </c>
      <c r="T232" s="78">
        <v>231</v>
      </c>
    </row>
    <row r="233" spans="1:20">
      <c r="A233" s="13" t="s">
        <v>2675</v>
      </c>
      <c r="B233" s="63">
        <f>VLOOKUP(A233,TypeIDs!B:C,2,FALSE)</f>
        <v>4025</v>
      </c>
      <c r="C233" s="36">
        <v>22290</v>
      </c>
      <c r="D233" s="36">
        <f t="shared" si="31"/>
        <v>27781.904999999999</v>
      </c>
      <c r="E233" s="35">
        <f>INDEX(MARKET_INPUT[Column1.price],MATCH(B233,MARKET_INPUT[Column1.type_id]))</f>
        <v>50000</v>
      </c>
      <c r="F233" s="35">
        <f t="shared" si="32"/>
        <v>47775</v>
      </c>
      <c r="G233" s="18">
        <f>VLOOKUP(B233,TypeIDs!C:D,2,FALSE)</f>
        <v>5</v>
      </c>
      <c r="I233" s="15">
        <v>2</v>
      </c>
      <c r="J233" s="17">
        <f t="shared" si="35"/>
        <v>24.916</v>
      </c>
      <c r="K233" s="20">
        <f t="shared" si="36"/>
        <v>14</v>
      </c>
      <c r="L233" s="19">
        <f t="shared" si="33"/>
        <v>70</v>
      </c>
      <c r="M233" s="8">
        <f t="shared" si="39"/>
        <v>1.7196444952209002</v>
      </c>
      <c r="N233" s="9">
        <f t="shared" si="40"/>
        <v>388946.67</v>
      </c>
      <c r="O233" s="10">
        <f t="shared" si="37"/>
        <v>279903.33</v>
      </c>
      <c r="P233" s="11">
        <f t="shared" si="38"/>
        <v>3998.6190000000001</v>
      </c>
      <c r="Q233" s="23">
        <f t="shared" si="34"/>
        <v>668850</v>
      </c>
      <c r="R233" s="3" t="e">
        <f>VLOOKUP(B233,Buylist!B:B,1,FALSE)</f>
        <v>#N/A</v>
      </c>
      <c r="S233" s="3" t="e">
        <f>VLOOKUP(B233,Buylist!B:O,13,FALSE)</f>
        <v>#N/A</v>
      </c>
      <c r="T233" s="78">
        <v>232</v>
      </c>
    </row>
    <row r="234" spans="1:20">
      <c r="A234" s="13" t="s">
        <v>258</v>
      </c>
      <c r="B234" s="63">
        <f>VLOOKUP(A234,TypeIDs!B:C,2,FALSE)</f>
        <v>527</v>
      </c>
      <c r="C234" s="36">
        <v>1593000</v>
      </c>
      <c r="D234" s="36">
        <f t="shared" si="31"/>
        <v>1668388.5</v>
      </c>
      <c r="E234" s="35">
        <f>INDEX(MARKET_INPUT[Column1.price],MATCH(B234,MARKET_INPUT[Column1.type_id]))</f>
        <v>1230000</v>
      </c>
      <c r="F234" s="35">
        <f t="shared" si="32"/>
        <v>1175265</v>
      </c>
      <c r="G234" s="18">
        <f>VLOOKUP(B234,TypeIDs!C:D,2,FALSE)</f>
        <v>5</v>
      </c>
      <c r="I234" s="15">
        <v>8</v>
      </c>
      <c r="J234" s="17">
        <f t="shared" si="35"/>
        <v>2582.8000000000002</v>
      </c>
      <c r="K234" s="20">
        <f t="shared" si="36"/>
        <v>56</v>
      </c>
      <c r="L234" s="19">
        <f t="shared" si="33"/>
        <v>280</v>
      </c>
      <c r="M234" s="8">
        <f t="shared" si="39"/>
        <v>0.70443125207348289</v>
      </c>
      <c r="N234" s="9">
        <f t="shared" si="40"/>
        <v>93429756</v>
      </c>
      <c r="O234" s="10">
        <f t="shared" si="37"/>
        <v>-27614916</v>
      </c>
      <c r="P234" s="11">
        <f t="shared" si="38"/>
        <v>-98624.7</v>
      </c>
      <c r="Q234" s="23">
        <f t="shared" si="34"/>
        <v>65814840</v>
      </c>
      <c r="R234" s="3" t="e">
        <f>VLOOKUP(B234,Buylist!B:B,1,FALSE)</f>
        <v>#N/A</v>
      </c>
      <c r="S234" s="3" t="e">
        <f>VLOOKUP(B234,Buylist!B:O,13,FALSE)</f>
        <v>#N/A</v>
      </c>
      <c r="T234" s="78">
        <v>233</v>
      </c>
    </row>
    <row r="235" spans="1:20">
      <c r="A235" s="13" t="s">
        <v>8040</v>
      </c>
      <c r="B235" s="63">
        <f>VLOOKUP(A235,TypeIDs!B:C,2,FALSE)</f>
        <v>17559</v>
      </c>
      <c r="C235" s="36">
        <v>64740000</v>
      </c>
      <c r="D235" s="36">
        <f t="shared" si="31"/>
        <v>67625430</v>
      </c>
      <c r="E235" s="35">
        <f>INDEX(MARKET_INPUT[Column1.price],MATCH(B235,MARKET_INPUT[Column1.type_id]))</f>
        <v>78580000</v>
      </c>
      <c r="F235" s="35">
        <f t="shared" si="32"/>
        <v>75083190</v>
      </c>
      <c r="G235" s="18">
        <f>VLOOKUP(B235,TypeIDs!C:D,2,FALSE)</f>
        <v>5</v>
      </c>
      <c r="I235" s="15">
        <v>1</v>
      </c>
      <c r="J235" s="17">
        <f t="shared" si="35"/>
        <v>12961</v>
      </c>
      <c r="K235" s="20">
        <f t="shared" si="36"/>
        <v>7</v>
      </c>
      <c r="L235" s="19">
        <f t="shared" si="33"/>
        <v>35</v>
      </c>
      <c r="M235" s="8">
        <f t="shared" si="39"/>
        <v>1.11028040782883</v>
      </c>
      <c r="N235" s="9">
        <f t="shared" si="40"/>
        <v>473378010</v>
      </c>
      <c r="O235" s="10">
        <f t="shared" si="37"/>
        <v>52204320</v>
      </c>
      <c r="P235" s="11">
        <f t="shared" si="38"/>
        <v>1491552</v>
      </c>
      <c r="Q235" s="23">
        <f t="shared" si="34"/>
        <v>525582330</v>
      </c>
      <c r="R235" s="3" t="e">
        <f>VLOOKUP(B235,Buylist!B:B,1,FALSE)</f>
        <v>#N/A</v>
      </c>
      <c r="S235" s="3" t="e">
        <f>VLOOKUP(B235,Buylist!B:O,13,FALSE)</f>
        <v>#N/A</v>
      </c>
      <c r="T235" s="78">
        <v>234</v>
      </c>
    </row>
    <row r="236" spans="1:20">
      <c r="A236" s="33" t="s">
        <v>9124</v>
      </c>
      <c r="B236" s="63">
        <f>VLOOKUP(A236,TypeIDs!B:C,2,FALSE)</f>
        <v>19814</v>
      </c>
      <c r="C236" s="36">
        <v>22800</v>
      </c>
      <c r="D236" s="36">
        <f t="shared" si="31"/>
        <v>28314.6</v>
      </c>
      <c r="E236" s="35">
        <f>INDEX(MARKET_INPUT[Column1.price],MATCH(B236,MARKET_INPUT[Column1.type_id]))</f>
        <v>396800</v>
      </c>
      <c r="F236" s="35">
        <f t="shared" si="32"/>
        <v>379142.40000000002</v>
      </c>
      <c r="G236" s="18">
        <f>VLOOKUP(B236,TypeIDs!C:D,2,FALSE)</f>
        <v>5</v>
      </c>
      <c r="I236" s="15">
        <v>1</v>
      </c>
      <c r="J236" s="17">
        <f t="shared" si="35"/>
        <v>17.559999999999999</v>
      </c>
      <c r="K236" s="20">
        <f t="shared" si="36"/>
        <v>7</v>
      </c>
      <c r="L236" s="19">
        <f t="shared" si="33"/>
        <v>35</v>
      </c>
      <c r="M236" s="8">
        <f t="shared" si="39"/>
        <v>13.390349854845205</v>
      </c>
      <c r="N236" s="9">
        <f t="shared" si="40"/>
        <v>198202.19999999998</v>
      </c>
      <c r="O236" s="10">
        <f t="shared" si="37"/>
        <v>2455794.6000000006</v>
      </c>
      <c r="P236" s="11">
        <f t="shared" si="38"/>
        <v>70165.560000000012</v>
      </c>
      <c r="Q236" s="23">
        <f t="shared" si="34"/>
        <v>2653996.8000000007</v>
      </c>
      <c r="R236" s="3" t="e">
        <f>VLOOKUP(B236,Buylist!B:B,1,FALSE)</f>
        <v>#N/A</v>
      </c>
      <c r="S236" s="3" t="e">
        <f>VLOOKUP(B236,Buylist!B:O,13,FALSE)</f>
        <v>#N/A</v>
      </c>
      <c r="T236" s="78">
        <v>235</v>
      </c>
    </row>
    <row r="237" spans="1:20">
      <c r="A237" s="13" t="s">
        <v>9116</v>
      </c>
      <c r="B237" s="63">
        <f>VLOOKUP(A237,TypeIDs!B:C,2,FALSE)</f>
        <v>19806</v>
      </c>
      <c r="C237" s="36">
        <v>729900</v>
      </c>
      <c r="D237" s="36">
        <f t="shared" si="31"/>
        <v>766880.55</v>
      </c>
      <c r="E237" s="35">
        <f>INDEX(MARKET_INPUT[Column1.price],MATCH(B237,MARKET_INPUT[Column1.type_id]))</f>
        <v>3500000</v>
      </c>
      <c r="F237" s="35">
        <f t="shared" si="32"/>
        <v>3344250</v>
      </c>
      <c r="G237" s="18">
        <f>VLOOKUP(B237,TypeIDs!C:D,2,FALSE)</f>
        <v>5</v>
      </c>
      <c r="I237" s="15">
        <v>3</v>
      </c>
      <c r="J237" s="17">
        <f t="shared" si="35"/>
        <v>456.94</v>
      </c>
      <c r="K237" s="20">
        <f t="shared" si="36"/>
        <v>21</v>
      </c>
      <c r="L237" s="19">
        <f t="shared" si="33"/>
        <v>105</v>
      </c>
      <c r="M237" s="8">
        <f t="shared" si="39"/>
        <v>4.3608486354230784</v>
      </c>
      <c r="N237" s="9">
        <f t="shared" si="40"/>
        <v>16104491.550000001</v>
      </c>
      <c r="O237" s="10">
        <f t="shared" si="37"/>
        <v>54124758.450000003</v>
      </c>
      <c r="P237" s="11">
        <f t="shared" si="38"/>
        <v>515473.89</v>
      </c>
      <c r="Q237" s="23">
        <f t="shared" si="34"/>
        <v>70229250</v>
      </c>
      <c r="R237" s="3">
        <f>VLOOKUP(B237,Buylist!B:B,1,FALSE)</f>
        <v>19806</v>
      </c>
      <c r="S237" s="3">
        <f>VLOOKUP(B237,Buylist!B:O,13,FALSE)</f>
        <v>0</v>
      </c>
      <c r="T237" s="78">
        <v>236</v>
      </c>
    </row>
    <row r="238" spans="1:20">
      <c r="A238" s="13" t="s">
        <v>3135</v>
      </c>
      <c r="B238" s="63">
        <f>VLOOKUP(A238,TypeIDs!B:C,2,FALSE)</f>
        <v>5405</v>
      </c>
      <c r="C238" s="36">
        <v>20400</v>
      </c>
      <c r="D238" s="36">
        <f t="shared" si="31"/>
        <v>25807.8</v>
      </c>
      <c r="E238" s="35">
        <f>INDEX(MARKET_INPUT[Column1.price],MATCH(B238,MARKET_INPUT[Column1.type_id]))</f>
        <v>49980</v>
      </c>
      <c r="F238" s="35">
        <f t="shared" si="32"/>
        <v>47755.89</v>
      </c>
      <c r="G238" s="18">
        <f>VLOOKUP(B238,TypeIDs!C:D,2,FALSE)</f>
        <v>5</v>
      </c>
      <c r="I238" s="15">
        <v>3</v>
      </c>
      <c r="J238" s="17">
        <f t="shared" si="35"/>
        <v>31.240000000000002</v>
      </c>
      <c r="K238" s="20">
        <f t="shared" si="36"/>
        <v>21</v>
      </c>
      <c r="L238" s="19">
        <f t="shared" si="33"/>
        <v>105</v>
      </c>
      <c r="M238" s="8">
        <f t="shared" si="39"/>
        <v>1.8504440517982936</v>
      </c>
      <c r="N238" s="9">
        <f t="shared" si="40"/>
        <v>541963.79999999993</v>
      </c>
      <c r="O238" s="10">
        <f t="shared" si="37"/>
        <v>460909.89</v>
      </c>
      <c r="P238" s="11">
        <f t="shared" si="38"/>
        <v>4389.6180000000004</v>
      </c>
      <c r="Q238" s="23">
        <f t="shared" si="34"/>
        <v>1002873.69</v>
      </c>
      <c r="R238" s="3" t="e">
        <f>VLOOKUP(B238,Buylist!B:B,1,FALSE)</f>
        <v>#N/A</v>
      </c>
      <c r="S238" s="3" t="e">
        <f>VLOOKUP(B238,Buylist!B:O,13,FALSE)</f>
        <v>#N/A</v>
      </c>
      <c r="T238" s="78">
        <v>237</v>
      </c>
    </row>
    <row r="239" spans="1:20">
      <c r="A239" s="13" t="s">
        <v>1968</v>
      </c>
      <c r="B239" s="63">
        <f>VLOOKUP(A239,TypeIDs!B:C,2,FALSE)</f>
        <v>3244</v>
      </c>
      <c r="C239" s="36">
        <v>1510000</v>
      </c>
      <c r="D239" s="36">
        <f t="shared" si="31"/>
        <v>1581695</v>
      </c>
      <c r="E239" s="35">
        <f>INDEX(MARKET_INPUT[Column1.price],MATCH(B239,MARKET_INPUT[Column1.type_id]))</f>
        <v>2000000</v>
      </c>
      <c r="F239" s="35">
        <f t="shared" si="32"/>
        <v>1911000</v>
      </c>
      <c r="G239" s="18">
        <f>VLOOKUP(B239,TypeIDs!C:D,2,FALSE)</f>
        <v>5</v>
      </c>
      <c r="I239" s="15">
        <v>7</v>
      </c>
      <c r="J239" s="17">
        <f t="shared" si="35"/>
        <v>2145</v>
      </c>
      <c r="K239" s="20">
        <f t="shared" si="36"/>
        <v>49</v>
      </c>
      <c r="L239" s="19">
        <f t="shared" si="33"/>
        <v>245</v>
      </c>
      <c r="M239" s="8">
        <f t="shared" si="39"/>
        <v>1.2081975349229781</v>
      </c>
      <c r="N239" s="9">
        <f t="shared" si="40"/>
        <v>77503055</v>
      </c>
      <c r="O239" s="10">
        <f t="shared" si="37"/>
        <v>16135945</v>
      </c>
      <c r="P239" s="11">
        <f t="shared" si="38"/>
        <v>65861</v>
      </c>
      <c r="Q239" s="23">
        <f t="shared" si="34"/>
        <v>93639000</v>
      </c>
      <c r="R239" s="3" t="e">
        <f>VLOOKUP(B239,Buylist!B:B,1,FALSE)</f>
        <v>#N/A</v>
      </c>
      <c r="S239" s="3" t="e">
        <f>VLOOKUP(B239,Buylist!B:O,13,FALSE)</f>
        <v>#N/A</v>
      </c>
      <c r="T239" s="78">
        <v>238</v>
      </c>
    </row>
    <row r="240" spans="1:20">
      <c r="A240" s="33" t="s">
        <v>3138</v>
      </c>
      <c r="B240" s="63">
        <f>VLOOKUP(A240,TypeIDs!B:C,2,FALSE)</f>
        <v>5443</v>
      </c>
      <c r="C240" s="36">
        <v>88810</v>
      </c>
      <c r="D240" s="36">
        <f t="shared" si="31"/>
        <v>97262.044999999998</v>
      </c>
      <c r="E240" s="35">
        <f>INDEX(MARKET_INPUT[Column1.price],MATCH(B240,MARKET_INPUT[Column1.type_id]))</f>
        <v>125900</v>
      </c>
      <c r="F240" s="35">
        <f t="shared" si="32"/>
        <v>120297.45</v>
      </c>
      <c r="G240" s="18">
        <f>VLOOKUP(B240,TypeIDs!C:D,2,FALSE)</f>
        <v>5</v>
      </c>
      <c r="I240" s="15">
        <v>2</v>
      </c>
      <c r="J240" s="17">
        <f t="shared" si="35"/>
        <v>51.524000000000001</v>
      </c>
      <c r="K240" s="20">
        <f t="shared" si="36"/>
        <v>14</v>
      </c>
      <c r="L240" s="19">
        <f t="shared" si="33"/>
        <v>70</v>
      </c>
      <c r="M240" s="8">
        <f t="shared" si="39"/>
        <v>1.2368385838484066</v>
      </c>
      <c r="N240" s="9">
        <f t="shared" si="40"/>
        <v>1361668.63</v>
      </c>
      <c r="O240" s="10">
        <f t="shared" si="37"/>
        <v>322495.67</v>
      </c>
      <c r="P240" s="11">
        <f t="shared" si="38"/>
        <v>4607.0810000000001</v>
      </c>
      <c r="Q240" s="23">
        <f t="shared" si="34"/>
        <v>1684164.2999999998</v>
      </c>
      <c r="R240" s="3" t="e">
        <f>VLOOKUP(B240,Buylist!B:B,1,FALSE)</f>
        <v>#N/A</v>
      </c>
      <c r="S240" s="3" t="e">
        <f>VLOOKUP(B240,Buylist!B:O,13,FALSE)</f>
        <v>#N/A</v>
      </c>
      <c r="T240" s="78">
        <v>239</v>
      </c>
    </row>
    <row r="241" spans="1:20">
      <c r="A241" s="13" t="s">
        <v>3139</v>
      </c>
      <c r="B241" s="63">
        <f>VLOOKUP(A241,TypeIDs!B:C,2,FALSE)</f>
        <v>5445</v>
      </c>
      <c r="C241" s="36">
        <v>26970</v>
      </c>
      <c r="D241" s="36">
        <f t="shared" si="31"/>
        <v>32670.165000000001</v>
      </c>
      <c r="E241" s="35">
        <f>INDEX(MARKET_INPUT[Column1.price],MATCH(B241,MARKET_INPUT[Column1.type_id]))</f>
        <v>50000</v>
      </c>
      <c r="F241" s="35">
        <f t="shared" si="32"/>
        <v>47775</v>
      </c>
      <c r="G241" s="18">
        <f>VLOOKUP(B241,TypeIDs!C:D,2,FALSE)</f>
        <v>5</v>
      </c>
      <c r="I241" s="15">
        <v>2.5</v>
      </c>
      <c r="J241" s="17">
        <f t="shared" si="35"/>
        <v>30.984999999999999</v>
      </c>
      <c r="K241" s="20">
        <f t="shared" si="36"/>
        <v>17.5</v>
      </c>
      <c r="L241" s="19">
        <f t="shared" si="33"/>
        <v>87.5</v>
      </c>
      <c r="M241" s="8">
        <f t="shared" si="39"/>
        <v>1.462343394959897</v>
      </c>
      <c r="N241" s="9">
        <f t="shared" si="40"/>
        <v>571727.88750000007</v>
      </c>
      <c r="O241" s="10">
        <f t="shared" si="37"/>
        <v>264334.61249999999</v>
      </c>
      <c r="P241" s="11">
        <f t="shared" si="38"/>
        <v>3020.9669999999996</v>
      </c>
      <c r="Q241" s="23">
        <f t="shared" si="34"/>
        <v>836062.5</v>
      </c>
      <c r="R241" s="3" t="e">
        <f>VLOOKUP(B241,Buylist!B:B,1,FALSE)</f>
        <v>#N/A</v>
      </c>
      <c r="S241" s="3" t="e">
        <f>VLOOKUP(B241,Buylist!B:O,13,FALSE)</f>
        <v>#N/A</v>
      </c>
      <c r="T241" s="78">
        <v>240</v>
      </c>
    </row>
    <row r="242" spans="1:20">
      <c r="A242" s="13" t="s">
        <v>211</v>
      </c>
      <c r="B242" s="63">
        <f>VLOOKUP(A242,TypeIDs!B:C,2,FALSE)</f>
        <v>448</v>
      </c>
      <c r="C242" s="36">
        <v>1699000</v>
      </c>
      <c r="D242" s="36">
        <f t="shared" si="31"/>
        <v>1779105.5</v>
      </c>
      <c r="E242" s="35">
        <f>INDEX(MARKET_INPUT[Column1.price],MATCH(B242,MARKET_INPUT[Column1.type_id]))</f>
        <v>1875000</v>
      </c>
      <c r="F242" s="35">
        <f t="shared" si="32"/>
        <v>1791562.5</v>
      </c>
      <c r="G242" s="18">
        <f>VLOOKUP(B242,TypeIDs!C:D,2,FALSE)</f>
        <v>5</v>
      </c>
      <c r="I242" s="15">
        <v>8</v>
      </c>
      <c r="J242" s="17">
        <f t="shared" si="35"/>
        <v>2752.4</v>
      </c>
      <c r="K242" s="20">
        <f t="shared" si="36"/>
        <v>56</v>
      </c>
      <c r="L242" s="19">
        <f t="shared" si="33"/>
        <v>280</v>
      </c>
      <c r="M242" s="8">
        <f t="shared" si="39"/>
        <v>1.0070018332246176</v>
      </c>
      <c r="N242" s="9">
        <f t="shared" si="40"/>
        <v>99629908</v>
      </c>
      <c r="O242" s="10">
        <f t="shared" si="37"/>
        <v>697592</v>
      </c>
      <c r="P242" s="11">
        <f t="shared" si="38"/>
        <v>2491.4</v>
      </c>
      <c r="Q242" s="23">
        <f t="shared" si="34"/>
        <v>100327500</v>
      </c>
      <c r="R242" s="3" t="e">
        <f>VLOOKUP(B242,Buylist!B:B,1,FALSE)</f>
        <v>#N/A</v>
      </c>
      <c r="S242" s="3" t="e">
        <f>VLOOKUP(B242,Buylist!B:O,13,FALSE)</f>
        <v>#N/A</v>
      </c>
      <c r="T242" s="78">
        <v>241</v>
      </c>
    </row>
    <row r="243" spans="1:20">
      <c r="A243" s="13" t="s">
        <v>584</v>
      </c>
      <c r="B243" s="63">
        <f>VLOOKUP(A243,TypeIDs!B:C,2,FALSE)</f>
        <v>1182</v>
      </c>
      <c r="C243" s="36">
        <v>11070</v>
      </c>
      <c r="D243" s="36">
        <f t="shared" si="31"/>
        <v>16062.615</v>
      </c>
      <c r="E243" s="35">
        <f>INDEX(MARKET_INPUT[Column1.price],MATCH(B243,MARKET_INPUT[Column1.type_id]))</f>
        <v>399900</v>
      </c>
      <c r="F243" s="35">
        <f t="shared" si="32"/>
        <v>382104.45</v>
      </c>
      <c r="G243" s="18">
        <f>VLOOKUP(B243,TypeIDs!C:D,2,FALSE)</f>
        <v>5</v>
      </c>
      <c r="I243" s="15">
        <v>5</v>
      </c>
      <c r="J243" s="17">
        <f t="shared" si="35"/>
        <v>36.07</v>
      </c>
      <c r="K243" s="20">
        <f t="shared" si="36"/>
        <v>35</v>
      </c>
      <c r="L243" s="19">
        <f t="shared" si="33"/>
        <v>175</v>
      </c>
      <c r="M243" s="8">
        <f t="shared" si="39"/>
        <v>23.788433576973613</v>
      </c>
      <c r="N243" s="9">
        <f t="shared" si="40"/>
        <v>562191.52500000002</v>
      </c>
      <c r="O243" s="10">
        <f t="shared" si="37"/>
        <v>12811464.225000001</v>
      </c>
      <c r="P243" s="11">
        <f t="shared" si="38"/>
        <v>73208.366999999998</v>
      </c>
      <c r="Q243" s="23">
        <f t="shared" si="34"/>
        <v>13373655.750000002</v>
      </c>
      <c r="R243" s="3">
        <f>VLOOKUP(B243,Buylist!B:B,1,FALSE)</f>
        <v>1182</v>
      </c>
      <c r="S243" s="3">
        <f>VLOOKUP(B243,Buylist!B:O,13,FALSE)</f>
        <v>0</v>
      </c>
      <c r="T243" s="78">
        <v>242</v>
      </c>
    </row>
    <row r="244" spans="1:20">
      <c r="A244" s="13" t="s">
        <v>4288</v>
      </c>
      <c r="B244" s="63">
        <f>VLOOKUP(A244,TypeIDs!B:C,2,FALSE)</f>
        <v>11370</v>
      </c>
      <c r="C244" s="36">
        <v>1994000</v>
      </c>
      <c r="D244" s="36">
        <f t="shared" si="31"/>
        <v>2172733</v>
      </c>
      <c r="E244" s="35">
        <f>INDEX(MARKET_INPUT[Column1.price],MATCH(B244,MARKET_INPUT[Column1.type_id]))</f>
        <v>2706000</v>
      </c>
      <c r="F244" s="35">
        <f t="shared" si="32"/>
        <v>2585583</v>
      </c>
      <c r="G244" s="18">
        <f>VLOOKUP(B244,TypeIDs!C:D,2,FALSE)</f>
        <v>100</v>
      </c>
      <c r="I244" s="15">
        <v>7</v>
      </c>
      <c r="J244" s="17">
        <f t="shared" si="35"/>
        <v>3012.6</v>
      </c>
      <c r="K244" s="20">
        <f t="shared" si="36"/>
        <v>49</v>
      </c>
      <c r="L244" s="19">
        <f t="shared" si="33"/>
        <v>4900</v>
      </c>
      <c r="M244" s="8">
        <f t="shared" si="39"/>
        <v>1.1900141434773623</v>
      </c>
      <c r="N244" s="9">
        <f t="shared" si="40"/>
        <v>106463917</v>
      </c>
      <c r="O244" s="10">
        <f t="shared" si="37"/>
        <v>20229650</v>
      </c>
      <c r="P244" s="11">
        <f t="shared" si="38"/>
        <v>4128.5</v>
      </c>
      <c r="Q244" s="23">
        <f t="shared" si="34"/>
        <v>126693567</v>
      </c>
      <c r="R244" s="3" t="e">
        <f>VLOOKUP(B244,Buylist!B:B,1,FALSE)</f>
        <v>#N/A</v>
      </c>
      <c r="S244" s="3" t="e">
        <f>VLOOKUP(B244,Buylist!B:O,13,FALSE)</f>
        <v>#N/A</v>
      </c>
      <c r="T244" s="78">
        <v>243</v>
      </c>
    </row>
    <row r="245" spans="1:20">
      <c r="A245" s="13" t="s">
        <v>4428</v>
      </c>
      <c r="B245" s="63">
        <f>VLOOKUP(A245,TypeIDs!B:C,2,FALSE)</f>
        <v>11578</v>
      </c>
      <c r="C245" s="36">
        <v>6242000</v>
      </c>
      <c r="D245" s="36">
        <f t="shared" si="31"/>
        <v>6609769</v>
      </c>
      <c r="E245" s="35">
        <f>INDEX(MARKET_INPUT[Column1.price],MATCH(B245,MARKET_INPUT[Column1.type_id]))</f>
        <v>8000000</v>
      </c>
      <c r="F245" s="35">
        <f t="shared" si="32"/>
        <v>7644000</v>
      </c>
      <c r="G245" s="18">
        <f>VLOOKUP(B245,TypeIDs!C:D,2,FALSE)</f>
        <v>100</v>
      </c>
      <c r="I245" s="15">
        <v>7</v>
      </c>
      <c r="J245" s="17">
        <f t="shared" si="35"/>
        <v>8959.7999999999993</v>
      </c>
      <c r="K245" s="20">
        <f t="shared" si="36"/>
        <v>49</v>
      </c>
      <c r="L245" s="19">
        <f t="shared" si="33"/>
        <v>4900</v>
      </c>
      <c r="M245" s="8">
        <f t="shared" si="39"/>
        <v>1.1564700672595365</v>
      </c>
      <c r="N245" s="9">
        <f t="shared" si="40"/>
        <v>323878681</v>
      </c>
      <c r="O245" s="10">
        <f t="shared" si="37"/>
        <v>50677319</v>
      </c>
      <c r="P245" s="11">
        <f t="shared" si="38"/>
        <v>10342.31</v>
      </c>
      <c r="Q245" s="23">
        <f t="shared" si="34"/>
        <v>374556000</v>
      </c>
      <c r="R245" s="3" t="e">
        <f>VLOOKUP(B245,Buylist!B:B,1,FALSE)</f>
        <v>#N/A</v>
      </c>
      <c r="S245" s="3" t="e">
        <f>VLOOKUP(B245,Buylist!B:O,13,FALSE)</f>
        <v>#N/A</v>
      </c>
      <c r="T245" s="78">
        <v>244</v>
      </c>
    </row>
    <row r="246" spans="1:20">
      <c r="A246" s="13" t="s">
        <v>4427</v>
      </c>
      <c r="B246" s="63">
        <f>VLOOKUP(A246,TypeIDs!B:C,2,FALSE)</f>
        <v>11577</v>
      </c>
      <c r="C246" s="36">
        <v>4214000</v>
      </c>
      <c r="D246" s="36">
        <f t="shared" si="31"/>
        <v>4491523</v>
      </c>
      <c r="E246" s="35">
        <f>INDEX(MARKET_INPUT[Column1.price],MATCH(B246,MARKET_INPUT[Column1.type_id]))</f>
        <v>9601000</v>
      </c>
      <c r="F246" s="35">
        <f t="shared" si="32"/>
        <v>9173755.5</v>
      </c>
      <c r="G246" s="18">
        <f>VLOOKUP(B246,TypeIDs!C:D,2,FALSE)</f>
        <v>100</v>
      </c>
      <c r="I246" s="15">
        <v>5</v>
      </c>
      <c r="J246" s="17">
        <f t="shared" si="35"/>
        <v>4429</v>
      </c>
      <c r="K246" s="20">
        <f t="shared" si="36"/>
        <v>35</v>
      </c>
      <c r="L246" s="19">
        <f t="shared" si="33"/>
        <v>3500</v>
      </c>
      <c r="M246" s="8">
        <f t="shared" si="39"/>
        <v>2.0424598738557056</v>
      </c>
      <c r="N246" s="9">
        <f t="shared" si="40"/>
        <v>157203305</v>
      </c>
      <c r="O246" s="10">
        <f t="shared" si="37"/>
        <v>163878137.5</v>
      </c>
      <c r="P246" s="11">
        <f t="shared" si="38"/>
        <v>46822.324999999997</v>
      </c>
      <c r="Q246" s="23">
        <f t="shared" si="34"/>
        <v>321081442.5</v>
      </c>
      <c r="R246" s="3">
        <f>VLOOKUP(B246,Buylist!B:B,1,FALSE)</f>
        <v>11577</v>
      </c>
      <c r="S246" s="3">
        <f>VLOOKUP(B246,Buylist!B:O,13,FALSE)</f>
        <v>0</v>
      </c>
      <c r="T246" s="78">
        <v>245</v>
      </c>
    </row>
    <row r="247" spans="1:20">
      <c r="A247" s="13" t="s">
        <v>2566</v>
      </c>
      <c r="B247" s="63">
        <f>VLOOKUP(A247,TypeIDs!B:C,2,FALSE)</f>
        <v>3888</v>
      </c>
      <c r="C247" s="36">
        <v>865000</v>
      </c>
      <c r="D247" s="36">
        <f t="shared" si="31"/>
        <v>907992.5</v>
      </c>
      <c r="E247" s="35">
        <f>INDEX(MARKET_INPUT[Column1.price],MATCH(B247,MARKET_INPUT[Column1.type_id]))</f>
        <v>950000</v>
      </c>
      <c r="F247" s="35">
        <f t="shared" si="32"/>
        <v>907725</v>
      </c>
      <c r="G247" s="18">
        <f>VLOOKUP(B247,TypeIDs!C:D,2,FALSE)</f>
        <v>5</v>
      </c>
      <c r="I247" s="15">
        <v>5</v>
      </c>
      <c r="J247" s="17">
        <f t="shared" si="35"/>
        <v>890</v>
      </c>
      <c r="K247" s="20">
        <f t="shared" si="36"/>
        <v>35</v>
      </c>
      <c r="L247" s="19">
        <f t="shared" si="33"/>
        <v>175</v>
      </c>
      <c r="M247" s="8">
        <f t="shared" si="39"/>
        <v>0.9997053940423517</v>
      </c>
      <c r="N247" s="9">
        <f t="shared" si="40"/>
        <v>31779737.5</v>
      </c>
      <c r="O247" s="10">
        <f t="shared" si="37"/>
        <v>-9362.5</v>
      </c>
      <c r="P247" s="11">
        <f t="shared" si="38"/>
        <v>-53.5</v>
      </c>
      <c r="Q247" s="23">
        <f t="shared" si="34"/>
        <v>31770375</v>
      </c>
      <c r="R247" s="3" t="e">
        <f>VLOOKUP(B247,Buylist!B:B,1,FALSE)</f>
        <v>#N/A</v>
      </c>
      <c r="S247" s="3" t="e">
        <f>VLOOKUP(B247,Buylist!B:O,13,FALSE)</f>
        <v>#N/A</v>
      </c>
      <c r="T247" s="78">
        <v>246</v>
      </c>
    </row>
    <row r="248" spans="1:20">
      <c r="A248" s="13" t="s">
        <v>3243</v>
      </c>
      <c r="B248" s="63">
        <f>VLOOKUP(A248,TypeIDs!B:C,2,FALSE)</f>
        <v>6160</v>
      </c>
      <c r="C248" s="36">
        <v>17890</v>
      </c>
      <c r="D248" s="36">
        <f t="shared" si="31"/>
        <v>23186.105</v>
      </c>
      <c r="E248" s="35">
        <f>INDEX(MARKET_INPUT[Column1.price],MATCH(B248,MARKET_INPUT[Column1.type_id]))</f>
        <v>50000</v>
      </c>
      <c r="F248" s="35">
        <f t="shared" si="32"/>
        <v>47775</v>
      </c>
      <c r="G248" s="18">
        <f>VLOOKUP(B248,TypeIDs!C:D,2,FALSE)</f>
        <v>5</v>
      </c>
      <c r="I248" s="15">
        <v>3</v>
      </c>
      <c r="J248" s="17">
        <f t="shared" si="35"/>
        <v>29.734000000000002</v>
      </c>
      <c r="K248" s="20">
        <f t="shared" si="36"/>
        <v>21</v>
      </c>
      <c r="L248" s="19">
        <f t="shared" si="33"/>
        <v>105</v>
      </c>
      <c r="M248" s="8">
        <f t="shared" si="39"/>
        <v>2.0605013218045896</v>
      </c>
      <c r="N248" s="9">
        <f t="shared" si="40"/>
        <v>486908.20500000002</v>
      </c>
      <c r="O248" s="10">
        <f t="shared" si="37"/>
        <v>516366.79499999998</v>
      </c>
      <c r="P248" s="11">
        <f t="shared" si="38"/>
        <v>4917.7790000000005</v>
      </c>
      <c r="Q248" s="23">
        <f t="shared" si="34"/>
        <v>1003275</v>
      </c>
      <c r="R248" s="3" t="e">
        <f>VLOOKUP(B248,Buylist!B:B,1,FALSE)</f>
        <v>#N/A</v>
      </c>
      <c r="S248" s="3" t="e">
        <f>VLOOKUP(B248,Buylist!B:O,13,FALSE)</f>
        <v>#N/A</v>
      </c>
      <c r="T248" s="78">
        <v>247</v>
      </c>
    </row>
    <row r="249" spans="1:20">
      <c r="A249" s="13" t="s">
        <v>855</v>
      </c>
      <c r="B249" s="63">
        <f>VLOOKUP(A249,TypeIDs!B:C,2,FALSE)</f>
        <v>1952</v>
      </c>
      <c r="C249" s="36">
        <v>1135000</v>
      </c>
      <c r="D249" s="36">
        <f t="shared" si="31"/>
        <v>1190007.5</v>
      </c>
      <c r="E249" s="35">
        <f>INDEX(MARKET_INPUT[Column1.price],MATCH(B249,MARKET_INPUT[Column1.type_id]))</f>
        <v>1241000</v>
      </c>
      <c r="F249" s="35">
        <f t="shared" si="32"/>
        <v>1185775.5</v>
      </c>
      <c r="G249" s="18">
        <f>VLOOKUP(B249,TypeIDs!C:D,2,FALSE)</f>
        <v>5</v>
      </c>
      <c r="I249" s="15">
        <v>9</v>
      </c>
      <c r="J249" s="17">
        <f t="shared" si="35"/>
        <v>2080</v>
      </c>
      <c r="K249" s="20">
        <f t="shared" si="36"/>
        <v>63</v>
      </c>
      <c r="L249" s="19">
        <f t="shared" si="33"/>
        <v>315</v>
      </c>
      <c r="M249" s="8">
        <f t="shared" si="39"/>
        <v>0.99644371989252167</v>
      </c>
      <c r="N249" s="9">
        <f t="shared" si="40"/>
        <v>74970472.5</v>
      </c>
      <c r="O249" s="10">
        <f t="shared" si="37"/>
        <v>-266616</v>
      </c>
      <c r="P249" s="11">
        <f t="shared" si="38"/>
        <v>-846.4</v>
      </c>
      <c r="Q249" s="23">
        <f t="shared" si="34"/>
        <v>74703856.5</v>
      </c>
      <c r="R249" s="3" t="e">
        <f>VLOOKUP(B249,Buylist!B:B,1,FALSE)</f>
        <v>#N/A</v>
      </c>
      <c r="S249" s="3" t="e">
        <f>VLOOKUP(B249,Buylist!B:O,13,FALSE)</f>
        <v>#N/A</v>
      </c>
      <c r="T249" s="78">
        <v>248</v>
      </c>
    </row>
    <row r="250" spans="1:20">
      <c r="A250" s="13" t="s">
        <v>25882</v>
      </c>
      <c r="B250" s="63">
        <f>VLOOKUP(A250,TypeIDs!B:C,2,FALSE)</f>
        <v>41191</v>
      </c>
      <c r="C250" s="36">
        <v>67960000</v>
      </c>
      <c r="D250" s="36">
        <f t="shared" si="31"/>
        <v>70988720</v>
      </c>
      <c r="E250" s="35">
        <f>INDEX(MARKET_INPUT[Column1.price],MATCH(B250,MARKET_INPUT[Column1.type_id]))</f>
        <v>65100000</v>
      </c>
      <c r="F250" s="35">
        <f t="shared" si="32"/>
        <v>62203050</v>
      </c>
      <c r="G250" s="18">
        <f>VLOOKUP(B250,TypeIDs!C:D,2,FALSE)</f>
        <v>5</v>
      </c>
      <c r="I250" s="15">
        <v>1</v>
      </c>
      <c r="J250" s="17">
        <f t="shared" si="35"/>
        <v>13605</v>
      </c>
      <c r="K250" s="20">
        <f t="shared" si="36"/>
        <v>7</v>
      </c>
      <c r="L250" s="19">
        <f t="shared" si="33"/>
        <v>35</v>
      </c>
      <c r="M250" s="8">
        <f t="shared" si="39"/>
        <v>0.87623850662471447</v>
      </c>
      <c r="N250" s="9">
        <f t="shared" si="40"/>
        <v>496921040</v>
      </c>
      <c r="O250" s="10">
        <f t="shared" si="37"/>
        <v>-61499690</v>
      </c>
      <c r="P250" s="11">
        <f t="shared" si="38"/>
        <v>-1757134</v>
      </c>
      <c r="Q250" s="23">
        <f t="shared" si="34"/>
        <v>435421350</v>
      </c>
      <c r="R250" s="3" t="e">
        <f>VLOOKUP(B250,Buylist!B:B,1,FALSE)</f>
        <v>#N/A</v>
      </c>
      <c r="S250" s="3" t="e">
        <f>VLOOKUP(B250,Buylist!B:O,13,FALSE)</f>
        <v>#N/A</v>
      </c>
      <c r="T250" s="78">
        <v>249</v>
      </c>
    </row>
    <row r="251" spans="1:20">
      <c r="A251" s="13" t="s">
        <v>12420</v>
      </c>
      <c r="B251" s="63">
        <f>VLOOKUP(A251,TypeIDs!B:C,2,FALSE)</f>
        <v>24348</v>
      </c>
      <c r="C251" s="36">
        <v>2119000</v>
      </c>
      <c r="D251" s="36">
        <f t="shared" si="31"/>
        <v>2258295.5</v>
      </c>
      <c r="E251" s="35">
        <f>INDEX(MARKET_INPUT[Column1.price],MATCH(B251,MARKET_INPUT[Column1.type_id]))</f>
        <v>2491000</v>
      </c>
      <c r="F251" s="35">
        <f t="shared" si="32"/>
        <v>2380150.5</v>
      </c>
      <c r="G251" s="18">
        <f>VLOOKUP(B251,TypeIDs!C:D,2,FALSE)</f>
        <v>50</v>
      </c>
      <c r="I251" s="15">
        <v>4</v>
      </c>
      <c r="J251" s="17">
        <f t="shared" si="35"/>
        <v>1807.2</v>
      </c>
      <c r="K251" s="20">
        <f t="shared" si="36"/>
        <v>28</v>
      </c>
      <c r="L251" s="19">
        <f t="shared" si="33"/>
        <v>1400</v>
      </c>
      <c r="M251" s="8">
        <f t="shared" si="39"/>
        <v>1.0539588375391971</v>
      </c>
      <c r="N251" s="9">
        <f t="shared" si="40"/>
        <v>63232274</v>
      </c>
      <c r="O251" s="10">
        <f t="shared" si="37"/>
        <v>3411940</v>
      </c>
      <c r="P251" s="11">
        <f t="shared" si="38"/>
        <v>2437.1</v>
      </c>
      <c r="Q251" s="23">
        <f t="shared" si="34"/>
        <v>66644214</v>
      </c>
      <c r="R251" s="3" t="e">
        <f>VLOOKUP(B251,Buylist!B:B,1,FALSE)</f>
        <v>#N/A</v>
      </c>
      <c r="S251" s="3" t="e">
        <f>VLOOKUP(B251,Buylist!B:O,13,FALSE)</f>
        <v>#N/A</v>
      </c>
      <c r="T251" s="78">
        <v>250</v>
      </c>
    </row>
    <row r="252" spans="1:20">
      <c r="A252" s="13" t="s">
        <v>2884</v>
      </c>
      <c r="B252" s="63">
        <f>VLOOKUP(A252,TypeIDs!B:C,2,FALSE)</f>
        <v>4250</v>
      </c>
      <c r="C252" s="36">
        <v>2658000</v>
      </c>
      <c r="D252" s="36">
        <f t="shared" si="31"/>
        <v>2821281</v>
      </c>
      <c r="E252" s="35">
        <f>INDEX(MARKET_INPUT[Column1.price],MATCH(B252,MARKET_INPUT[Column1.type_id]))</f>
        <v>7749000</v>
      </c>
      <c r="F252" s="35">
        <f t="shared" si="32"/>
        <v>7404169.5</v>
      </c>
      <c r="G252" s="18">
        <f>VLOOKUP(B252,TypeIDs!C:D,2,FALSE)</f>
        <v>50</v>
      </c>
      <c r="I252" s="15">
        <v>2</v>
      </c>
      <c r="J252" s="17">
        <f t="shared" si="35"/>
        <v>1169.2</v>
      </c>
      <c r="K252" s="20">
        <f t="shared" si="36"/>
        <v>14</v>
      </c>
      <c r="L252" s="19">
        <f t="shared" si="33"/>
        <v>700</v>
      </c>
      <c r="M252" s="8">
        <f t="shared" si="39"/>
        <v>2.6243998736744052</v>
      </c>
      <c r="N252" s="9">
        <f t="shared" si="40"/>
        <v>39497934</v>
      </c>
      <c r="O252" s="10">
        <f t="shared" si="37"/>
        <v>64160439</v>
      </c>
      <c r="P252" s="11">
        <f t="shared" si="38"/>
        <v>91657.77</v>
      </c>
      <c r="Q252" s="23">
        <f t="shared" si="34"/>
        <v>103658373</v>
      </c>
      <c r="R252" s="3" t="e">
        <f>VLOOKUP(B252,Buylist!B:B,1,FALSE)</f>
        <v>#N/A</v>
      </c>
      <c r="S252" s="3" t="e">
        <f>VLOOKUP(B252,Buylist!B:O,13,FALSE)</f>
        <v>#N/A</v>
      </c>
      <c r="T252" s="78">
        <v>251</v>
      </c>
    </row>
    <row r="253" spans="1:20">
      <c r="A253" s="13" t="s">
        <v>4419</v>
      </c>
      <c r="B253" s="63">
        <f>VLOOKUP(A253,TypeIDs!B:C,2,FALSE)</f>
        <v>11563</v>
      </c>
      <c r="C253" s="36">
        <v>394300</v>
      </c>
      <c r="D253" s="36">
        <f t="shared" si="31"/>
        <v>429846.35</v>
      </c>
      <c r="E253" s="35">
        <f>INDEX(MARKET_INPUT[Column1.price],MATCH(B253,MARKET_INPUT[Column1.type_id]))</f>
        <v>383900</v>
      </c>
      <c r="F253" s="35">
        <f t="shared" si="32"/>
        <v>366816.45</v>
      </c>
      <c r="G253" s="18">
        <f>VLOOKUP(B253,TypeIDs!C:D,2,FALSE)</f>
        <v>20</v>
      </c>
      <c r="I253" s="15">
        <v>3</v>
      </c>
      <c r="J253" s="17">
        <f t="shared" si="35"/>
        <v>285.58</v>
      </c>
      <c r="K253" s="20">
        <f t="shared" si="36"/>
        <v>21</v>
      </c>
      <c r="L253" s="19">
        <f t="shared" si="33"/>
        <v>420</v>
      </c>
      <c r="M253" s="8">
        <f t="shared" si="39"/>
        <v>0.85336644128768346</v>
      </c>
      <c r="N253" s="9">
        <f t="shared" si="40"/>
        <v>9026773.3499999996</v>
      </c>
      <c r="O253" s="10">
        <f t="shared" si="37"/>
        <v>-1323627.8999999992</v>
      </c>
      <c r="P253" s="11">
        <f t="shared" si="38"/>
        <v>-3151.4949999999981</v>
      </c>
      <c r="Q253" s="23">
        <f t="shared" si="34"/>
        <v>7703145.4500000002</v>
      </c>
      <c r="R253" s="3" t="e">
        <f>VLOOKUP(B253,Buylist!B:B,1,FALSE)</f>
        <v>#N/A</v>
      </c>
      <c r="S253" s="3" t="e">
        <f>VLOOKUP(B253,Buylist!B:O,13,FALSE)</f>
        <v>#N/A</v>
      </c>
      <c r="T253" s="78">
        <v>252</v>
      </c>
    </row>
    <row r="254" spans="1:20">
      <c r="A254" s="13" t="s">
        <v>2888</v>
      </c>
      <c r="B254" s="63">
        <f>VLOOKUP(A254,TypeIDs!B:C,2,FALSE)</f>
        <v>4254</v>
      </c>
      <c r="C254" s="36">
        <v>1009000</v>
      </c>
      <c r="D254" s="36">
        <f t="shared" si="31"/>
        <v>1071900.5</v>
      </c>
      <c r="E254" s="35">
        <f>INDEX(MARKET_INPUT[Column1.price],MATCH(B254,MARKET_INPUT[Column1.type_id]))</f>
        <v>999800</v>
      </c>
      <c r="F254" s="35">
        <f t="shared" si="32"/>
        <v>955308.9</v>
      </c>
      <c r="G254" s="18">
        <f>VLOOKUP(B254,TypeIDs!C:D,2,FALSE)</f>
        <v>20</v>
      </c>
      <c r="I254" s="15">
        <v>2</v>
      </c>
      <c r="J254" s="17">
        <f t="shared" si="35"/>
        <v>449.6</v>
      </c>
      <c r="K254" s="20">
        <f t="shared" si="36"/>
        <v>14</v>
      </c>
      <c r="L254" s="19">
        <f t="shared" si="33"/>
        <v>280</v>
      </c>
      <c r="M254" s="8">
        <f t="shared" si="39"/>
        <v>0.89122908329644401</v>
      </c>
      <c r="N254" s="9">
        <f t="shared" si="40"/>
        <v>15006607</v>
      </c>
      <c r="O254" s="10">
        <f t="shared" si="37"/>
        <v>-1632282.3999999997</v>
      </c>
      <c r="P254" s="11">
        <f t="shared" si="38"/>
        <v>-5829.579999999999</v>
      </c>
      <c r="Q254" s="23">
        <f t="shared" si="34"/>
        <v>13374324.6</v>
      </c>
      <c r="R254" s="3" t="e">
        <f>VLOOKUP(B254,Buylist!B:B,1,FALSE)</f>
        <v>#N/A</v>
      </c>
      <c r="S254" s="3" t="e">
        <f>VLOOKUP(B254,Buylist!B:O,13,FALSE)</f>
        <v>#N/A</v>
      </c>
      <c r="T254" s="78">
        <v>253</v>
      </c>
    </row>
    <row r="255" spans="1:20">
      <c r="A255" s="13" t="s">
        <v>3068</v>
      </c>
      <c r="B255" s="63">
        <f>VLOOKUP(A255,TypeIDs!B:C,2,FALSE)</f>
        <v>4871</v>
      </c>
      <c r="C255" s="36">
        <v>45330</v>
      </c>
      <c r="D255" s="36">
        <f t="shared" si="31"/>
        <v>60847.184999999998</v>
      </c>
      <c r="E255" s="35">
        <f>INDEX(MARKET_INPUT[Column1.price],MATCH(B255,MARKET_INPUT[Column1.type_id]))</f>
        <v>99990</v>
      </c>
      <c r="F255" s="35">
        <f t="shared" si="32"/>
        <v>95540.445000000007</v>
      </c>
      <c r="G255" s="18">
        <f>VLOOKUP(B255,TypeIDs!C:D,2,FALSE)</f>
        <v>15</v>
      </c>
      <c r="I255" s="15">
        <v>2</v>
      </c>
      <c r="J255" s="17">
        <f t="shared" si="35"/>
        <v>54.132000000000005</v>
      </c>
      <c r="K255" s="20">
        <f t="shared" si="36"/>
        <v>14</v>
      </c>
      <c r="L255" s="19">
        <f t="shared" si="33"/>
        <v>210</v>
      </c>
      <c r="M255" s="8">
        <f t="shared" si="39"/>
        <v>1.5701703373787959</v>
      </c>
      <c r="N255" s="9">
        <f t="shared" si="40"/>
        <v>851860.59</v>
      </c>
      <c r="O255" s="10">
        <f t="shared" si="37"/>
        <v>485705.64000000013</v>
      </c>
      <c r="P255" s="11">
        <f t="shared" si="38"/>
        <v>2312.8840000000005</v>
      </c>
      <c r="Q255" s="23">
        <f t="shared" si="34"/>
        <v>1337566.23</v>
      </c>
      <c r="R255" s="3" t="e">
        <f>VLOOKUP(B255,Buylist!B:B,1,FALSE)</f>
        <v>#N/A</v>
      </c>
      <c r="S255" s="3" t="e">
        <f>VLOOKUP(B255,Buylist!B:O,13,FALSE)</f>
        <v>#N/A</v>
      </c>
      <c r="T255" s="78">
        <v>254</v>
      </c>
    </row>
    <row r="256" spans="1:20">
      <c r="A256" s="13" t="s">
        <v>2210</v>
      </c>
      <c r="B256" s="63">
        <f>VLOOKUP(A256,TypeIDs!B:C,2,FALSE)</f>
        <v>3504</v>
      </c>
      <c r="C256" s="36">
        <v>1896000</v>
      </c>
      <c r="D256" s="36">
        <f t="shared" si="31"/>
        <v>1993872</v>
      </c>
      <c r="E256" s="35">
        <f>INDEX(MARKET_INPUT[Column1.price],MATCH(B256,MARKET_INPUT[Column1.type_id]))</f>
        <v>2799000</v>
      </c>
      <c r="F256" s="35">
        <f t="shared" si="32"/>
        <v>2674444.5</v>
      </c>
      <c r="G256" s="18">
        <f>VLOOKUP(B256,TypeIDs!C:D,2,FALSE)</f>
        <v>15</v>
      </c>
      <c r="I256" s="15">
        <v>3</v>
      </c>
      <c r="J256" s="17">
        <f t="shared" si="35"/>
        <v>1176.5999999999999</v>
      </c>
      <c r="K256" s="20">
        <f t="shared" si="36"/>
        <v>21</v>
      </c>
      <c r="L256" s="19">
        <f t="shared" si="33"/>
        <v>315</v>
      </c>
      <c r="M256" s="8">
        <f t="shared" si="39"/>
        <v>1.3413320915284432</v>
      </c>
      <c r="N256" s="9">
        <f t="shared" si="40"/>
        <v>41871312</v>
      </c>
      <c r="O256" s="10">
        <f t="shared" si="37"/>
        <v>14292022.5</v>
      </c>
      <c r="P256" s="11">
        <f t="shared" si="38"/>
        <v>45371.5</v>
      </c>
      <c r="Q256" s="23">
        <f t="shared" si="34"/>
        <v>56163334.5</v>
      </c>
      <c r="R256" s="3" t="e">
        <f>VLOOKUP(B256,Buylist!B:B,1,FALSE)</f>
        <v>#N/A</v>
      </c>
      <c r="S256" s="3" t="e">
        <f>VLOOKUP(B256,Buylist!B:O,13,FALSE)</f>
        <v>#N/A</v>
      </c>
      <c r="T256" s="78">
        <v>255</v>
      </c>
    </row>
    <row r="257" spans="1:20">
      <c r="A257" s="13" t="s">
        <v>25908</v>
      </c>
      <c r="B257" s="63">
        <f>VLOOKUP(A257,TypeIDs!B:C,2,FALSE)</f>
        <v>41218</v>
      </c>
      <c r="C257" s="36">
        <v>26500000</v>
      </c>
      <c r="D257" s="36">
        <f t="shared" si="31"/>
        <v>27692750</v>
      </c>
      <c r="E257" s="35">
        <f>INDEX(MARKET_INPUT[Column1.price],MATCH(B257,MARKET_INPUT[Column1.type_id]))</f>
        <v>34940000</v>
      </c>
      <c r="F257" s="35">
        <f t="shared" si="32"/>
        <v>33385170</v>
      </c>
      <c r="G257" s="18">
        <f>VLOOKUP(B257,TypeIDs!C:D,2,FALSE)</f>
        <v>15</v>
      </c>
      <c r="I257" s="15">
        <v>3</v>
      </c>
      <c r="J257" s="17">
        <f t="shared" si="35"/>
        <v>15939</v>
      </c>
      <c r="K257" s="20">
        <f t="shared" si="36"/>
        <v>21</v>
      </c>
      <c r="L257" s="19">
        <f t="shared" si="33"/>
        <v>315</v>
      </c>
      <c r="M257" s="8">
        <f t="shared" si="39"/>
        <v>1.2055563279197623</v>
      </c>
      <c r="N257" s="9">
        <f t="shared" si="40"/>
        <v>581547750</v>
      </c>
      <c r="O257" s="10">
        <f t="shared" si="37"/>
        <v>119540820</v>
      </c>
      <c r="P257" s="11">
        <f t="shared" si="38"/>
        <v>379494.66666666669</v>
      </c>
      <c r="Q257" s="23">
        <f t="shared" si="34"/>
        <v>701088570</v>
      </c>
      <c r="R257" s="3" t="e">
        <f>VLOOKUP(B257,Buylist!B:B,1,FALSE)</f>
        <v>#N/A</v>
      </c>
      <c r="S257" s="3" t="e">
        <f>VLOOKUP(B257,Buylist!B:O,13,FALSE)</f>
        <v>#N/A</v>
      </c>
      <c r="T257" s="78">
        <v>256</v>
      </c>
    </row>
    <row r="258" spans="1:20">
      <c r="A258" s="13" t="s">
        <v>2203</v>
      </c>
      <c r="B258" s="63">
        <f>VLOOKUP(A258,TypeIDs!B:C,2,FALSE)</f>
        <v>3496</v>
      </c>
      <c r="C258" s="36">
        <v>1323000</v>
      </c>
      <c r="D258" s="36">
        <f t="shared" ref="D258:D321" si="41">(C258+(C258*TaxRate))+(G258*ShippingCost)</f>
        <v>1390873.5</v>
      </c>
      <c r="E258" s="35">
        <f>INDEX(MARKET_INPUT[Column1.price],MATCH(B258,MARKET_INPUT[Column1.type_id]))</f>
        <v>1942000</v>
      </c>
      <c r="F258" s="35">
        <f t="shared" ref="F258:F321" si="42">E258-(E258*TaxRate)</f>
        <v>1855581</v>
      </c>
      <c r="G258" s="18">
        <f>VLOOKUP(B258,TypeIDs!C:D,2,FALSE)</f>
        <v>10</v>
      </c>
      <c r="I258" s="15">
        <v>3</v>
      </c>
      <c r="J258" s="17">
        <f t="shared" si="35"/>
        <v>822.8</v>
      </c>
      <c r="K258" s="20">
        <f t="shared" si="36"/>
        <v>21</v>
      </c>
      <c r="L258" s="19">
        <f t="shared" ref="L258:L321" si="43">(G258*I258)*7</f>
        <v>210</v>
      </c>
      <c r="M258" s="8">
        <f t="shared" si="39"/>
        <v>1.334111980708526</v>
      </c>
      <c r="N258" s="9">
        <f t="shared" si="40"/>
        <v>29208343.5</v>
      </c>
      <c r="O258" s="10">
        <f t="shared" si="37"/>
        <v>9758857.5</v>
      </c>
      <c r="P258" s="11">
        <f t="shared" si="38"/>
        <v>46470.75</v>
      </c>
      <c r="Q258" s="23">
        <f t="shared" ref="Q258:Q321" si="44">N258+O258</f>
        <v>38967201</v>
      </c>
      <c r="R258" s="3" t="e">
        <f>VLOOKUP(B258,Buylist!B:B,1,FALSE)</f>
        <v>#N/A</v>
      </c>
      <c r="S258" s="3" t="e">
        <f>VLOOKUP(B258,Buylist!B:O,13,FALSE)</f>
        <v>#N/A</v>
      </c>
      <c r="T258" s="78">
        <v>257</v>
      </c>
    </row>
    <row r="259" spans="1:20">
      <c r="A259" s="13" t="s">
        <v>3065</v>
      </c>
      <c r="B259" s="63">
        <f>VLOOKUP(A259,TypeIDs!B:C,2,FALSE)</f>
        <v>4833</v>
      </c>
      <c r="C259" s="36">
        <v>12930</v>
      </c>
      <c r="D259" s="36">
        <f t="shared" si="41"/>
        <v>22505.385000000002</v>
      </c>
      <c r="E259" s="35">
        <f>INDEX(MARKET_INPUT[Column1.price],MATCH(B259,MARKET_INPUT[Column1.type_id]))</f>
        <v>50010</v>
      </c>
      <c r="F259" s="35">
        <f t="shared" si="42"/>
        <v>47784.555</v>
      </c>
      <c r="G259" s="18">
        <f>VLOOKUP(B259,TypeIDs!C:D,2,FALSE)</f>
        <v>10</v>
      </c>
      <c r="I259" s="15">
        <v>3</v>
      </c>
      <c r="J259" s="17">
        <f t="shared" ref="J259:J322" si="45">((C259/(5000/I259))+(G259*2)+(I259*3))</f>
        <v>36.757999999999996</v>
      </c>
      <c r="K259" s="20">
        <f t="shared" ref="K259:K322" si="46">I259*7</f>
        <v>21</v>
      </c>
      <c r="L259" s="19">
        <f t="shared" si="43"/>
        <v>210</v>
      </c>
      <c r="M259" s="8">
        <f t="shared" si="39"/>
        <v>2.1232498355393608</v>
      </c>
      <c r="N259" s="9">
        <f t="shared" si="40"/>
        <v>472613.08500000002</v>
      </c>
      <c r="O259" s="10">
        <f t="shared" ref="O259:O322" si="47">(F259-D259)*K259</f>
        <v>530862.56999999995</v>
      </c>
      <c r="P259" s="11">
        <f t="shared" ref="P259:P322" si="48">(F259-D259)/G259</f>
        <v>2527.9169999999999</v>
      </c>
      <c r="Q259" s="23">
        <f t="shared" si="44"/>
        <v>1003475.655</v>
      </c>
      <c r="R259" s="3" t="e">
        <f>VLOOKUP(B259,Buylist!B:B,1,FALSE)</f>
        <v>#N/A</v>
      </c>
      <c r="S259" s="3" t="e">
        <f>VLOOKUP(B259,Buylist!B:O,13,FALSE)</f>
        <v>#N/A</v>
      </c>
      <c r="T259" s="78">
        <v>258</v>
      </c>
    </row>
    <row r="260" spans="1:20">
      <c r="A260" s="13" t="s">
        <v>900</v>
      </c>
      <c r="B260" s="63">
        <f>VLOOKUP(A260,TypeIDs!B:C,2,FALSE)</f>
        <v>2024</v>
      </c>
      <c r="C260" s="36">
        <v>1021000</v>
      </c>
      <c r="D260" s="36">
        <f t="shared" si="41"/>
        <v>1075434.5</v>
      </c>
      <c r="E260" s="35">
        <f>INDEX(MARKET_INPUT[Column1.price],MATCH(B260,MARKET_INPUT[Column1.type_id]))</f>
        <v>1560000</v>
      </c>
      <c r="F260" s="35">
        <f t="shared" si="42"/>
        <v>1490580</v>
      </c>
      <c r="G260" s="18">
        <f>VLOOKUP(B260,TypeIDs!C:D,2,FALSE)</f>
        <v>10</v>
      </c>
      <c r="I260" s="15">
        <v>2</v>
      </c>
      <c r="J260" s="17">
        <f t="shared" si="45"/>
        <v>434.4</v>
      </c>
      <c r="K260" s="20">
        <f t="shared" si="46"/>
        <v>14</v>
      </c>
      <c r="L260" s="19">
        <f t="shared" si="43"/>
        <v>140</v>
      </c>
      <c r="M260" s="8">
        <f t="shared" ref="M260:M323" si="49">F260/D260</f>
        <v>1.3860258342093359</v>
      </c>
      <c r="N260" s="9">
        <f t="shared" ref="N260:N323" si="50">D260*K260</f>
        <v>15056083</v>
      </c>
      <c r="O260" s="10">
        <f t="shared" si="47"/>
        <v>5812037</v>
      </c>
      <c r="P260" s="11">
        <f t="shared" si="48"/>
        <v>41514.550000000003</v>
      </c>
      <c r="Q260" s="23">
        <f t="shared" si="44"/>
        <v>20868120</v>
      </c>
      <c r="R260" s="3" t="e">
        <f>VLOOKUP(B260,Buylist!B:B,1,FALSE)</f>
        <v>#N/A</v>
      </c>
      <c r="S260" s="3" t="e">
        <f>VLOOKUP(B260,Buylist!B:O,13,FALSE)</f>
        <v>#N/A</v>
      </c>
      <c r="T260" s="78">
        <v>259</v>
      </c>
    </row>
    <row r="261" spans="1:20">
      <c r="A261" s="13" t="s">
        <v>2274</v>
      </c>
      <c r="B261" s="63">
        <f>VLOOKUP(A261,TypeIDs!B:C,2,FALSE)</f>
        <v>3568</v>
      </c>
      <c r="C261" s="36">
        <v>19840000</v>
      </c>
      <c r="D261" s="36">
        <f t="shared" si="41"/>
        <v>20727380</v>
      </c>
      <c r="E261" s="35">
        <f>INDEX(MARKET_INPUT[Column1.price],MATCH(B261,MARKET_INPUT[Column1.type_id]))</f>
        <v>800000</v>
      </c>
      <c r="F261" s="35">
        <f t="shared" si="42"/>
        <v>764400</v>
      </c>
      <c r="G261" s="18">
        <f>VLOOKUP(B261,TypeIDs!C:D,2,FALSE)</f>
        <v>5</v>
      </c>
      <c r="I261" s="15">
        <v>3</v>
      </c>
      <c r="J261" s="17">
        <f t="shared" si="45"/>
        <v>11923</v>
      </c>
      <c r="K261" s="20">
        <f t="shared" si="46"/>
        <v>21</v>
      </c>
      <c r="L261" s="19">
        <f t="shared" si="43"/>
        <v>105</v>
      </c>
      <c r="M261" s="8">
        <f t="shared" si="49"/>
        <v>3.6878756504681247E-2</v>
      </c>
      <c r="N261" s="9">
        <f t="shared" si="50"/>
        <v>435274980</v>
      </c>
      <c r="O261" s="10">
        <f t="shared" si="47"/>
        <v>-419222580</v>
      </c>
      <c r="P261" s="11">
        <f t="shared" si="48"/>
        <v>-3992596</v>
      </c>
      <c r="Q261" s="23">
        <f t="shared" si="44"/>
        <v>16052400</v>
      </c>
      <c r="R261" s="3" t="e">
        <f>VLOOKUP(B261,Buylist!B:B,1,FALSE)</f>
        <v>#N/A</v>
      </c>
      <c r="S261" s="3" t="e">
        <f>VLOOKUP(B261,Buylist!B:O,13,FALSE)</f>
        <v>#N/A</v>
      </c>
      <c r="T261" s="78">
        <v>260</v>
      </c>
    </row>
    <row r="262" spans="1:20">
      <c r="A262" s="13" t="s">
        <v>630</v>
      </c>
      <c r="B262" s="63">
        <f>VLOOKUP(A262,TypeIDs!B:C,2,FALSE)</f>
        <v>1248</v>
      </c>
      <c r="C262" s="36">
        <v>581000</v>
      </c>
      <c r="D262" s="36">
        <f t="shared" si="41"/>
        <v>611354.5</v>
      </c>
      <c r="E262" s="35">
        <f>INDEX(MARKET_INPUT[Column1.price],MATCH(B262,MARKET_INPUT[Column1.type_id]))</f>
        <v>1080000</v>
      </c>
      <c r="F262" s="35">
        <f t="shared" si="42"/>
        <v>1031940</v>
      </c>
      <c r="G262" s="18">
        <f>VLOOKUP(B262,TypeIDs!C:D,2,FALSE)</f>
        <v>5</v>
      </c>
      <c r="I262" s="15">
        <v>4</v>
      </c>
      <c r="J262" s="17">
        <f t="shared" si="45"/>
        <v>486.8</v>
      </c>
      <c r="K262" s="20">
        <f t="shared" si="46"/>
        <v>28</v>
      </c>
      <c r="L262" s="19">
        <f t="shared" si="43"/>
        <v>140</v>
      </c>
      <c r="M262" s="8">
        <f t="shared" si="49"/>
        <v>1.6879568237413809</v>
      </c>
      <c r="N262" s="9">
        <f t="shared" si="50"/>
        <v>17117926</v>
      </c>
      <c r="O262" s="10">
        <f t="shared" si="47"/>
        <v>11776394</v>
      </c>
      <c r="P262" s="11">
        <f t="shared" si="48"/>
        <v>84117.1</v>
      </c>
      <c r="Q262" s="23">
        <f t="shared" si="44"/>
        <v>28894320</v>
      </c>
      <c r="R262" s="3" t="e">
        <f>VLOOKUP(B262,Buylist!B:B,1,FALSE)</f>
        <v>#N/A</v>
      </c>
      <c r="S262" s="3" t="e">
        <f>VLOOKUP(B262,Buylist!B:O,13,FALSE)</f>
        <v>#N/A</v>
      </c>
      <c r="T262" s="78">
        <v>261</v>
      </c>
    </row>
    <row r="263" spans="1:20">
      <c r="A263" s="13" t="s">
        <v>701</v>
      </c>
      <c r="B263" s="63">
        <f>VLOOKUP(A263,TypeIDs!B:C,2,FALSE)</f>
        <v>1447</v>
      </c>
      <c r="C263" s="36">
        <f t="array" ref="C263:C342">_xlfn.FILTERXML(BF47,BG21)</f>
        <v>574500</v>
      </c>
      <c r="D263" s="69">
        <f t="shared" si="41"/>
        <v>604565.25</v>
      </c>
      <c r="E263" s="35">
        <f>INDEX(MARKET_INPUT[Column1.price],MATCH(B263,MARKET_INPUT[Column1.type_id]))</f>
        <v>719500</v>
      </c>
      <c r="F263" s="35">
        <f t="shared" si="42"/>
        <v>687482.25</v>
      </c>
      <c r="G263" s="18">
        <f>VLOOKUP(B263,TypeIDs!C:D,2,FALSE)</f>
        <v>5</v>
      </c>
      <c r="I263" s="15">
        <v>5</v>
      </c>
      <c r="J263" s="17">
        <f t="shared" si="45"/>
        <v>599.5</v>
      </c>
      <c r="K263" s="20">
        <f t="shared" si="46"/>
        <v>35</v>
      </c>
      <c r="L263" s="19">
        <f t="shared" si="43"/>
        <v>175</v>
      </c>
      <c r="M263" s="8">
        <f t="shared" si="49"/>
        <v>1.1371514489130825</v>
      </c>
      <c r="N263" s="9">
        <f t="shared" si="50"/>
        <v>21159783.75</v>
      </c>
      <c r="O263" s="10">
        <f t="shared" si="47"/>
        <v>2902095</v>
      </c>
      <c r="P263" s="11">
        <f t="shared" si="48"/>
        <v>16583.400000000001</v>
      </c>
      <c r="Q263" s="23">
        <f t="shared" si="44"/>
        <v>24061878.75</v>
      </c>
      <c r="R263" s="3" t="e">
        <f>VLOOKUP(B263,Buylist!B:B,1,FALSE)</f>
        <v>#N/A</v>
      </c>
      <c r="S263" s="3" t="e">
        <f>VLOOKUP(B263,Buylist!B:O,13,FALSE)</f>
        <v>#N/A</v>
      </c>
      <c r="T263" s="78">
        <v>262</v>
      </c>
    </row>
    <row r="264" spans="1:20">
      <c r="A264" s="13" t="s">
        <v>908</v>
      </c>
      <c r="B264" s="63">
        <f>VLOOKUP(A264,TypeIDs!B:C,2,FALSE)</f>
        <v>2032</v>
      </c>
      <c r="C264" s="36">
        <v>614900</v>
      </c>
      <c r="D264" s="69">
        <f t="shared" si="41"/>
        <v>646763.05000000005</v>
      </c>
      <c r="E264" s="35">
        <f>INDEX(MARKET_INPUT[Column1.price],MATCH(B264,MARKET_INPUT[Column1.type_id]))</f>
        <v>880000</v>
      </c>
      <c r="F264" s="35">
        <f t="shared" si="42"/>
        <v>840840</v>
      </c>
      <c r="G264" s="18">
        <f>VLOOKUP(B264,TypeIDs!C:D,2,FALSE)</f>
        <v>5</v>
      </c>
      <c r="I264" s="15">
        <v>8</v>
      </c>
      <c r="J264" s="17">
        <f t="shared" si="45"/>
        <v>1017.84</v>
      </c>
      <c r="K264" s="20">
        <f t="shared" si="46"/>
        <v>56</v>
      </c>
      <c r="L264" s="19">
        <f t="shared" si="43"/>
        <v>280</v>
      </c>
      <c r="M264" s="8">
        <f t="shared" si="49"/>
        <v>1.3000742698581806</v>
      </c>
      <c r="N264" s="9">
        <f t="shared" si="50"/>
        <v>36218730.800000004</v>
      </c>
      <c r="O264" s="10">
        <f t="shared" si="47"/>
        <v>10868309.199999997</v>
      </c>
      <c r="P264" s="11">
        <f t="shared" si="48"/>
        <v>38815.389999999992</v>
      </c>
      <c r="Q264" s="23">
        <f t="shared" si="44"/>
        <v>47087040</v>
      </c>
      <c r="R264" s="3" t="e">
        <f>VLOOKUP(B264,Buylist!B:B,1,FALSE)</f>
        <v>#N/A</v>
      </c>
      <c r="S264" s="3" t="e">
        <f>VLOOKUP(B264,Buylist!B:O,13,FALSE)</f>
        <v>#N/A</v>
      </c>
      <c r="T264" s="78">
        <v>263</v>
      </c>
    </row>
    <row r="265" spans="1:20">
      <c r="A265" s="13" t="s">
        <v>4860</v>
      </c>
      <c r="B265" s="63">
        <f>VLOOKUP(A265,TypeIDs!B:C,2,FALSE)</f>
        <v>12271</v>
      </c>
      <c r="C265" s="36">
        <v>5116000</v>
      </c>
      <c r="D265" s="69">
        <f t="shared" si="41"/>
        <v>5348162</v>
      </c>
      <c r="E265" s="35">
        <f>INDEX(MARKET_INPUT[Column1.price],MATCH(B265,MARKET_INPUT[Column1.type_id]))</f>
        <v>5498000</v>
      </c>
      <c r="F265" s="35">
        <f t="shared" si="42"/>
        <v>5253339</v>
      </c>
      <c r="G265" s="18">
        <f>VLOOKUP(B265,TypeIDs!C:D,2,FALSE)</f>
        <v>5</v>
      </c>
      <c r="I265" s="15">
        <v>2</v>
      </c>
      <c r="J265" s="17">
        <f t="shared" si="45"/>
        <v>2062.4</v>
      </c>
      <c r="K265" s="20">
        <f t="shared" si="46"/>
        <v>14</v>
      </c>
      <c r="L265" s="19">
        <f t="shared" si="43"/>
        <v>70</v>
      </c>
      <c r="M265" s="8">
        <f t="shared" si="49"/>
        <v>0.98226998359436379</v>
      </c>
      <c r="N265" s="9">
        <f t="shared" si="50"/>
        <v>74874268</v>
      </c>
      <c r="O265" s="10">
        <f t="shared" si="47"/>
        <v>-1327522</v>
      </c>
      <c r="P265" s="11">
        <f t="shared" si="48"/>
        <v>-18964.599999999999</v>
      </c>
      <c r="Q265" s="23">
        <f t="shared" si="44"/>
        <v>73546746</v>
      </c>
      <c r="R265" s="3" t="e">
        <f>VLOOKUP(B265,Buylist!B:B,1,FALSE)</f>
        <v>#N/A</v>
      </c>
      <c r="S265" s="3" t="e">
        <f>VLOOKUP(B265,Buylist!B:O,13,FALSE)</f>
        <v>#N/A</v>
      </c>
      <c r="T265" s="78">
        <v>264</v>
      </c>
    </row>
    <row r="266" spans="1:20">
      <c r="A266" s="13" t="s">
        <v>4856</v>
      </c>
      <c r="B266" s="63">
        <f>VLOOKUP(A266,TypeIDs!B:C,2,FALSE)</f>
        <v>12267</v>
      </c>
      <c r="C266" s="36">
        <v>3125000</v>
      </c>
      <c r="D266" s="69">
        <f t="shared" si="41"/>
        <v>3268562.5</v>
      </c>
      <c r="E266" s="35">
        <f>INDEX(MARKET_INPUT[Column1.price],MATCH(B266,MARKET_INPUT[Column1.type_id]))</f>
        <v>4970000</v>
      </c>
      <c r="F266" s="35">
        <f t="shared" si="42"/>
        <v>4748835</v>
      </c>
      <c r="G266" s="18">
        <f>VLOOKUP(B266,TypeIDs!C:D,2,FALSE)</f>
        <v>5</v>
      </c>
      <c r="I266" s="15">
        <v>2</v>
      </c>
      <c r="J266" s="17">
        <f t="shared" si="45"/>
        <v>1266</v>
      </c>
      <c r="K266" s="20">
        <f t="shared" si="46"/>
        <v>14</v>
      </c>
      <c r="L266" s="19">
        <f t="shared" si="43"/>
        <v>70</v>
      </c>
      <c r="M266" s="8">
        <f t="shared" si="49"/>
        <v>1.4528818096640344</v>
      </c>
      <c r="N266" s="9">
        <f t="shared" si="50"/>
        <v>45759875</v>
      </c>
      <c r="O266" s="10">
        <f t="shared" si="47"/>
        <v>20723815</v>
      </c>
      <c r="P266" s="11">
        <f t="shared" si="48"/>
        <v>296054.5</v>
      </c>
      <c r="Q266" s="23">
        <f t="shared" si="44"/>
        <v>66483690</v>
      </c>
      <c r="R266" s="3" t="e">
        <f>VLOOKUP(B266,Buylist!B:B,1,FALSE)</f>
        <v>#N/A</v>
      </c>
      <c r="S266" s="3" t="e">
        <f>VLOOKUP(B266,Buylist!B:O,13,FALSE)</f>
        <v>#N/A</v>
      </c>
      <c r="T266" s="78">
        <v>265</v>
      </c>
    </row>
    <row r="267" spans="1:20">
      <c r="A267" s="13" t="s">
        <v>5149</v>
      </c>
      <c r="B267" s="63">
        <f>VLOOKUP(A267,TypeIDs!B:C,2,FALSE)</f>
        <v>13003</v>
      </c>
      <c r="C267" s="36">
        <v>1237000</v>
      </c>
      <c r="D267" s="69">
        <f t="shared" si="41"/>
        <v>1296546.5</v>
      </c>
      <c r="E267" s="35">
        <f>INDEX(MARKET_INPUT[Column1.price],MATCH(B267,MARKET_INPUT[Column1.type_id]))</f>
        <v>2697000</v>
      </c>
      <c r="F267" s="35">
        <f t="shared" si="42"/>
        <v>2576983.5</v>
      </c>
      <c r="G267" s="18">
        <f>VLOOKUP(B267,TypeIDs!C:D,2,FALSE)</f>
        <v>5</v>
      </c>
      <c r="I267" s="15">
        <v>6</v>
      </c>
      <c r="J267" s="17">
        <f t="shared" si="45"/>
        <v>1512.3999999999999</v>
      </c>
      <c r="K267" s="20">
        <f t="shared" si="46"/>
        <v>42</v>
      </c>
      <c r="L267" s="19">
        <f t="shared" si="43"/>
        <v>210</v>
      </c>
      <c r="M267" s="8">
        <f t="shared" si="49"/>
        <v>1.9875750696176342</v>
      </c>
      <c r="N267" s="9">
        <f t="shared" si="50"/>
        <v>54454953</v>
      </c>
      <c r="O267" s="10">
        <f t="shared" si="47"/>
        <v>53778354</v>
      </c>
      <c r="P267" s="11">
        <f t="shared" si="48"/>
        <v>256087.4</v>
      </c>
      <c r="Q267" s="23">
        <f t="shared" si="44"/>
        <v>108233307</v>
      </c>
      <c r="R267" s="3" t="e">
        <f>VLOOKUP(B267,Buylist!B:B,1,FALSE)</f>
        <v>#N/A</v>
      </c>
      <c r="S267" s="3" t="e">
        <f>VLOOKUP(B267,Buylist!B:O,13,FALSE)</f>
        <v>#N/A</v>
      </c>
      <c r="T267" s="78">
        <v>266</v>
      </c>
    </row>
    <row r="268" spans="1:20">
      <c r="A268" s="13" t="s">
        <v>5147</v>
      </c>
      <c r="B268" s="63">
        <f>VLOOKUP(A268,TypeIDs!B:C,2,FALSE)</f>
        <v>13001</v>
      </c>
      <c r="C268" s="36">
        <v>1877000</v>
      </c>
      <c r="D268" s="69">
        <f t="shared" si="41"/>
        <v>1965026.5</v>
      </c>
      <c r="E268" s="35">
        <f>INDEX(MARKET_INPUT[Column1.price],MATCH(B268,MARKET_INPUT[Column1.type_id]))</f>
        <v>2649000</v>
      </c>
      <c r="F268" s="35">
        <f t="shared" si="42"/>
        <v>2531119.5</v>
      </c>
      <c r="G268" s="18">
        <f>VLOOKUP(B268,TypeIDs!C:D,2,FALSE)</f>
        <v>5</v>
      </c>
      <c r="I268" s="15">
        <v>2</v>
      </c>
      <c r="J268" s="17">
        <f t="shared" si="45"/>
        <v>766.8</v>
      </c>
      <c r="K268" s="20">
        <f t="shared" si="46"/>
        <v>14</v>
      </c>
      <c r="L268" s="19">
        <f t="shared" si="43"/>
        <v>70</v>
      </c>
      <c r="M268" s="8">
        <f t="shared" si="49"/>
        <v>1.2880841556080795</v>
      </c>
      <c r="N268" s="9">
        <f t="shared" si="50"/>
        <v>27510371</v>
      </c>
      <c r="O268" s="10">
        <f t="shared" si="47"/>
        <v>7925302</v>
      </c>
      <c r="P268" s="11">
        <f t="shared" si="48"/>
        <v>113218.6</v>
      </c>
      <c r="Q268" s="23">
        <f t="shared" si="44"/>
        <v>35435673</v>
      </c>
      <c r="R268" s="3">
        <f>VLOOKUP(B268,Buylist!B:B,1,FALSE)</f>
        <v>13001</v>
      </c>
      <c r="S268" s="3">
        <f>VLOOKUP(B268,Buylist!B:O,13,FALSE)</f>
        <v>0</v>
      </c>
      <c r="T268" s="78">
        <v>267</v>
      </c>
    </row>
    <row r="269" spans="1:20">
      <c r="A269" s="13" t="s">
        <v>709</v>
      </c>
      <c r="B269" s="63">
        <f>VLOOKUP(A269,TypeIDs!B:C,2,FALSE)</f>
        <v>1541</v>
      </c>
      <c r="C269" s="36">
        <v>645000</v>
      </c>
      <c r="D269" s="69">
        <f t="shared" si="41"/>
        <v>678202.5</v>
      </c>
      <c r="E269" s="35">
        <f>INDEX(MARKET_INPUT[Column1.price],MATCH(B269,MARKET_INPUT[Column1.type_id]))</f>
        <v>897000</v>
      </c>
      <c r="F269" s="35">
        <f t="shared" si="42"/>
        <v>857083.5</v>
      </c>
      <c r="G269" s="18">
        <f>VLOOKUP(B269,TypeIDs!C:D,2,FALSE)</f>
        <v>5</v>
      </c>
      <c r="I269" s="15">
        <v>10</v>
      </c>
      <c r="J269" s="17">
        <f t="shared" si="45"/>
        <v>1330</v>
      </c>
      <c r="K269" s="20">
        <f t="shared" si="46"/>
        <v>70</v>
      </c>
      <c r="L269" s="19">
        <f t="shared" si="43"/>
        <v>350</v>
      </c>
      <c r="M269" s="8">
        <f t="shared" si="49"/>
        <v>1.2637575060546076</v>
      </c>
      <c r="N269" s="9">
        <f t="shared" si="50"/>
        <v>47474175</v>
      </c>
      <c r="O269" s="10">
        <f t="shared" si="47"/>
        <v>12521670</v>
      </c>
      <c r="P269" s="11">
        <f t="shared" si="48"/>
        <v>35776.199999999997</v>
      </c>
      <c r="Q269" s="23">
        <f t="shared" si="44"/>
        <v>59995845</v>
      </c>
      <c r="R269" s="3" t="e">
        <f>VLOOKUP(B269,Buylist!B:B,1,FALSE)</f>
        <v>#N/A</v>
      </c>
      <c r="S269" s="3" t="e">
        <f>VLOOKUP(B269,Buylist!B:O,13,FALSE)</f>
        <v>#N/A</v>
      </c>
      <c r="T269" s="78">
        <v>268</v>
      </c>
    </row>
    <row r="270" spans="1:20">
      <c r="A270" s="13" t="s">
        <v>18202</v>
      </c>
      <c r="B270" s="63">
        <f>VLOOKUP(A270,TypeIDs!B:C,2,FALSE)</f>
        <v>31952</v>
      </c>
      <c r="C270" s="36">
        <v>28460000</v>
      </c>
      <c r="D270" s="69">
        <f t="shared" si="41"/>
        <v>29730970</v>
      </c>
      <c r="E270" s="35">
        <f>INDEX(MARKET_INPUT[Column1.price],MATCH(B270,MARKET_INPUT[Column1.type_id]))</f>
        <v>38190000</v>
      </c>
      <c r="F270" s="35">
        <f t="shared" si="42"/>
        <v>36490545</v>
      </c>
      <c r="G270" s="18">
        <f>VLOOKUP(B270,TypeIDs!C:D,2,FALSE)</f>
        <v>5</v>
      </c>
      <c r="I270" s="15">
        <v>2</v>
      </c>
      <c r="J270" s="17">
        <f t="shared" si="45"/>
        <v>11400</v>
      </c>
      <c r="K270" s="20">
        <f t="shared" si="46"/>
        <v>14</v>
      </c>
      <c r="L270" s="19">
        <f t="shared" si="43"/>
        <v>70</v>
      </c>
      <c r="M270" s="8">
        <f t="shared" si="49"/>
        <v>1.2273580377633155</v>
      </c>
      <c r="N270" s="9">
        <f t="shared" si="50"/>
        <v>416233580</v>
      </c>
      <c r="O270" s="10">
        <f t="shared" si="47"/>
        <v>94634050</v>
      </c>
      <c r="P270" s="11">
        <f t="shared" si="48"/>
        <v>1351915</v>
      </c>
      <c r="Q270" s="23">
        <f t="shared" si="44"/>
        <v>510867630</v>
      </c>
      <c r="R270" s="3" t="e">
        <f>VLOOKUP(B270,Buylist!B:B,1,FALSE)</f>
        <v>#N/A</v>
      </c>
      <c r="S270" s="3" t="e">
        <f>VLOOKUP(B270,Buylist!B:O,13,FALSE)</f>
        <v>#N/A</v>
      </c>
      <c r="T270" s="78">
        <v>269</v>
      </c>
    </row>
    <row r="271" spans="1:20">
      <c r="A271" s="13" t="s">
        <v>673</v>
      </c>
      <c r="B271" s="63">
        <f>VLOOKUP(A271,TypeIDs!B:C,2,FALSE)</f>
        <v>1355</v>
      </c>
      <c r="C271" s="36">
        <v>740700</v>
      </c>
      <c r="D271" s="69">
        <f t="shared" si="41"/>
        <v>778161.15</v>
      </c>
      <c r="E271" s="35">
        <f>INDEX(MARKET_INPUT[Column1.price],MATCH(B271,MARKET_INPUT[Column1.type_id]))</f>
        <v>1195000</v>
      </c>
      <c r="F271" s="35">
        <f t="shared" si="42"/>
        <v>1141822.5</v>
      </c>
      <c r="G271" s="18">
        <f>VLOOKUP(B271,TypeIDs!C:D,2,FALSE)</f>
        <v>5</v>
      </c>
      <c r="I271" s="15">
        <v>6</v>
      </c>
      <c r="J271" s="17">
        <f t="shared" si="45"/>
        <v>916.83999999999992</v>
      </c>
      <c r="K271" s="20">
        <f t="shared" si="46"/>
        <v>42</v>
      </c>
      <c r="L271" s="19">
        <f t="shared" si="43"/>
        <v>210</v>
      </c>
      <c r="M271" s="8">
        <f t="shared" si="49"/>
        <v>1.4673342404719125</v>
      </c>
      <c r="N271" s="9">
        <f t="shared" si="50"/>
        <v>32682768.300000001</v>
      </c>
      <c r="O271" s="10">
        <f t="shared" si="47"/>
        <v>15273776.699999999</v>
      </c>
      <c r="P271" s="11">
        <f t="shared" si="48"/>
        <v>72732.26999999999</v>
      </c>
      <c r="Q271" s="23">
        <f t="shared" si="44"/>
        <v>47956545</v>
      </c>
      <c r="R271" s="3" t="e">
        <f>VLOOKUP(B271,Buylist!B:B,1,FALSE)</f>
        <v>#N/A</v>
      </c>
      <c r="S271" s="3" t="e">
        <f>VLOOKUP(B271,Buylist!B:O,13,FALSE)</f>
        <v>#N/A</v>
      </c>
      <c r="T271" s="78">
        <v>270</v>
      </c>
    </row>
    <row r="272" spans="1:20">
      <c r="A272" s="13" t="s">
        <v>13448</v>
      </c>
      <c r="B272" s="63">
        <f>VLOOKUP(A272,TypeIDs!B:C,2,FALSE)</f>
        <v>25861</v>
      </c>
      <c r="C272" s="36">
        <v>69290</v>
      </c>
      <c r="D272" s="69">
        <f t="shared" si="41"/>
        <v>76873.404999999999</v>
      </c>
      <c r="E272" s="35">
        <f>INDEX(MARKET_INPUT[Column1.price],MATCH(B272,MARKET_INPUT[Column1.type_id]))</f>
        <v>49890</v>
      </c>
      <c r="F272" s="35">
        <f t="shared" si="42"/>
        <v>47669.894999999997</v>
      </c>
      <c r="G272" s="18">
        <f>VLOOKUP(B272,TypeIDs!C:D,2,FALSE)</f>
        <v>5</v>
      </c>
      <c r="I272" s="15">
        <v>7</v>
      </c>
      <c r="J272" s="17">
        <f t="shared" si="45"/>
        <v>128.006</v>
      </c>
      <c r="K272" s="20">
        <f t="shared" si="46"/>
        <v>49</v>
      </c>
      <c r="L272" s="19">
        <f t="shared" si="43"/>
        <v>245</v>
      </c>
      <c r="M272" s="8">
        <f t="shared" si="49"/>
        <v>0.6201090611245853</v>
      </c>
      <c r="N272" s="9">
        <f t="shared" si="50"/>
        <v>3766796.8449999997</v>
      </c>
      <c r="O272" s="10">
        <f t="shared" si="47"/>
        <v>-1430971.99</v>
      </c>
      <c r="P272" s="11">
        <f t="shared" si="48"/>
        <v>-5840.7020000000002</v>
      </c>
      <c r="Q272" s="23">
        <f t="shared" si="44"/>
        <v>2335824.8549999995</v>
      </c>
      <c r="R272" s="3" t="e">
        <f>VLOOKUP(B272,Buylist!B:B,1,FALSE)</f>
        <v>#N/A</v>
      </c>
      <c r="S272" s="3" t="e">
        <f>VLOOKUP(B272,Buylist!B:O,13,FALSE)</f>
        <v>#N/A</v>
      </c>
      <c r="T272" s="78">
        <v>271</v>
      </c>
    </row>
    <row r="273" spans="1:20">
      <c r="A273" s="13" t="s">
        <v>17220</v>
      </c>
      <c r="B273" s="63">
        <f>VLOOKUP(A273,TypeIDs!B:C,2,FALSE)</f>
        <v>30836</v>
      </c>
      <c r="C273" s="36">
        <v>969100</v>
      </c>
      <c r="D273" s="69">
        <f t="shared" si="41"/>
        <v>1016724.95</v>
      </c>
      <c r="E273" s="35">
        <f>INDEX(MARKET_INPUT[Column1.price],MATCH(B273,MARKET_INPUT[Column1.type_id]))</f>
        <v>1560000</v>
      </c>
      <c r="F273" s="35">
        <f t="shared" si="42"/>
        <v>1490580</v>
      </c>
      <c r="G273" s="18">
        <f>VLOOKUP(B273,TypeIDs!C:D,2,FALSE)</f>
        <v>5</v>
      </c>
      <c r="I273" s="15">
        <v>3</v>
      </c>
      <c r="J273" s="17">
        <f t="shared" si="45"/>
        <v>600.45999999999992</v>
      </c>
      <c r="K273" s="20">
        <f t="shared" si="46"/>
        <v>21</v>
      </c>
      <c r="L273" s="19">
        <f t="shared" si="43"/>
        <v>105</v>
      </c>
      <c r="M273" s="8">
        <f t="shared" si="49"/>
        <v>1.4660602161872787</v>
      </c>
      <c r="N273" s="9">
        <f t="shared" si="50"/>
        <v>21351223.949999999</v>
      </c>
      <c r="O273" s="10">
        <f t="shared" si="47"/>
        <v>9950956.0500000007</v>
      </c>
      <c r="P273" s="11">
        <f t="shared" si="48"/>
        <v>94771.010000000009</v>
      </c>
      <c r="Q273" s="23">
        <f t="shared" si="44"/>
        <v>31302180</v>
      </c>
      <c r="R273" s="3" t="e">
        <f>VLOOKUP(B273,Buylist!B:B,1,FALSE)</f>
        <v>#N/A</v>
      </c>
      <c r="S273" s="3" t="e">
        <f>VLOOKUP(B273,Buylist!B:O,13,FALSE)</f>
        <v>#N/A</v>
      </c>
      <c r="T273" s="78">
        <v>272</v>
      </c>
    </row>
    <row r="274" spans="1:20">
      <c r="A274" s="13" t="s">
        <v>3020</v>
      </c>
      <c r="B274" s="63">
        <f>VLOOKUP(A274,TypeIDs!B:C,2,FALSE)</f>
        <v>4403</v>
      </c>
      <c r="C274" s="36">
        <v>839000</v>
      </c>
      <c r="D274" s="69">
        <f t="shared" si="41"/>
        <v>898835.5</v>
      </c>
      <c r="E274" s="35">
        <f>INDEX(MARKET_INPUT[Column1.price],MATCH(B274,MARKET_INPUT[Column1.type_id]))</f>
        <v>1477000</v>
      </c>
      <c r="F274" s="35">
        <f t="shared" si="42"/>
        <v>1411273.5</v>
      </c>
      <c r="G274" s="18">
        <f>VLOOKUP(B274,TypeIDs!C:D,2,FALSE)</f>
        <v>25</v>
      </c>
      <c r="I274" s="15">
        <v>5</v>
      </c>
      <c r="J274" s="17">
        <f t="shared" si="45"/>
        <v>904</v>
      </c>
      <c r="K274" s="20">
        <f t="shared" si="46"/>
        <v>35</v>
      </c>
      <c r="L274" s="19">
        <f t="shared" si="43"/>
        <v>875</v>
      </c>
      <c r="M274" s="8">
        <f t="shared" si="49"/>
        <v>1.5701132187146591</v>
      </c>
      <c r="N274" s="9">
        <f t="shared" si="50"/>
        <v>31459242.5</v>
      </c>
      <c r="O274" s="10">
        <f t="shared" si="47"/>
        <v>17935330</v>
      </c>
      <c r="P274" s="11">
        <f t="shared" si="48"/>
        <v>20497.52</v>
      </c>
      <c r="Q274" s="23">
        <f t="shared" si="44"/>
        <v>49394572.5</v>
      </c>
      <c r="R274" s="3" t="e">
        <f>VLOOKUP(B274,Buylist!B:B,1,FALSE)</f>
        <v>#N/A</v>
      </c>
      <c r="S274" s="3" t="e">
        <f>VLOOKUP(B274,Buylist!B:O,13,FALSE)</f>
        <v>#N/A</v>
      </c>
      <c r="T274" s="78">
        <v>273</v>
      </c>
    </row>
    <row r="275" spans="1:20">
      <c r="A275" s="13" t="s">
        <v>9335</v>
      </c>
      <c r="B275" s="63">
        <f>VLOOKUP(A275,TypeIDs!B:C,2,FALSE)</f>
        <v>20353</v>
      </c>
      <c r="C275" s="36">
        <v>6068000</v>
      </c>
      <c r="D275" s="69">
        <f t="shared" si="41"/>
        <v>6356026</v>
      </c>
      <c r="E275" s="35">
        <f>INDEX(MARKET_INPUT[Column1.price],MATCH(B275,MARKET_INPUT[Column1.type_id]))</f>
        <v>6400000</v>
      </c>
      <c r="F275" s="35">
        <f t="shared" si="42"/>
        <v>6115200</v>
      </c>
      <c r="G275" s="18">
        <f>VLOOKUP(B275,TypeIDs!C:D,2,FALSE)</f>
        <v>20</v>
      </c>
      <c r="I275" s="15">
        <v>3.5</v>
      </c>
      <c r="J275" s="17">
        <f t="shared" si="45"/>
        <v>4298.0999999999995</v>
      </c>
      <c r="K275" s="20">
        <f t="shared" si="46"/>
        <v>24.5</v>
      </c>
      <c r="L275" s="19">
        <f t="shared" si="43"/>
        <v>490</v>
      </c>
      <c r="M275" s="8">
        <f t="shared" si="49"/>
        <v>0.96211060181314556</v>
      </c>
      <c r="N275" s="9">
        <f t="shared" si="50"/>
        <v>155722637</v>
      </c>
      <c r="O275" s="10">
        <f t="shared" si="47"/>
        <v>-5900237</v>
      </c>
      <c r="P275" s="11">
        <f t="shared" si="48"/>
        <v>-12041.3</v>
      </c>
      <c r="Q275" s="23">
        <f t="shared" si="44"/>
        <v>149822400</v>
      </c>
      <c r="R275" s="3" t="e">
        <f>VLOOKUP(B275,Buylist!B:B,1,FALSE)</f>
        <v>#N/A</v>
      </c>
      <c r="S275" s="3" t="e">
        <f>VLOOKUP(B275,Buylist!B:O,13,FALSE)</f>
        <v>#N/A</v>
      </c>
      <c r="T275" s="78">
        <v>274</v>
      </c>
    </row>
    <row r="276" spans="1:20">
      <c r="A276" s="13" t="s">
        <v>18163</v>
      </c>
      <c r="B276" s="63">
        <f>VLOOKUP(A276,TypeIDs!B:C,2,FALSE)</f>
        <v>31900</v>
      </c>
      <c r="C276" s="36">
        <v>31700000</v>
      </c>
      <c r="D276" s="69">
        <f t="shared" si="41"/>
        <v>33128650</v>
      </c>
      <c r="E276" s="35">
        <f>INDEX(MARKET_INPUT[Column1.price],MATCH(B276,MARKET_INPUT[Column1.type_id]))</f>
        <v>39000000</v>
      </c>
      <c r="F276" s="35">
        <f t="shared" si="42"/>
        <v>37264500</v>
      </c>
      <c r="G276" s="18">
        <f>VLOOKUP(B276,TypeIDs!C:D,2,FALSE)</f>
        <v>20</v>
      </c>
      <c r="I276" s="15">
        <v>1.5</v>
      </c>
      <c r="J276" s="17">
        <f t="shared" si="45"/>
        <v>9554.5</v>
      </c>
      <c r="K276" s="20">
        <f t="shared" si="46"/>
        <v>10.5</v>
      </c>
      <c r="L276" s="19">
        <f t="shared" si="43"/>
        <v>210</v>
      </c>
      <c r="M276" s="8">
        <f t="shared" si="49"/>
        <v>1.1248420928712761</v>
      </c>
      <c r="N276" s="9">
        <f t="shared" si="50"/>
        <v>347850825</v>
      </c>
      <c r="O276" s="10">
        <f t="shared" si="47"/>
        <v>43426425</v>
      </c>
      <c r="P276" s="11">
        <f t="shared" si="48"/>
        <v>206792.5</v>
      </c>
      <c r="Q276" s="23">
        <f t="shared" si="44"/>
        <v>391277250</v>
      </c>
      <c r="R276" s="3" t="e">
        <f>VLOOKUP(B276,Buylist!B:B,1,FALSE)</f>
        <v>#N/A</v>
      </c>
      <c r="S276" s="3" t="e">
        <f>VLOOKUP(B276,Buylist!B:O,13,FALSE)</f>
        <v>#N/A</v>
      </c>
      <c r="T276" s="78">
        <v>275</v>
      </c>
    </row>
    <row r="277" spans="1:20">
      <c r="A277" s="13" t="s">
        <v>9333</v>
      </c>
      <c r="B277" s="63">
        <f>VLOOKUP(A277,TypeIDs!B:C,2,FALSE)</f>
        <v>20351</v>
      </c>
      <c r="C277" s="36">
        <v>2779000</v>
      </c>
      <c r="D277" s="69">
        <f t="shared" si="41"/>
        <v>2920665.5</v>
      </c>
      <c r="E277" s="35">
        <f>INDEX(MARKET_INPUT[Column1.price],MATCH(B277,MARKET_INPUT[Column1.type_id]))</f>
        <v>4473000</v>
      </c>
      <c r="F277" s="35">
        <f t="shared" si="42"/>
        <v>4273951.5</v>
      </c>
      <c r="G277" s="18">
        <f>VLOOKUP(B277,TypeIDs!C:D,2,FALSE)</f>
        <v>20</v>
      </c>
      <c r="I277" s="15">
        <v>3</v>
      </c>
      <c r="J277" s="17">
        <f t="shared" si="45"/>
        <v>1716.3999999999999</v>
      </c>
      <c r="K277" s="20">
        <f t="shared" si="46"/>
        <v>21</v>
      </c>
      <c r="L277" s="19">
        <f t="shared" si="43"/>
        <v>420</v>
      </c>
      <c r="M277" s="8">
        <f t="shared" si="49"/>
        <v>1.4633485073864159</v>
      </c>
      <c r="N277" s="9">
        <f t="shared" si="50"/>
        <v>61333975.5</v>
      </c>
      <c r="O277" s="10">
        <f t="shared" si="47"/>
        <v>28419006</v>
      </c>
      <c r="P277" s="11">
        <f t="shared" si="48"/>
        <v>67664.3</v>
      </c>
      <c r="Q277" s="23">
        <f t="shared" si="44"/>
        <v>89752981.5</v>
      </c>
      <c r="R277" s="3" t="e">
        <f>VLOOKUP(B277,Buylist!B:B,1,FALSE)</f>
        <v>#N/A</v>
      </c>
      <c r="S277" s="3" t="e">
        <f>VLOOKUP(B277,Buylist!B:O,13,FALSE)</f>
        <v>#N/A</v>
      </c>
      <c r="T277" s="78">
        <v>276</v>
      </c>
    </row>
    <row r="278" spans="1:20">
      <c r="A278" s="13" t="s">
        <v>18921</v>
      </c>
      <c r="B278" s="63">
        <f>VLOOKUP(A278,TypeIDs!B:C,2,FALSE)</f>
        <v>33101</v>
      </c>
      <c r="C278" s="36">
        <v>663100</v>
      </c>
      <c r="D278" s="69">
        <f t="shared" si="41"/>
        <v>701607.95</v>
      </c>
      <c r="E278" s="35">
        <f>INDEX(MARKET_INPUT[Column1.price],MATCH(B278,MARKET_INPUT[Column1.type_id]))</f>
        <v>1727000</v>
      </c>
      <c r="F278" s="35">
        <f t="shared" si="42"/>
        <v>1650148.5</v>
      </c>
      <c r="G278" s="18">
        <f>VLOOKUP(B278,TypeIDs!C:D,2,FALSE)</f>
        <v>10</v>
      </c>
      <c r="I278" s="15">
        <v>3</v>
      </c>
      <c r="J278" s="17">
        <f t="shared" si="45"/>
        <v>426.85999999999996</v>
      </c>
      <c r="K278" s="20">
        <f t="shared" si="46"/>
        <v>21</v>
      </c>
      <c r="L278" s="19">
        <f t="shared" si="43"/>
        <v>210</v>
      </c>
      <c r="M278" s="8">
        <f t="shared" si="49"/>
        <v>2.3519523973466949</v>
      </c>
      <c r="N278" s="9">
        <f t="shared" si="50"/>
        <v>14733766.949999999</v>
      </c>
      <c r="O278" s="10">
        <f t="shared" si="47"/>
        <v>19919351.550000001</v>
      </c>
      <c r="P278" s="11">
        <f t="shared" si="48"/>
        <v>94854.055000000008</v>
      </c>
      <c r="Q278" s="23">
        <f t="shared" si="44"/>
        <v>34653118.5</v>
      </c>
      <c r="R278" s="3" t="e">
        <f>VLOOKUP(B278,Buylist!B:B,1,FALSE)</f>
        <v>#N/A</v>
      </c>
      <c r="S278" s="3" t="e">
        <f>VLOOKUP(B278,Buylist!B:O,13,FALSE)</f>
        <v>#N/A</v>
      </c>
      <c r="T278" s="78">
        <v>277</v>
      </c>
    </row>
    <row r="279" spans="1:20">
      <c r="A279" s="13" t="s">
        <v>2236</v>
      </c>
      <c r="B279" s="63">
        <f>VLOOKUP(A279,TypeIDs!B:C,2,FALSE)</f>
        <v>3530</v>
      </c>
      <c r="C279" s="36">
        <v>1283000</v>
      </c>
      <c r="D279" s="69">
        <f t="shared" si="41"/>
        <v>1349093.5</v>
      </c>
      <c r="E279" s="35">
        <f>INDEX(MARKET_INPUT[Column1.price],MATCH(B279,MARKET_INPUT[Column1.type_id]))</f>
        <v>3492000</v>
      </c>
      <c r="F279" s="35">
        <f t="shared" si="42"/>
        <v>3336606</v>
      </c>
      <c r="G279" s="18">
        <f>VLOOKUP(B279,TypeIDs!C:D,2,FALSE)</f>
        <v>10</v>
      </c>
      <c r="I279" s="15">
        <v>5</v>
      </c>
      <c r="J279" s="17">
        <f t="shared" si="45"/>
        <v>1318</v>
      </c>
      <c r="K279" s="20">
        <f t="shared" si="46"/>
        <v>35</v>
      </c>
      <c r="L279" s="19">
        <f t="shared" si="43"/>
        <v>350</v>
      </c>
      <c r="M279" s="8">
        <f t="shared" si="49"/>
        <v>2.4732207219143816</v>
      </c>
      <c r="N279" s="9">
        <f t="shared" si="50"/>
        <v>47218272.5</v>
      </c>
      <c r="O279" s="10">
        <f t="shared" si="47"/>
        <v>69562937.5</v>
      </c>
      <c r="P279" s="11">
        <f t="shared" si="48"/>
        <v>198751.25</v>
      </c>
      <c r="Q279" s="23">
        <f t="shared" si="44"/>
        <v>116781210</v>
      </c>
      <c r="R279" s="3" t="e">
        <f>VLOOKUP(B279,Buylist!B:B,1,FALSE)</f>
        <v>#N/A</v>
      </c>
      <c r="S279" s="3" t="e">
        <f>VLOOKUP(B279,Buylist!B:O,13,FALSE)</f>
        <v>#N/A</v>
      </c>
      <c r="T279" s="78">
        <v>278</v>
      </c>
    </row>
    <row r="280" spans="1:20">
      <c r="A280" s="13" t="s">
        <v>18901</v>
      </c>
      <c r="B280" s="63">
        <f>VLOOKUP(A280,TypeIDs!B:C,2,FALSE)</f>
        <v>33076</v>
      </c>
      <c r="C280" s="36">
        <v>17360</v>
      </c>
      <c r="D280" s="69">
        <f t="shared" si="41"/>
        <v>22632.52</v>
      </c>
      <c r="E280" s="35">
        <f>INDEX(MARKET_INPUT[Column1.price],MATCH(B280,MARKET_INPUT[Column1.type_id]))</f>
        <v>142900</v>
      </c>
      <c r="F280" s="35">
        <f t="shared" si="42"/>
        <v>136540.95000000001</v>
      </c>
      <c r="G280" s="18">
        <f>VLOOKUP(B280,TypeIDs!C:D,2,FALSE)</f>
        <v>5</v>
      </c>
      <c r="I280" s="15">
        <v>4</v>
      </c>
      <c r="J280" s="17">
        <f t="shared" si="45"/>
        <v>35.887999999999998</v>
      </c>
      <c r="K280" s="20">
        <f t="shared" si="46"/>
        <v>28</v>
      </c>
      <c r="L280" s="19">
        <f t="shared" si="43"/>
        <v>140</v>
      </c>
      <c r="M280" s="8">
        <f t="shared" si="49"/>
        <v>6.0329539088002582</v>
      </c>
      <c r="N280" s="9">
        <f t="shared" si="50"/>
        <v>633710.56000000006</v>
      </c>
      <c r="O280" s="10">
        <f t="shared" si="47"/>
        <v>3189436.04</v>
      </c>
      <c r="P280" s="11">
        <f t="shared" si="48"/>
        <v>22781.686000000002</v>
      </c>
      <c r="Q280" s="23">
        <f t="shared" si="44"/>
        <v>3823146.6</v>
      </c>
      <c r="R280" s="3" t="e">
        <f>VLOOKUP(B280,Buylist!B:B,1,FALSE)</f>
        <v>#N/A</v>
      </c>
      <c r="S280" s="3" t="e">
        <f>VLOOKUP(B280,Buylist!B:O,13,FALSE)</f>
        <v>#N/A</v>
      </c>
      <c r="T280" s="78">
        <v>279</v>
      </c>
    </row>
    <row r="281" spans="1:20">
      <c r="A281" s="13" t="s">
        <v>659</v>
      </c>
      <c r="B281" s="63">
        <f>VLOOKUP(A281,TypeIDs!B:C,2,FALSE)</f>
        <v>1306</v>
      </c>
      <c r="C281" s="36">
        <v>455000</v>
      </c>
      <c r="D281" s="69">
        <f t="shared" si="41"/>
        <v>479747.5</v>
      </c>
      <c r="E281" s="35">
        <f>INDEX(MARKET_INPUT[Column1.price],MATCH(B281,MARKET_INPUT[Column1.type_id]))</f>
        <v>750000</v>
      </c>
      <c r="F281" s="35">
        <f t="shared" si="42"/>
        <v>716625</v>
      </c>
      <c r="G281" s="18">
        <f>VLOOKUP(B281,TypeIDs!C:D,2,FALSE)</f>
        <v>5</v>
      </c>
      <c r="I281" s="15">
        <v>2</v>
      </c>
      <c r="J281" s="17">
        <f t="shared" si="45"/>
        <v>198</v>
      </c>
      <c r="K281" s="20">
        <f t="shared" si="46"/>
        <v>14</v>
      </c>
      <c r="L281" s="19">
        <f t="shared" si="43"/>
        <v>70</v>
      </c>
      <c r="M281" s="8">
        <f t="shared" si="49"/>
        <v>1.4937545271210377</v>
      </c>
      <c r="N281" s="9">
        <f t="shared" si="50"/>
        <v>6716465</v>
      </c>
      <c r="O281" s="10">
        <f t="shared" si="47"/>
        <v>3316285</v>
      </c>
      <c r="P281" s="11">
        <f t="shared" si="48"/>
        <v>47375.5</v>
      </c>
      <c r="Q281" s="23">
        <f t="shared" si="44"/>
        <v>10032750</v>
      </c>
      <c r="R281" s="3" t="e">
        <f>VLOOKUP(B281,Buylist!B:B,1,FALSE)</f>
        <v>#N/A</v>
      </c>
      <c r="S281" s="3" t="e">
        <f>VLOOKUP(B281,Buylist!B:O,13,FALSE)</f>
        <v>#N/A</v>
      </c>
      <c r="T281" s="78">
        <v>280</v>
      </c>
    </row>
    <row r="282" spans="1:20">
      <c r="A282" s="13" t="s">
        <v>922</v>
      </c>
      <c r="B282" s="63">
        <f>VLOOKUP(A282,TypeIDs!B:C,2,FALSE)</f>
        <v>2046</v>
      </c>
      <c r="C282" s="36">
        <v>9699</v>
      </c>
      <c r="D282" s="69">
        <f t="shared" si="41"/>
        <v>14630.6055</v>
      </c>
      <c r="E282" s="35">
        <f>INDEX(MARKET_INPUT[Column1.price],MATCH(B282,MARKET_INPUT[Column1.type_id]))</f>
        <v>98930</v>
      </c>
      <c r="F282" s="35">
        <f t="shared" si="42"/>
        <v>94527.615000000005</v>
      </c>
      <c r="G282" s="18">
        <f>VLOOKUP(B282,TypeIDs!C:D,2,FALSE)</f>
        <v>5</v>
      </c>
      <c r="I282" s="15">
        <v>2</v>
      </c>
      <c r="J282" s="17">
        <f t="shared" si="45"/>
        <v>19.8796</v>
      </c>
      <c r="K282" s="20">
        <f t="shared" si="46"/>
        <v>14</v>
      </c>
      <c r="L282" s="19">
        <f t="shared" si="43"/>
        <v>70</v>
      </c>
      <c r="M282" s="8">
        <f t="shared" si="49"/>
        <v>6.4609503003823052</v>
      </c>
      <c r="N282" s="9">
        <f t="shared" si="50"/>
        <v>204828.47699999998</v>
      </c>
      <c r="O282" s="10">
        <f t="shared" si="47"/>
        <v>1118558.1329999999</v>
      </c>
      <c r="P282" s="11">
        <f t="shared" si="48"/>
        <v>15979.401900000001</v>
      </c>
      <c r="Q282" s="23">
        <f t="shared" si="44"/>
        <v>1323386.6099999999</v>
      </c>
      <c r="R282" s="3" t="e">
        <f>VLOOKUP(B282,Buylist!B:B,1,FALSE)</f>
        <v>#N/A</v>
      </c>
      <c r="S282" s="3" t="e">
        <f>VLOOKUP(B282,Buylist!B:O,13,FALSE)</f>
        <v>#N/A</v>
      </c>
      <c r="T282" s="78">
        <v>281</v>
      </c>
    </row>
    <row r="283" spans="1:20">
      <c r="A283" s="13" t="s">
        <v>30864</v>
      </c>
      <c r="B283" s="63">
        <f>VLOOKUP(A283,TypeIDs!B:C,2,FALSE)</f>
        <v>47255</v>
      </c>
      <c r="C283" s="36">
        <v>79800</v>
      </c>
      <c r="D283" s="69">
        <f t="shared" si="41"/>
        <v>87851.1</v>
      </c>
      <c r="E283" s="35">
        <f>INDEX(MARKET_INPUT[Column1.price],MATCH(B283,MARKET_INPUT[Column1.type_id]))</f>
        <v>50000</v>
      </c>
      <c r="F283" s="35">
        <f t="shared" si="42"/>
        <v>47775</v>
      </c>
      <c r="G283" s="18">
        <f>VLOOKUP(B283,TypeIDs!C:D,2,FALSE)</f>
        <v>5</v>
      </c>
      <c r="I283" s="15">
        <v>2</v>
      </c>
      <c r="J283" s="17">
        <f t="shared" si="45"/>
        <v>47.92</v>
      </c>
      <c r="K283" s="20">
        <f t="shared" si="46"/>
        <v>14</v>
      </c>
      <c r="L283" s="19">
        <f t="shared" si="43"/>
        <v>70</v>
      </c>
      <c r="M283" s="8">
        <f t="shared" si="49"/>
        <v>0.54381789186475749</v>
      </c>
      <c r="N283" s="9">
        <f t="shared" si="50"/>
        <v>1229915.4000000001</v>
      </c>
      <c r="O283" s="10">
        <f t="shared" si="47"/>
        <v>-561065.40000000014</v>
      </c>
      <c r="P283" s="11">
        <f t="shared" si="48"/>
        <v>-8015.2200000000012</v>
      </c>
      <c r="Q283" s="23">
        <f t="shared" si="44"/>
        <v>668850</v>
      </c>
      <c r="R283" s="3" t="e">
        <f>VLOOKUP(B283,Buylist!B:B,1,FALSE)</f>
        <v>#N/A</v>
      </c>
      <c r="S283" s="3" t="e">
        <f>VLOOKUP(B283,Buylist!B:O,13,FALSE)</f>
        <v>#N/A</v>
      </c>
      <c r="T283" s="78">
        <v>282</v>
      </c>
    </row>
    <row r="284" spans="1:20">
      <c r="A284" s="13" t="s">
        <v>3197</v>
      </c>
      <c r="B284" s="63">
        <f>VLOOKUP(A284,TypeIDs!B:C,2,FALSE)</f>
        <v>5839</v>
      </c>
      <c r="C284" s="36">
        <v>2040000</v>
      </c>
      <c r="D284" s="69">
        <f t="shared" si="41"/>
        <v>2135280</v>
      </c>
      <c r="E284" s="35">
        <f>INDEX(MARKET_INPUT[Column1.price],MATCH(B284,MARKET_INPUT[Column1.type_id]))</f>
        <v>1895000</v>
      </c>
      <c r="F284" s="35">
        <f t="shared" si="42"/>
        <v>1810672.5</v>
      </c>
      <c r="G284" s="18">
        <f>VLOOKUP(B284,TypeIDs!C:D,2,FALSE)</f>
        <v>5</v>
      </c>
      <c r="I284" s="15">
        <v>3</v>
      </c>
      <c r="J284" s="17">
        <f t="shared" si="45"/>
        <v>1243</v>
      </c>
      <c r="K284" s="20">
        <f t="shared" si="46"/>
        <v>21</v>
      </c>
      <c r="L284" s="19">
        <f t="shared" si="43"/>
        <v>105</v>
      </c>
      <c r="M284" s="8">
        <f t="shared" si="49"/>
        <v>0.84797895357985842</v>
      </c>
      <c r="N284" s="9">
        <f t="shared" si="50"/>
        <v>44840880</v>
      </c>
      <c r="O284" s="10">
        <f t="shared" si="47"/>
        <v>-6816757.5</v>
      </c>
      <c r="P284" s="11">
        <f t="shared" si="48"/>
        <v>-64921.5</v>
      </c>
      <c r="Q284" s="23">
        <f t="shared" si="44"/>
        <v>38024122.5</v>
      </c>
      <c r="R284" s="3" t="e">
        <f>VLOOKUP(B284,Buylist!B:B,1,FALSE)</f>
        <v>#N/A</v>
      </c>
      <c r="S284" s="3" t="e">
        <f>VLOOKUP(B284,Buylist!B:O,13,FALSE)</f>
        <v>#N/A</v>
      </c>
      <c r="T284" s="78">
        <v>283</v>
      </c>
    </row>
    <row r="285" spans="1:20">
      <c r="A285" s="13" t="s">
        <v>30866</v>
      </c>
      <c r="B285" s="63">
        <f>VLOOKUP(A285,TypeIDs!B:C,2,FALSE)</f>
        <v>47257</v>
      </c>
      <c r="C285" s="36">
        <v>573400</v>
      </c>
      <c r="D285" s="69">
        <f t="shared" si="41"/>
        <v>603416.30000000005</v>
      </c>
      <c r="E285" s="35">
        <f>INDEX(MARKET_INPUT[Column1.price],MATCH(B285,MARKET_INPUT[Column1.type_id]))</f>
        <v>484600</v>
      </c>
      <c r="F285" s="35">
        <f t="shared" si="42"/>
        <v>463035.3</v>
      </c>
      <c r="G285" s="18">
        <f>VLOOKUP(B285,TypeIDs!C:D,2,FALSE)</f>
        <v>5</v>
      </c>
      <c r="I285" s="15">
        <v>5</v>
      </c>
      <c r="J285" s="17">
        <f t="shared" si="45"/>
        <v>598.4</v>
      </c>
      <c r="K285" s="20">
        <f t="shared" si="46"/>
        <v>35</v>
      </c>
      <c r="L285" s="19">
        <f t="shared" si="43"/>
        <v>175</v>
      </c>
      <c r="M285" s="8">
        <f t="shared" si="49"/>
        <v>0.76735630111417263</v>
      </c>
      <c r="N285" s="9">
        <f t="shared" si="50"/>
        <v>21119570.5</v>
      </c>
      <c r="O285" s="10">
        <f t="shared" si="47"/>
        <v>-4913335.0000000019</v>
      </c>
      <c r="P285" s="11">
        <f t="shared" si="48"/>
        <v>-28076.200000000012</v>
      </c>
      <c r="Q285" s="23">
        <f t="shared" si="44"/>
        <v>16206235.499999998</v>
      </c>
      <c r="R285" s="3" t="e">
        <f>VLOOKUP(B285,Buylist!B:B,1,FALSE)</f>
        <v>#N/A</v>
      </c>
      <c r="S285" s="3" t="e">
        <f>VLOOKUP(B285,Buylist!B:O,13,FALSE)</f>
        <v>#N/A</v>
      </c>
      <c r="T285" s="78">
        <v>284</v>
      </c>
    </row>
    <row r="286" spans="1:20">
      <c r="A286" s="13" t="s">
        <v>924</v>
      </c>
      <c r="B286" s="63">
        <f>VLOOKUP(A286,TypeIDs!B:C,2,FALSE)</f>
        <v>2048</v>
      </c>
      <c r="C286" s="36">
        <v>455000</v>
      </c>
      <c r="D286" s="69">
        <f t="shared" si="41"/>
        <v>479747.5</v>
      </c>
      <c r="E286" s="35">
        <f>INDEX(MARKET_INPUT[Column1.price],MATCH(B286,MARKET_INPUT[Column1.type_id]))</f>
        <v>438900</v>
      </c>
      <c r="F286" s="35">
        <f t="shared" si="42"/>
        <v>419368.95</v>
      </c>
      <c r="G286" s="18">
        <f>VLOOKUP(B286,TypeIDs!C:D,2,FALSE)</f>
        <v>5</v>
      </c>
      <c r="I286" s="15">
        <v>30</v>
      </c>
      <c r="J286" s="17">
        <f t="shared" si="45"/>
        <v>2830</v>
      </c>
      <c r="K286" s="20">
        <f t="shared" si="46"/>
        <v>210</v>
      </c>
      <c r="L286" s="19">
        <f t="shared" si="43"/>
        <v>1050</v>
      </c>
      <c r="M286" s="8">
        <f t="shared" si="49"/>
        <v>0.87414514927123121</v>
      </c>
      <c r="N286" s="9">
        <f t="shared" si="50"/>
        <v>100746975</v>
      </c>
      <c r="O286" s="10">
        <f t="shared" si="47"/>
        <v>-12679495.499999998</v>
      </c>
      <c r="P286" s="11">
        <f t="shared" si="48"/>
        <v>-12075.709999999997</v>
      </c>
      <c r="Q286" s="23">
        <f t="shared" si="44"/>
        <v>88067479.5</v>
      </c>
      <c r="R286" s="3" t="e">
        <f>VLOOKUP(B286,Buylist!B:B,1,FALSE)</f>
        <v>#N/A</v>
      </c>
      <c r="S286" s="3" t="e">
        <f>VLOOKUP(B286,Buylist!B:O,13,FALSE)</f>
        <v>#N/A</v>
      </c>
      <c r="T286" s="78">
        <v>285</v>
      </c>
    </row>
    <row r="287" spans="1:20">
      <c r="A287" s="13" t="s">
        <v>4224</v>
      </c>
      <c r="B287" s="63">
        <f>VLOOKUP(A287,TypeIDs!B:C,2,FALSE)</f>
        <v>11269</v>
      </c>
      <c r="C287" s="36">
        <v>873600</v>
      </c>
      <c r="D287" s="69">
        <f t="shared" si="41"/>
        <v>916975.2</v>
      </c>
      <c r="E287" s="35">
        <f>INDEX(MARKET_INPUT[Column1.price],MATCH(B287,MARKET_INPUT[Column1.type_id]))</f>
        <v>1290000</v>
      </c>
      <c r="F287" s="35">
        <f t="shared" si="42"/>
        <v>1232595</v>
      </c>
      <c r="G287" s="18">
        <f>VLOOKUP(B287,TypeIDs!C:D,2,FALSE)</f>
        <v>5</v>
      </c>
      <c r="I287" s="15">
        <v>13</v>
      </c>
      <c r="J287" s="17">
        <f t="shared" si="45"/>
        <v>2320.3599999999997</v>
      </c>
      <c r="K287" s="20">
        <f t="shared" si="46"/>
        <v>91</v>
      </c>
      <c r="L287" s="19">
        <f t="shared" si="43"/>
        <v>455</v>
      </c>
      <c r="M287" s="8">
        <f t="shared" si="49"/>
        <v>1.3441966587536938</v>
      </c>
      <c r="N287" s="9">
        <f t="shared" si="50"/>
        <v>83444743.200000003</v>
      </c>
      <c r="O287" s="10">
        <f t="shared" si="47"/>
        <v>28721401.800000004</v>
      </c>
      <c r="P287" s="11">
        <f t="shared" si="48"/>
        <v>63123.960000000006</v>
      </c>
      <c r="Q287" s="23">
        <f t="shared" si="44"/>
        <v>112166145</v>
      </c>
      <c r="R287" s="3" t="e">
        <f>VLOOKUP(B287,Buylist!B:B,1,FALSE)</f>
        <v>#N/A</v>
      </c>
      <c r="S287" s="3" t="e">
        <f>VLOOKUP(B287,Buylist!B:O,13,FALSE)</f>
        <v>#N/A</v>
      </c>
      <c r="T287" s="78">
        <v>286</v>
      </c>
    </row>
    <row r="288" spans="1:20">
      <c r="A288" s="13" t="s">
        <v>6534</v>
      </c>
      <c r="B288" s="63">
        <f>VLOOKUP(A288,TypeIDs!B:C,2,FALSE)</f>
        <v>15729</v>
      </c>
      <c r="C288" s="36">
        <v>24820000</v>
      </c>
      <c r="D288" s="69">
        <f t="shared" si="41"/>
        <v>25928990</v>
      </c>
      <c r="E288" s="35">
        <f>INDEX(MARKET_INPUT[Column1.price],MATCH(B288,MARKET_INPUT[Column1.type_id]))</f>
        <v>33600000</v>
      </c>
      <c r="F288" s="35">
        <f t="shared" si="42"/>
        <v>32104800</v>
      </c>
      <c r="G288" s="18">
        <f>VLOOKUP(B288,TypeIDs!C:D,2,FALSE)</f>
        <v>5</v>
      </c>
      <c r="I288" s="15">
        <v>2.5</v>
      </c>
      <c r="J288" s="17">
        <f t="shared" si="45"/>
        <v>12427.5</v>
      </c>
      <c r="K288" s="20">
        <f t="shared" si="46"/>
        <v>17.5</v>
      </c>
      <c r="L288" s="19">
        <f t="shared" si="43"/>
        <v>87.5</v>
      </c>
      <c r="M288" s="8">
        <f t="shared" si="49"/>
        <v>1.2381816646155519</v>
      </c>
      <c r="N288" s="9">
        <f t="shared" si="50"/>
        <v>453757325</v>
      </c>
      <c r="O288" s="10">
        <f t="shared" si="47"/>
        <v>108076675</v>
      </c>
      <c r="P288" s="11">
        <f t="shared" si="48"/>
        <v>1235162</v>
      </c>
      <c r="Q288" s="23">
        <f t="shared" si="44"/>
        <v>561834000</v>
      </c>
      <c r="R288" s="3" t="e">
        <f>VLOOKUP(B288,Buylist!B:B,1,FALSE)</f>
        <v>#N/A</v>
      </c>
      <c r="S288" s="3" t="e">
        <f>VLOOKUP(B288,Buylist!B:O,13,FALSE)</f>
        <v>#N/A</v>
      </c>
      <c r="T288" s="78">
        <v>287</v>
      </c>
    </row>
    <row r="289" spans="1:20">
      <c r="A289" s="13" t="s">
        <v>664</v>
      </c>
      <c r="B289" s="63">
        <f>VLOOKUP(A289,TypeIDs!B:C,2,FALSE)</f>
        <v>1319</v>
      </c>
      <c r="C289" s="36">
        <v>400500</v>
      </c>
      <c r="D289" s="69">
        <f t="shared" si="41"/>
        <v>422822.25</v>
      </c>
      <c r="E289" s="35">
        <f>INDEX(MARKET_INPUT[Column1.price],MATCH(B289,MARKET_INPUT[Column1.type_id]))</f>
        <v>616800</v>
      </c>
      <c r="F289" s="35">
        <f t="shared" si="42"/>
        <v>589352.4</v>
      </c>
      <c r="G289" s="18">
        <f>VLOOKUP(B289,TypeIDs!C:D,2,FALSE)</f>
        <v>5</v>
      </c>
      <c r="I289" s="15">
        <v>16</v>
      </c>
      <c r="J289" s="17">
        <f t="shared" si="45"/>
        <v>1339.6</v>
      </c>
      <c r="K289" s="20">
        <f t="shared" si="46"/>
        <v>112</v>
      </c>
      <c r="L289" s="19">
        <f t="shared" si="43"/>
        <v>560</v>
      </c>
      <c r="M289" s="8">
        <f t="shared" si="49"/>
        <v>1.3938538002671337</v>
      </c>
      <c r="N289" s="9">
        <f t="shared" si="50"/>
        <v>47356092</v>
      </c>
      <c r="O289" s="10">
        <f t="shared" si="47"/>
        <v>18651376.800000004</v>
      </c>
      <c r="P289" s="11">
        <f t="shared" si="48"/>
        <v>33306.030000000006</v>
      </c>
      <c r="Q289" s="23">
        <f t="shared" si="44"/>
        <v>66007468.800000004</v>
      </c>
      <c r="R289" s="3" t="e">
        <f>VLOOKUP(B289,Buylist!B:B,1,FALSE)</f>
        <v>#N/A</v>
      </c>
      <c r="S289" s="3" t="e">
        <f>VLOOKUP(B289,Buylist!B:O,13,FALSE)</f>
        <v>#N/A</v>
      </c>
      <c r="T289" s="78">
        <v>288</v>
      </c>
    </row>
    <row r="290" spans="1:20">
      <c r="A290" s="13" t="s">
        <v>1366</v>
      </c>
      <c r="B290" s="63">
        <f>VLOOKUP(A290,TypeIDs!B:C,2,FALSE)</f>
        <v>2605</v>
      </c>
      <c r="C290" s="36">
        <v>416400</v>
      </c>
      <c r="D290" s="69">
        <f t="shared" si="41"/>
        <v>439429.8</v>
      </c>
      <c r="E290" s="35">
        <f>INDEX(MARKET_INPUT[Column1.price],MATCH(B290,MARKET_INPUT[Column1.type_id]))</f>
        <v>499700</v>
      </c>
      <c r="F290" s="35">
        <f t="shared" si="42"/>
        <v>477463.35</v>
      </c>
      <c r="G290" s="18">
        <f>VLOOKUP(B290,TypeIDs!C:D,2,FALSE)</f>
        <v>5</v>
      </c>
      <c r="I290" s="15">
        <v>15</v>
      </c>
      <c r="J290" s="17">
        <f t="shared" si="45"/>
        <v>1304.2</v>
      </c>
      <c r="K290" s="20">
        <f t="shared" si="46"/>
        <v>105</v>
      </c>
      <c r="L290" s="19">
        <f t="shared" si="43"/>
        <v>525</v>
      </c>
      <c r="M290" s="8">
        <f t="shared" si="49"/>
        <v>1.086552049952006</v>
      </c>
      <c r="N290" s="9">
        <f t="shared" si="50"/>
        <v>46140129</v>
      </c>
      <c r="O290" s="10">
        <f t="shared" si="47"/>
        <v>3993522.7499999986</v>
      </c>
      <c r="P290" s="11">
        <f t="shared" si="48"/>
        <v>7606.7099999999973</v>
      </c>
      <c r="Q290" s="23">
        <f t="shared" si="44"/>
        <v>50133651.75</v>
      </c>
      <c r="R290" s="3" t="e">
        <f>VLOOKUP(B290,Buylist!B:B,1,FALSE)</f>
        <v>#N/A</v>
      </c>
      <c r="S290" s="3" t="e">
        <f>VLOOKUP(B290,Buylist!B:O,13,FALSE)</f>
        <v>#N/A</v>
      </c>
      <c r="T290" s="78">
        <v>289</v>
      </c>
    </row>
    <row r="291" spans="1:20">
      <c r="A291" s="13" t="s">
        <v>668</v>
      </c>
      <c r="B291" s="63">
        <f>VLOOKUP(A291,TypeIDs!B:C,2,FALSE)</f>
        <v>1335</v>
      </c>
      <c r="C291" s="36">
        <v>307800</v>
      </c>
      <c r="D291" s="69">
        <f t="shared" si="41"/>
        <v>325997.09999999998</v>
      </c>
      <c r="E291" s="35">
        <f>INDEX(MARKET_INPUT[Column1.price],MATCH(B291,MARKET_INPUT[Column1.type_id]))</f>
        <v>897000</v>
      </c>
      <c r="F291" s="35">
        <f t="shared" si="42"/>
        <v>857083.5</v>
      </c>
      <c r="G291" s="18">
        <f>VLOOKUP(B291,TypeIDs!C:D,2,FALSE)</f>
        <v>5</v>
      </c>
      <c r="I291" s="15">
        <v>5</v>
      </c>
      <c r="J291" s="17">
        <f t="shared" si="45"/>
        <v>332.8</v>
      </c>
      <c r="K291" s="20">
        <f t="shared" si="46"/>
        <v>35</v>
      </c>
      <c r="L291" s="19">
        <f t="shared" si="43"/>
        <v>175</v>
      </c>
      <c r="M291" s="8">
        <f t="shared" si="49"/>
        <v>2.6291138786203927</v>
      </c>
      <c r="N291" s="9">
        <f t="shared" si="50"/>
        <v>11409898.5</v>
      </c>
      <c r="O291" s="10">
        <f t="shared" si="47"/>
        <v>18588024</v>
      </c>
      <c r="P291" s="11">
        <f t="shared" si="48"/>
        <v>106217.28</v>
      </c>
      <c r="Q291" s="23">
        <f t="shared" si="44"/>
        <v>29997922.5</v>
      </c>
      <c r="R291" s="3" t="e">
        <f>VLOOKUP(B291,Buylist!B:B,1,FALSE)</f>
        <v>#N/A</v>
      </c>
      <c r="S291" s="3" t="e">
        <f>VLOOKUP(B291,Buylist!B:O,13,FALSE)</f>
        <v>#N/A</v>
      </c>
      <c r="T291" s="78">
        <v>290</v>
      </c>
    </row>
    <row r="292" spans="1:20">
      <c r="A292" s="27" t="s">
        <v>3221</v>
      </c>
      <c r="B292" s="63">
        <f>VLOOKUP(A292,TypeIDs!B:C,2,FALSE)</f>
        <v>5955</v>
      </c>
      <c r="C292" s="36">
        <v>171900</v>
      </c>
      <c r="D292" s="69">
        <f t="shared" si="41"/>
        <v>184049.55</v>
      </c>
      <c r="E292" s="35">
        <f>INDEX(MARKET_INPUT[Column1.price],MATCH(B292,MARKET_INPUT[Column1.type_id]))</f>
        <v>250000</v>
      </c>
      <c r="F292" s="35">
        <f t="shared" si="42"/>
        <v>238875</v>
      </c>
      <c r="G292" s="18">
        <f>VLOOKUP(B292,TypeIDs!C:D,2,FALSE)</f>
        <v>5</v>
      </c>
      <c r="I292" s="15">
        <v>4</v>
      </c>
      <c r="J292" s="17">
        <f t="shared" si="45"/>
        <v>159.52000000000001</v>
      </c>
      <c r="K292" s="20">
        <f t="shared" si="46"/>
        <v>28</v>
      </c>
      <c r="L292" s="19">
        <f t="shared" si="43"/>
        <v>140</v>
      </c>
      <c r="M292" s="8">
        <f t="shared" si="49"/>
        <v>1.2978841839059101</v>
      </c>
      <c r="N292" s="9">
        <f t="shared" si="50"/>
        <v>5153387.3999999994</v>
      </c>
      <c r="O292" s="10">
        <f t="shared" si="47"/>
        <v>1535112.6000000003</v>
      </c>
      <c r="P292" s="11">
        <f t="shared" si="48"/>
        <v>10965.090000000002</v>
      </c>
      <c r="Q292" s="23">
        <f t="shared" si="44"/>
        <v>6688500</v>
      </c>
      <c r="R292" s="3" t="e">
        <f>VLOOKUP(B292,Buylist!B:B,1,FALSE)</f>
        <v>#N/A</v>
      </c>
      <c r="S292" s="3" t="e">
        <f>VLOOKUP(B292,Buylist!B:O,13,FALSE)</f>
        <v>#N/A</v>
      </c>
      <c r="T292" s="78">
        <v>291</v>
      </c>
    </row>
    <row r="293" spans="1:20">
      <c r="A293" s="27" t="s">
        <v>21191</v>
      </c>
      <c r="B293" s="63">
        <f>VLOOKUP(A293,TypeIDs!B:C,2,FALSE)</f>
        <v>35657</v>
      </c>
      <c r="C293" s="36">
        <v>163000</v>
      </c>
      <c r="D293" s="69">
        <f t="shared" si="41"/>
        <v>174753.5</v>
      </c>
      <c r="E293" s="35">
        <f>INDEX(MARKET_INPUT[Column1.price],MATCH(B293,MARKET_INPUT[Column1.type_id]))</f>
        <v>210000</v>
      </c>
      <c r="F293" s="35">
        <f t="shared" si="42"/>
        <v>200655</v>
      </c>
      <c r="G293" s="18">
        <f>VLOOKUP(B293,TypeIDs!C:D,2,FALSE)</f>
        <v>5</v>
      </c>
      <c r="I293" s="15">
        <v>3</v>
      </c>
      <c r="J293" s="17">
        <f t="shared" si="45"/>
        <v>116.8</v>
      </c>
      <c r="K293" s="20">
        <f t="shared" si="46"/>
        <v>21</v>
      </c>
      <c r="L293" s="19">
        <f t="shared" si="43"/>
        <v>105</v>
      </c>
      <c r="M293" s="8">
        <f t="shared" si="49"/>
        <v>1.1482173461475735</v>
      </c>
      <c r="N293" s="9">
        <f t="shared" si="50"/>
        <v>3669823.5</v>
      </c>
      <c r="O293" s="10">
        <f t="shared" si="47"/>
        <v>543931.5</v>
      </c>
      <c r="P293" s="11">
        <f t="shared" si="48"/>
        <v>5180.3</v>
      </c>
      <c r="Q293" s="23">
        <f t="shared" si="44"/>
        <v>4213755</v>
      </c>
      <c r="R293" s="3" t="e">
        <f>VLOOKUP(B293,Buylist!B:B,1,FALSE)</f>
        <v>#N/A</v>
      </c>
      <c r="S293" s="3" t="e">
        <f>VLOOKUP(B293,Buylist!B:O,13,FALSE)</f>
        <v>#N/A</v>
      </c>
      <c r="T293" s="78">
        <v>292</v>
      </c>
    </row>
    <row r="294" spans="1:20">
      <c r="A294" s="27" t="s">
        <v>3227</v>
      </c>
      <c r="B294" s="63">
        <f>VLOOKUP(A294,TypeIDs!B:C,2,FALSE)</f>
        <v>6005</v>
      </c>
      <c r="C294" s="36">
        <v>14950</v>
      </c>
      <c r="D294" s="69">
        <f t="shared" si="41"/>
        <v>20115.275000000001</v>
      </c>
      <c r="E294" s="35">
        <f>INDEX(MARKET_INPUT[Column1.price],MATCH(B294,MARKET_INPUT[Column1.type_id]))</f>
        <v>40000</v>
      </c>
      <c r="F294" s="35">
        <f t="shared" si="42"/>
        <v>38220</v>
      </c>
      <c r="G294" s="18">
        <f>VLOOKUP(B294,TypeIDs!C:D,2,FALSE)</f>
        <v>5</v>
      </c>
      <c r="I294" s="15">
        <v>3</v>
      </c>
      <c r="J294" s="17">
        <f t="shared" si="45"/>
        <v>27.97</v>
      </c>
      <c r="K294" s="20">
        <f t="shared" si="46"/>
        <v>21</v>
      </c>
      <c r="L294" s="19">
        <f t="shared" si="43"/>
        <v>105</v>
      </c>
      <c r="M294" s="8">
        <f t="shared" si="49"/>
        <v>1.900048594911081</v>
      </c>
      <c r="N294" s="9">
        <f t="shared" si="50"/>
        <v>422420.77500000002</v>
      </c>
      <c r="O294" s="10">
        <f t="shared" si="47"/>
        <v>380199.22499999998</v>
      </c>
      <c r="P294" s="11">
        <f t="shared" si="48"/>
        <v>3620.9449999999997</v>
      </c>
      <c r="Q294" s="23">
        <f t="shared" si="44"/>
        <v>802620</v>
      </c>
      <c r="R294" s="3" t="e">
        <f>VLOOKUP(B294,Buylist!B:B,1,FALSE)</f>
        <v>#N/A</v>
      </c>
      <c r="S294" s="3" t="e">
        <f>VLOOKUP(B294,Buylist!B:O,13,FALSE)</f>
        <v>#N/A</v>
      </c>
      <c r="T294" s="78">
        <v>293</v>
      </c>
    </row>
    <row r="295" spans="1:20">
      <c r="A295" s="27" t="s">
        <v>21190</v>
      </c>
      <c r="B295" s="63">
        <f>VLOOKUP(A295,TypeIDs!B:C,2,FALSE)</f>
        <v>35656</v>
      </c>
      <c r="C295" s="36">
        <v>19650</v>
      </c>
      <c r="D295" s="69">
        <f t="shared" si="41"/>
        <v>25024.424999999999</v>
      </c>
      <c r="E295" s="35">
        <f>INDEX(MARKET_INPUT[Column1.price],MATCH(B295,MARKET_INPUT[Column1.type_id]))</f>
        <v>49990</v>
      </c>
      <c r="F295" s="35">
        <f t="shared" si="42"/>
        <v>47765.445</v>
      </c>
      <c r="G295" s="18">
        <f>VLOOKUP(B295,TypeIDs!C:D,2,FALSE)</f>
        <v>5</v>
      </c>
      <c r="I295" s="15">
        <v>7</v>
      </c>
      <c r="J295" s="17">
        <f t="shared" si="45"/>
        <v>58.51</v>
      </c>
      <c r="K295" s="20">
        <f t="shared" si="46"/>
        <v>49</v>
      </c>
      <c r="L295" s="19">
        <f t="shared" si="43"/>
        <v>245</v>
      </c>
      <c r="M295" s="8">
        <f t="shared" si="49"/>
        <v>1.9087529483694432</v>
      </c>
      <c r="N295" s="9">
        <f t="shared" si="50"/>
        <v>1226196.825</v>
      </c>
      <c r="O295" s="10">
        <f t="shared" si="47"/>
        <v>1114309.98</v>
      </c>
      <c r="P295" s="11">
        <f t="shared" si="48"/>
        <v>4548.2039999999997</v>
      </c>
      <c r="Q295" s="23">
        <f t="shared" si="44"/>
        <v>2340506.8049999997</v>
      </c>
      <c r="R295" s="3" t="e">
        <f>VLOOKUP(B295,Buylist!B:B,1,FALSE)</f>
        <v>#N/A</v>
      </c>
      <c r="S295" s="3" t="e">
        <f>VLOOKUP(B295,Buylist!B:O,13,FALSE)</f>
        <v>#N/A</v>
      </c>
      <c r="T295" s="78">
        <v>294</v>
      </c>
    </row>
    <row r="296" spans="1:20">
      <c r="A296" s="27" t="s">
        <v>3225</v>
      </c>
      <c r="B296" s="63">
        <f>VLOOKUP(A296,TypeIDs!B:C,2,FALSE)</f>
        <v>6001</v>
      </c>
      <c r="C296" s="36">
        <v>48800</v>
      </c>
      <c r="D296" s="69">
        <f t="shared" si="41"/>
        <v>55471.6</v>
      </c>
      <c r="E296" s="35">
        <f>INDEX(MARKET_INPUT[Column1.price],MATCH(B296,MARKET_INPUT[Column1.type_id]))</f>
        <v>429900</v>
      </c>
      <c r="F296" s="35">
        <f t="shared" si="42"/>
        <v>410769.45</v>
      </c>
      <c r="G296" s="18">
        <f>VLOOKUP(B296,TypeIDs!C:D,2,FALSE)</f>
        <v>5</v>
      </c>
      <c r="I296" s="15">
        <v>2</v>
      </c>
      <c r="J296" s="17">
        <f t="shared" si="45"/>
        <v>35.519999999999996</v>
      </c>
      <c r="K296" s="20">
        <f t="shared" si="46"/>
        <v>14</v>
      </c>
      <c r="L296" s="19">
        <f t="shared" si="43"/>
        <v>70</v>
      </c>
      <c r="M296" s="8">
        <f t="shared" si="49"/>
        <v>7.405040597350717</v>
      </c>
      <c r="N296" s="9">
        <f t="shared" si="50"/>
        <v>776602.4</v>
      </c>
      <c r="O296" s="10">
        <f t="shared" si="47"/>
        <v>4974169.9000000004</v>
      </c>
      <c r="P296" s="11">
        <f t="shared" si="48"/>
        <v>71059.570000000007</v>
      </c>
      <c r="Q296" s="23">
        <f t="shared" si="44"/>
        <v>5750772.3000000007</v>
      </c>
      <c r="R296" s="3" t="e">
        <f>VLOOKUP(B296,Buylist!B:B,1,FALSE)</f>
        <v>#N/A</v>
      </c>
      <c r="S296" s="3" t="e">
        <f>VLOOKUP(B296,Buylist!B:O,13,FALSE)</f>
        <v>#N/A</v>
      </c>
      <c r="T296" s="78">
        <v>295</v>
      </c>
    </row>
    <row r="297" spans="1:20">
      <c r="A297" s="27" t="s">
        <v>4758</v>
      </c>
      <c r="B297" s="63">
        <f>VLOOKUP(A297,TypeIDs!B:C,2,FALSE)</f>
        <v>12068</v>
      </c>
      <c r="C297" s="36">
        <v>3687000</v>
      </c>
      <c r="D297" s="69">
        <f t="shared" si="41"/>
        <v>3855571.5</v>
      </c>
      <c r="E297" s="35">
        <f>INDEX(MARKET_INPUT[Column1.price],MATCH(B297,MARKET_INPUT[Column1.type_id]))</f>
        <v>4975000</v>
      </c>
      <c r="F297" s="35">
        <f t="shared" si="42"/>
        <v>4753612.5</v>
      </c>
      <c r="G297" s="18">
        <f>VLOOKUP(B297,TypeIDs!C:D,2,FALSE)</f>
        <v>5</v>
      </c>
      <c r="I297" s="15">
        <v>2</v>
      </c>
      <c r="J297" s="17">
        <f t="shared" si="45"/>
        <v>1490.8</v>
      </c>
      <c r="K297" s="20">
        <f t="shared" si="46"/>
        <v>14</v>
      </c>
      <c r="L297" s="19">
        <f t="shared" si="43"/>
        <v>70</v>
      </c>
      <c r="M297" s="8">
        <f t="shared" si="49"/>
        <v>1.2329203336003496</v>
      </c>
      <c r="N297" s="9">
        <f t="shared" si="50"/>
        <v>53978001</v>
      </c>
      <c r="O297" s="10">
        <f t="shared" si="47"/>
        <v>12572574</v>
      </c>
      <c r="P297" s="11">
        <f t="shared" si="48"/>
        <v>179608.2</v>
      </c>
      <c r="Q297" s="23">
        <f t="shared" si="44"/>
        <v>66550575</v>
      </c>
      <c r="R297" s="3" t="e">
        <f>VLOOKUP(B297,Buylist!B:B,1,FALSE)</f>
        <v>#N/A</v>
      </c>
      <c r="S297" s="3" t="e">
        <f>VLOOKUP(B297,Buylist!B:O,13,FALSE)</f>
        <v>#N/A</v>
      </c>
      <c r="T297" s="78">
        <v>296</v>
      </c>
    </row>
    <row r="298" spans="1:20">
      <c r="A298" s="27" t="s">
        <v>4754</v>
      </c>
      <c r="B298" s="63">
        <f>VLOOKUP(A298,TypeIDs!B:C,2,FALSE)</f>
        <v>12058</v>
      </c>
      <c r="C298" s="36">
        <v>2679000</v>
      </c>
      <c r="D298" s="69">
        <f t="shared" si="41"/>
        <v>2802715.5</v>
      </c>
      <c r="E298" s="35">
        <f>INDEX(MARKET_INPUT[Column1.price],MATCH(B298,MARKET_INPUT[Column1.type_id]))</f>
        <v>4480000</v>
      </c>
      <c r="F298" s="35">
        <f t="shared" si="42"/>
        <v>4280640</v>
      </c>
      <c r="G298" s="18">
        <f>VLOOKUP(B298,TypeIDs!C:D,2,FALSE)</f>
        <v>5</v>
      </c>
      <c r="I298" s="15">
        <v>12</v>
      </c>
      <c r="J298" s="17">
        <f t="shared" si="45"/>
        <v>6475.5999999999995</v>
      </c>
      <c r="K298" s="20">
        <f t="shared" si="46"/>
        <v>84</v>
      </c>
      <c r="L298" s="19">
        <f t="shared" si="43"/>
        <v>420</v>
      </c>
      <c r="M298" s="8">
        <f t="shared" si="49"/>
        <v>1.5273187735251759</v>
      </c>
      <c r="N298" s="9">
        <f t="shared" si="50"/>
        <v>235428102</v>
      </c>
      <c r="O298" s="10">
        <f t="shared" si="47"/>
        <v>124145658</v>
      </c>
      <c r="P298" s="11">
        <f t="shared" si="48"/>
        <v>295584.90000000002</v>
      </c>
      <c r="Q298" s="23">
        <f t="shared" si="44"/>
        <v>359573760</v>
      </c>
      <c r="R298" s="3" t="e">
        <f>VLOOKUP(B298,Buylist!B:B,1,FALSE)</f>
        <v>#N/A</v>
      </c>
      <c r="S298" s="3" t="e">
        <f>VLOOKUP(B298,Buylist!B:O,13,FALSE)</f>
        <v>#N/A</v>
      </c>
      <c r="T298" s="78">
        <v>297</v>
      </c>
    </row>
    <row r="299" spans="1:20">
      <c r="A299" s="27" t="s">
        <v>204</v>
      </c>
      <c r="B299" s="63">
        <f>VLOOKUP(A299,TypeIDs!B:C,2,FALSE)</f>
        <v>438</v>
      </c>
      <c r="C299" s="36">
        <v>2147000</v>
      </c>
      <c r="D299" s="69">
        <f t="shared" si="41"/>
        <v>2247041.5</v>
      </c>
      <c r="E299" s="35">
        <f>INDEX(MARKET_INPUT[Column1.price],MATCH(B299,MARKET_INPUT[Column1.type_id]))</f>
        <v>2923000</v>
      </c>
      <c r="F299" s="35">
        <f t="shared" si="42"/>
        <v>2792926.5</v>
      </c>
      <c r="G299" s="18">
        <f>VLOOKUP(B299,TypeIDs!C:D,2,FALSE)</f>
        <v>5</v>
      </c>
      <c r="I299" s="15">
        <v>3</v>
      </c>
      <c r="J299" s="17">
        <f t="shared" si="45"/>
        <v>1307.2</v>
      </c>
      <c r="K299" s="20">
        <f t="shared" si="46"/>
        <v>21</v>
      </c>
      <c r="L299" s="19">
        <f t="shared" si="43"/>
        <v>105</v>
      </c>
      <c r="M299" s="8">
        <f t="shared" si="49"/>
        <v>1.2429349880720939</v>
      </c>
      <c r="N299" s="9">
        <f t="shared" si="50"/>
        <v>47187871.5</v>
      </c>
      <c r="O299" s="10">
        <f t="shared" si="47"/>
        <v>11463585</v>
      </c>
      <c r="P299" s="11">
        <f t="shared" si="48"/>
        <v>109177</v>
      </c>
      <c r="Q299" s="23">
        <f t="shared" si="44"/>
        <v>58651456.5</v>
      </c>
      <c r="R299" s="3" t="e">
        <f>VLOOKUP(B299,Buylist!B:B,1,FALSE)</f>
        <v>#N/A</v>
      </c>
      <c r="S299" s="3" t="e">
        <f>VLOOKUP(B299,Buylist!B:O,13,FALSE)</f>
        <v>#N/A</v>
      </c>
      <c r="T299" s="78">
        <v>298</v>
      </c>
    </row>
    <row r="300" spans="1:20">
      <c r="A300" s="27" t="s">
        <v>6570</v>
      </c>
      <c r="B300" s="63">
        <f>VLOOKUP(A300,TypeIDs!B:C,2,FALSE)</f>
        <v>15766</v>
      </c>
      <c r="C300" s="36">
        <v>31160000</v>
      </c>
      <c r="D300" s="69">
        <f t="shared" si="41"/>
        <v>32551120</v>
      </c>
      <c r="E300" s="35">
        <f>INDEX(MARKET_INPUT[Column1.price],MATCH(B300,MARKET_INPUT[Column1.type_id]))</f>
        <v>38620000</v>
      </c>
      <c r="F300" s="35">
        <f t="shared" si="42"/>
        <v>36901410</v>
      </c>
      <c r="G300" s="18">
        <f>VLOOKUP(B300,TypeIDs!C:D,2,FALSE)</f>
        <v>5</v>
      </c>
      <c r="I300" s="15">
        <v>1.5</v>
      </c>
      <c r="J300" s="17">
        <f t="shared" si="45"/>
        <v>9362.5</v>
      </c>
      <c r="K300" s="20">
        <f t="shared" si="46"/>
        <v>10.5</v>
      </c>
      <c r="L300" s="19">
        <f t="shared" si="43"/>
        <v>52.5</v>
      </c>
      <c r="M300" s="8">
        <f t="shared" si="49"/>
        <v>1.1336448638326424</v>
      </c>
      <c r="N300" s="9">
        <f t="shared" si="50"/>
        <v>341786760</v>
      </c>
      <c r="O300" s="10">
        <f t="shared" si="47"/>
        <v>45678045</v>
      </c>
      <c r="P300" s="11">
        <f t="shared" si="48"/>
        <v>870058</v>
      </c>
      <c r="Q300" s="23">
        <f t="shared" si="44"/>
        <v>387464805</v>
      </c>
      <c r="R300" s="3" t="e">
        <f>VLOOKUP(B300,Buylist!B:B,1,FALSE)</f>
        <v>#N/A</v>
      </c>
      <c r="S300" s="3" t="e">
        <f>VLOOKUP(B300,Buylist!B:O,13,FALSE)</f>
        <v>#N/A</v>
      </c>
      <c r="T300" s="78">
        <v>299</v>
      </c>
    </row>
    <row r="301" spans="1:20">
      <c r="A301" s="27" t="s">
        <v>3000</v>
      </c>
      <c r="B301" s="63">
        <f>VLOOKUP(A301,TypeIDs!B:C,2,FALSE)</f>
        <v>4383</v>
      </c>
      <c r="C301" s="36">
        <v>3080000</v>
      </c>
      <c r="D301" s="69">
        <f t="shared" si="41"/>
        <v>3226060</v>
      </c>
      <c r="E301" s="35">
        <f>INDEX(MARKET_INPUT[Column1.price],MATCH(B301,MARKET_INPUT[Column1.type_id]))</f>
        <v>2750000</v>
      </c>
      <c r="F301" s="35">
        <f t="shared" si="42"/>
        <v>2627625</v>
      </c>
      <c r="G301" s="18">
        <f>VLOOKUP(B301,TypeIDs!C:D,2,FALSE)</f>
        <v>10</v>
      </c>
      <c r="I301" s="15">
        <v>2.5</v>
      </c>
      <c r="J301" s="17">
        <f t="shared" si="45"/>
        <v>1567.5</v>
      </c>
      <c r="K301" s="20">
        <f t="shared" si="46"/>
        <v>17.5</v>
      </c>
      <c r="L301" s="19">
        <f t="shared" si="43"/>
        <v>175</v>
      </c>
      <c r="M301" s="8">
        <f t="shared" si="49"/>
        <v>0.81449973032119671</v>
      </c>
      <c r="N301" s="9">
        <f t="shared" si="50"/>
        <v>56456050</v>
      </c>
      <c r="O301" s="10">
        <f t="shared" si="47"/>
        <v>-10472612.5</v>
      </c>
      <c r="P301" s="11">
        <f t="shared" si="48"/>
        <v>-59843.5</v>
      </c>
      <c r="Q301" s="23">
        <f t="shared" si="44"/>
        <v>45983437.5</v>
      </c>
      <c r="R301" s="3" t="e">
        <f>VLOOKUP(B301,Buylist!B:B,1,FALSE)</f>
        <v>#N/A</v>
      </c>
      <c r="S301" s="3" t="e">
        <f>VLOOKUP(B301,Buylist!B:O,13,FALSE)</f>
        <v>#N/A</v>
      </c>
      <c r="T301" s="78">
        <v>300</v>
      </c>
    </row>
    <row r="302" spans="1:20">
      <c r="A302" s="42" t="s">
        <v>19573</v>
      </c>
      <c r="B302" s="63">
        <f>VLOOKUP(A302,TypeIDs!B:C,2,FALSE)</f>
        <v>33915</v>
      </c>
      <c r="C302" s="36">
        <v>519900</v>
      </c>
      <c r="D302" s="69">
        <f t="shared" si="41"/>
        <v>552035.55000000005</v>
      </c>
      <c r="E302" s="35">
        <f>INDEX(MARKET_INPUT[Column1.price],MATCH(B302,MARKET_INPUT[Column1.type_id]))</f>
        <v>892900</v>
      </c>
      <c r="F302" s="35">
        <f t="shared" si="42"/>
        <v>853165.95</v>
      </c>
      <c r="G302" s="18">
        <f>VLOOKUP(B302,TypeIDs!C:D,2,FALSE)</f>
        <v>10</v>
      </c>
      <c r="I302" s="15">
        <v>1</v>
      </c>
      <c r="J302" s="17">
        <f t="shared" si="45"/>
        <v>126.98</v>
      </c>
      <c r="K302" s="20">
        <f t="shared" si="46"/>
        <v>7</v>
      </c>
      <c r="L302" s="19">
        <f t="shared" si="43"/>
        <v>70</v>
      </c>
      <c r="M302" s="8">
        <f t="shared" si="49"/>
        <v>1.5454909561530954</v>
      </c>
      <c r="N302" s="9">
        <f t="shared" si="50"/>
        <v>3864248.8500000006</v>
      </c>
      <c r="O302" s="10">
        <f t="shared" si="47"/>
        <v>2107912.7999999993</v>
      </c>
      <c r="P302" s="11">
        <f t="shared" si="48"/>
        <v>30113.03999999999</v>
      </c>
      <c r="Q302" s="23">
        <f t="shared" si="44"/>
        <v>5972161.6500000004</v>
      </c>
      <c r="R302" s="3" t="e">
        <f>VLOOKUP(B302,Buylist!B:B,1,FALSE)</f>
        <v>#N/A</v>
      </c>
      <c r="S302" s="3" t="e">
        <f>VLOOKUP(B302,Buylist!B:O,13,FALSE)</f>
        <v>#N/A</v>
      </c>
      <c r="T302" s="78">
        <v>301</v>
      </c>
    </row>
    <row r="303" spans="1:20">
      <c r="A303" s="27" t="s">
        <v>3224</v>
      </c>
      <c r="B303" s="63">
        <f>VLOOKUP(A303,TypeIDs!B:C,2,FALSE)</f>
        <v>5975</v>
      </c>
      <c r="C303" s="36">
        <v>13940</v>
      </c>
      <c r="D303" s="69">
        <f t="shared" si="41"/>
        <v>23560.33</v>
      </c>
      <c r="E303" s="35">
        <f>INDEX(MARKET_INPUT[Column1.price],MATCH(B303,MARKET_INPUT[Column1.type_id]))</f>
        <v>48000</v>
      </c>
      <c r="F303" s="35">
        <f t="shared" si="42"/>
        <v>45864</v>
      </c>
      <c r="G303" s="18">
        <f>VLOOKUP(B303,TypeIDs!C:D,2,FALSE)</f>
        <v>10</v>
      </c>
      <c r="I303" s="15">
        <v>3</v>
      </c>
      <c r="J303" s="17">
        <f t="shared" si="45"/>
        <v>37.363999999999997</v>
      </c>
      <c r="K303" s="20">
        <f t="shared" si="46"/>
        <v>21</v>
      </c>
      <c r="L303" s="19">
        <f t="shared" si="43"/>
        <v>210</v>
      </c>
      <c r="M303" s="8">
        <f t="shared" si="49"/>
        <v>1.946662037416284</v>
      </c>
      <c r="N303" s="9">
        <f t="shared" si="50"/>
        <v>494766.93000000005</v>
      </c>
      <c r="O303" s="10">
        <f t="shared" si="47"/>
        <v>468377.06999999995</v>
      </c>
      <c r="P303" s="11">
        <f t="shared" si="48"/>
        <v>2230.3669999999997</v>
      </c>
      <c r="Q303" s="23">
        <f t="shared" si="44"/>
        <v>963144</v>
      </c>
      <c r="R303" s="3" t="e">
        <f>VLOOKUP(B303,Buylist!B:B,1,FALSE)</f>
        <v>#N/A</v>
      </c>
      <c r="S303" s="3" t="e">
        <f>VLOOKUP(B303,Buylist!B:O,13,FALSE)</f>
        <v>#N/A</v>
      </c>
      <c r="T303" s="78">
        <v>302</v>
      </c>
    </row>
    <row r="304" spans="1:20">
      <c r="A304" s="27" t="s">
        <v>21194</v>
      </c>
      <c r="B304" s="63">
        <f>VLOOKUP(A304,TypeIDs!B:C,2,FALSE)</f>
        <v>35660</v>
      </c>
      <c r="C304" s="36">
        <v>41850</v>
      </c>
      <c r="D304" s="69">
        <f t="shared" si="41"/>
        <v>52712.324999999997</v>
      </c>
      <c r="E304" s="35">
        <f>INDEX(MARKET_INPUT[Column1.price],MATCH(B304,MARKET_INPUT[Column1.type_id]))</f>
        <v>50000</v>
      </c>
      <c r="F304" s="35">
        <f t="shared" si="42"/>
        <v>47775</v>
      </c>
      <c r="G304" s="18">
        <f>VLOOKUP(B304,TypeIDs!C:D,2,FALSE)</f>
        <v>10</v>
      </c>
      <c r="I304" s="15">
        <v>6</v>
      </c>
      <c r="J304" s="17">
        <f t="shared" si="45"/>
        <v>88.22</v>
      </c>
      <c r="K304" s="20">
        <f t="shared" si="46"/>
        <v>42</v>
      </c>
      <c r="L304" s="19">
        <f t="shared" si="43"/>
        <v>420</v>
      </c>
      <c r="M304" s="8">
        <f t="shared" si="49"/>
        <v>0.90633452423128746</v>
      </c>
      <c r="N304" s="9">
        <f t="shared" si="50"/>
        <v>2213917.65</v>
      </c>
      <c r="O304" s="10">
        <f t="shared" si="47"/>
        <v>-207367.64999999988</v>
      </c>
      <c r="P304" s="11">
        <f t="shared" si="48"/>
        <v>-493.73249999999973</v>
      </c>
      <c r="Q304" s="23">
        <f t="shared" si="44"/>
        <v>2006550</v>
      </c>
      <c r="R304" s="3">
        <f>VLOOKUP(B304,Buylist!B:B,1,FALSE)</f>
        <v>35660</v>
      </c>
      <c r="S304" s="3">
        <f>VLOOKUP(B304,Buylist!B:O,13,FALSE)</f>
        <v>0</v>
      </c>
      <c r="T304" s="78">
        <v>303</v>
      </c>
    </row>
    <row r="305" spans="1:20">
      <c r="A305" s="27" t="s">
        <v>21193</v>
      </c>
      <c r="B305" s="63">
        <f>VLOOKUP(A305,TypeIDs!B:C,2,FALSE)</f>
        <v>35659</v>
      </c>
      <c r="C305" s="36">
        <v>47280</v>
      </c>
      <c r="D305" s="69">
        <f t="shared" si="41"/>
        <v>58383.96</v>
      </c>
      <c r="E305" s="35">
        <f>INDEX(MARKET_INPUT[Column1.price],MATCH(B305,MARKET_INPUT[Column1.type_id]))</f>
        <v>90000</v>
      </c>
      <c r="F305" s="35">
        <f t="shared" si="42"/>
        <v>85995</v>
      </c>
      <c r="G305" s="18">
        <f>VLOOKUP(B305,TypeIDs!C:D,2,FALSE)</f>
        <v>10</v>
      </c>
      <c r="I305" s="15">
        <v>7</v>
      </c>
      <c r="J305" s="17">
        <f t="shared" si="45"/>
        <v>107.19199999999999</v>
      </c>
      <c r="K305" s="20">
        <f t="shared" si="46"/>
        <v>49</v>
      </c>
      <c r="L305" s="19">
        <f t="shared" si="43"/>
        <v>490</v>
      </c>
      <c r="M305" s="8">
        <f t="shared" si="49"/>
        <v>1.4729216723223297</v>
      </c>
      <c r="N305" s="9">
        <f t="shared" si="50"/>
        <v>2860814.04</v>
      </c>
      <c r="O305" s="10">
        <f t="shared" si="47"/>
        <v>1352940.96</v>
      </c>
      <c r="P305" s="11">
        <f t="shared" si="48"/>
        <v>2761.1040000000003</v>
      </c>
      <c r="Q305" s="23">
        <f t="shared" si="44"/>
        <v>4213755</v>
      </c>
      <c r="R305" s="3">
        <f>VLOOKUP(B305,Buylist!B:B,1,FALSE)</f>
        <v>35659</v>
      </c>
      <c r="S305" s="3">
        <f>VLOOKUP(B305,Buylist!B:O,13,FALSE)</f>
        <v>0</v>
      </c>
      <c r="T305" s="78">
        <v>304</v>
      </c>
    </row>
    <row r="306" spans="1:20">
      <c r="A306" s="27" t="s">
        <v>3222</v>
      </c>
      <c r="B306" s="63">
        <f>VLOOKUP(A306,TypeIDs!B:C,2,FALSE)</f>
        <v>5971</v>
      </c>
      <c r="C306" s="36">
        <v>24400</v>
      </c>
      <c r="D306" s="69">
        <f t="shared" si="41"/>
        <v>34485.800000000003</v>
      </c>
      <c r="E306" s="35">
        <f>INDEX(MARKET_INPUT[Column1.price],MATCH(B306,MARKET_INPUT[Column1.type_id]))</f>
        <v>49960</v>
      </c>
      <c r="F306" s="35">
        <f t="shared" si="42"/>
        <v>47736.78</v>
      </c>
      <c r="G306" s="18">
        <f>VLOOKUP(B306,TypeIDs!C:D,2,FALSE)</f>
        <v>10</v>
      </c>
      <c r="I306" s="15">
        <v>4</v>
      </c>
      <c r="J306" s="17">
        <f t="shared" si="45"/>
        <v>51.519999999999996</v>
      </c>
      <c r="K306" s="20">
        <f t="shared" si="46"/>
        <v>28</v>
      </c>
      <c r="L306" s="19">
        <f t="shared" si="43"/>
        <v>280</v>
      </c>
      <c r="M306" s="8">
        <f t="shared" si="49"/>
        <v>1.3842445296324863</v>
      </c>
      <c r="N306" s="9">
        <f t="shared" si="50"/>
        <v>965602.40000000014</v>
      </c>
      <c r="O306" s="10">
        <f t="shared" si="47"/>
        <v>371027.43999999989</v>
      </c>
      <c r="P306" s="11">
        <f t="shared" si="48"/>
        <v>1325.0979999999995</v>
      </c>
      <c r="Q306" s="23">
        <f t="shared" si="44"/>
        <v>1336629.8400000001</v>
      </c>
      <c r="R306" s="3" t="e">
        <f>VLOOKUP(B306,Buylist!B:B,1,FALSE)</f>
        <v>#N/A</v>
      </c>
      <c r="S306" s="3" t="e">
        <f>VLOOKUP(B306,Buylist!B:O,13,FALSE)</f>
        <v>#N/A</v>
      </c>
      <c r="T306" s="78">
        <v>305</v>
      </c>
    </row>
    <row r="307" spans="1:20">
      <c r="A307" s="27" t="s">
        <v>21192</v>
      </c>
      <c r="B307" s="63">
        <f>VLOOKUP(A307,TypeIDs!B:C,2,FALSE)</f>
        <v>35658</v>
      </c>
      <c r="C307" s="36">
        <v>44970</v>
      </c>
      <c r="D307" s="69">
        <f t="shared" si="41"/>
        <v>55971.165000000001</v>
      </c>
      <c r="E307" s="35">
        <f>INDEX(MARKET_INPUT[Column1.price],MATCH(B307,MARKET_INPUT[Column1.type_id]))</f>
        <v>90000</v>
      </c>
      <c r="F307" s="35">
        <f t="shared" si="42"/>
        <v>85995</v>
      </c>
      <c r="G307" s="18">
        <f>VLOOKUP(B307,TypeIDs!C:D,2,FALSE)</f>
        <v>10</v>
      </c>
      <c r="I307" s="15">
        <v>7</v>
      </c>
      <c r="J307" s="17">
        <f t="shared" si="45"/>
        <v>103.958</v>
      </c>
      <c r="K307" s="20">
        <f t="shared" si="46"/>
        <v>49</v>
      </c>
      <c r="L307" s="19">
        <f t="shared" si="43"/>
        <v>490</v>
      </c>
      <c r="M307" s="8">
        <f t="shared" si="49"/>
        <v>1.5364161171203066</v>
      </c>
      <c r="N307" s="9">
        <f t="shared" si="50"/>
        <v>2742587.085</v>
      </c>
      <c r="O307" s="10">
        <f t="shared" si="47"/>
        <v>1471167.915</v>
      </c>
      <c r="P307" s="11">
        <f t="shared" si="48"/>
        <v>3002.3834999999999</v>
      </c>
      <c r="Q307" s="23">
        <f t="shared" si="44"/>
        <v>4213755</v>
      </c>
      <c r="R307" s="3" t="e">
        <f>VLOOKUP(B307,Buylist!B:B,1,FALSE)</f>
        <v>#N/A</v>
      </c>
      <c r="S307" s="3" t="e">
        <f>VLOOKUP(B307,Buylist!B:O,13,FALSE)</f>
        <v>#N/A</v>
      </c>
      <c r="T307" s="78">
        <v>306</v>
      </c>
    </row>
    <row r="308" spans="1:20">
      <c r="A308" s="27" t="s">
        <v>3223</v>
      </c>
      <c r="B308" s="63">
        <f>VLOOKUP(A308,TypeIDs!B:C,2,FALSE)</f>
        <v>5973</v>
      </c>
      <c r="C308" s="36">
        <v>275100</v>
      </c>
      <c r="D308" s="69">
        <f t="shared" si="41"/>
        <v>296341.95</v>
      </c>
      <c r="E308" s="35">
        <f>INDEX(MARKET_INPUT[Column1.price],MATCH(B308,MARKET_INPUT[Column1.type_id]))</f>
        <v>375000</v>
      </c>
      <c r="F308" s="35">
        <f t="shared" si="42"/>
        <v>358312.5</v>
      </c>
      <c r="G308" s="18">
        <f>VLOOKUP(B308,TypeIDs!C:D,2,FALSE)</f>
        <v>10</v>
      </c>
      <c r="I308" s="15">
        <v>12</v>
      </c>
      <c r="J308" s="17">
        <f t="shared" si="45"/>
        <v>716.24</v>
      </c>
      <c r="K308" s="20">
        <f t="shared" si="46"/>
        <v>84</v>
      </c>
      <c r="L308" s="19">
        <f t="shared" si="43"/>
        <v>840</v>
      </c>
      <c r="M308" s="8">
        <f t="shared" si="49"/>
        <v>1.2091183850278369</v>
      </c>
      <c r="N308" s="9">
        <f t="shared" si="50"/>
        <v>24892723.800000001</v>
      </c>
      <c r="O308" s="10">
        <f t="shared" si="47"/>
        <v>5205526.1999999993</v>
      </c>
      <c r="P308" s="11">
        <f t="shared" si="48"/>
        <v>6197.0549999999985</v>
      </c>
      <c r="Q308" s="23">
        <f t="shared" si="44"/>
        <v>30098250</v>
      </c>
      <c r="R308" s="3" t="e">
        <f>VLOOKUP(B308,Buylist!B:B,1,FALSE)</f>
        <v>#N/A</v>
      </c>
      <c r="S308" s="3" t="e">
        <f>VLOOKUP(B308,Buylist!B:O,13,FALSE)</f>
        <v>#N/A</v>
      </c>
      <c r="T308" s="78">
        <v>307</v>
      </c>
    </row>
    <row r="309" spans="1:20">
      <c r="A309" s="27" t="s">
        <v>206</v>
      </c>
      <c r="B309" s="63">
        <f>VLOOKUP(A309,TypeIDs!B:C,2,FALSE)</f>
        <v>440</v>
      </c>
      <c r="C309" s="36">
        <v>4451000</v>
      </c>
      <c r="D309" s="69">
        <f t="shared" si="41"/>
        <v>4658069.5</v>
      </c>
      <c r="E309" s="35">
        <f>INDEX(MARKET_INPUT[Column1.price],MATCH(B309,MARKET_INPUT[Column1.type_id]))</f>
        <v>5149000</v>
      </c>
      <c r="F309" s="35">
        <f t="shared" si="42"/>
        <v>4919869.5</v>
      </c>
      <c r="G309" s="18">
        <f>VLOOKUP(B309,TypeIDs!C:D,2,FALSE)</f>
        <v>10</v>
      </c>
      <c r="I309" s="15">
        <v>3</v>
      </c>
      <c r="J309" s="17">
        <f t="shared" si="45"/>
        <v>2699.6</v>
      </c>
      <c r="K309" s="20">
        <f t="shared" si="46"/>
        <v>21</v>
      </c>
      <c r="L309" s="19">
        <f t="shared" si="43"/>
        <v>210</v>
      </c>
      <c r="M309" s="8">
        <f t="shared" si="49"/>
        <v>1.0562035409733581</v>
      </c>
      <c r="N309" s="9">
        <f t="shared" si="50"/>
        <v>97819459.5</v>
      </c>
      <c r="O309" s="10">
        <f t="shared" si="47"/>
        <v>5497800</v>
      </c>
      <c r="P309" s="11">
        <f t="shared" si="48"/>
        <v>26180</v>
      </c>
      <c r="Q309" s="23">
        <f t="shared" si="44"/>
        <v>103317259.5</v>
      </c>
      <c r="R309" s="3" t="e">
        <f>VLOOKUP(B309,Buylist!B:B,1,FALSE)</f>
        <v>#N/A</v>
      </c>
      <c r="S309" s="3" t="e">
        <f>VLOOKUP(B309,Buylist!B:O,13,FALSE)</f>
        <v>#N/A</v>
      </c>
      <c r="T309" s="78">
        <v>308</v>
      </c>
    </row>
    <row r="310" spans="1:20">
      <c r="A310" s="27" t="s">
        <v>692</v>
      </c>
      <c r="B310" s="63">
        <f>VLOOKUP(A310,TypeIDs!B:C,2,FALSE)</f>
        <v>1405</v>
      </c>
      <c r="C310" s="36">
        <v>463500</v>
      </c>
      <c r="D310" s="69">
        <f t="shared" si="41"/>
        <v>488625.75</v>
      </c>
      <c r="E310" s="35">
        <f>INDEX(MARKET_INPUT[Column1.price],MATCH(B310,MARKET_INPUT[Column1.type_id]))</f>
        <v>939000</v>
      </c>
      <c r="F310" s="35">
        <f t="shared" si="42"/>
        <v>897214.5</v>
      </c>
      <c r="G310" s="18">
        <f>VLOOKUP(B310,TypeIDs!C:D,2,FALSE)</f>
        <v>5</v>
      </c>
      <c r="I310" s="15">
        <v>35</v>
      </c>
      <c r="J310" s="17">
        <f t="shared" si="45"/>
        <v>3359.5</v>
      </c>
      <c r="K310" s="20">
        <f t="shared" si="46"/>
        <v>245</v>
      </c>
      <c r="L310" s="19">
        <f t="shared" si="43"/>
        <v>1225</v>
      </c>
      <c r="M310" s="8">
        <f t="shared" si="49"/>
        <v>1.8361997909442964</v>
      </c>
      <c r="N310" s="9">
        <f t="shared" si="50"/>
        <v>119713308.75</v>
      </c>
      <c r="O310" s="10">
        <f t="shared" si="47"/>
        <v>100104243.75</v>
      </c>
      <c r="P310" s="11">
        <f t="shared" si="48"/>
        <v>81717.75</v>
      </c>
      <c r="Q310" s="23">
        <f t="shared" si="44"/>
        <v>219817552.5</v>
      </c>
      <c r="R310" s="3">
        <f>VLOOKUP(B310,Buylist!B:B,1,FALSE)</f>
        <v>1405</v>
      </c>
      <c r="S310" s="3">
        <f>VLOOKUP(B310,Buylist!B:O,13,FALSE)</f>
        <v>0</v>
      </c>
      <c r="T310" s="78">
        <v>309</v>
      </c>
    </row>
    <row r="311" spans="1:20">
      <c r="A311" s="27" t="s">
        <v>36921</v>
      </c>
      <c r="B311" s="63">
        <f>VLOOKUP(A311,TypeIDs!B:C,2,FALSE)</f>
        <v>58919</v>
      </c>
      <c r="C311" s="36">
        <v>47820</v>
      </c>
      <c r="D311" s="69">
        <f t="shared" si="41"/>
        <v>54447.99</v>
      </c>
      <c r="E311" s="35">
        <f>INDEX(MARKET_INPUT[Column1.price],MATCH(B311,MARKET_INPUT[Column1.type_id]))</f>
        <v>93970</v>
      </c>
      <c r="F311" s="35">
        <f t="shared" si="42"/>
        <v>89788.335000000006</v>
      </c>
      <c r="G311" s="18">
        <f>VLOOKUP(B311,TypeIDs!C:D,2,FALSE)</f>
        <v>5</v>
      </c>
      <c r="I311" s="15">
        <v>2</v>
      </c>
      <c r="J311" s="17">
        <f t="shared" si="45"/>
        <v>35.128</v>
      </c>
      <c r="K311" s="20">
        <f t="shared" si="46"/>
        <v>14</v>
      </c>
      <c r="L311" s="19">
        <f t="shared" si="43"/>
        <v>70</v>
      </c>
      <c r="M311" s="8">
        <f t="shared" si="49"/>
        <v>1.6490661087764673</v>
      </c>
      <c r="N311" s="9">
        <f t="shared" si="50"/>
        <v>762271.86</v>
      </c>
      <c r="O311" s="10">
        <f t="shared" si="47"/>
        <v>494764.83000000013</v>
      </c>
      <c r="P311" s="11">
        <f t="shared" si="48"/>
        <v>7068.0690000000013</v>
      </c>
      <c r="Q311" s="23">
        <f t="shared" si="44"/>
        <v>1257036.6900000002</v>
      </c>
      <c r="R311" s="3" t="e">
        <f>VLOOKUP(B311,Buylist!B:B,1,FALSE)</f>
        <v>#N/A</v>
      </c>
      <c r="S311" s="3" t="e">
        <f>VLOOKUP(B311,Buylist!B:O,13,FALSE)</f>
        <v>#N/A</v>
      </c>
      <c r="T311" s="78">
        <v>310</v>
      </c>
    </row>
    <row r="312" spans="1:20">
      <c r="A312" s="27" t="s">
        <v>36942</v>
      </c>
      <c r="B312" s="63">
        <f>VLOOKUP(A312,TypeIDs!B:C,2,FALSE)</f>
        <v>58972</v>
      </c>
      <c r="C312" s="36">
        <v>972000</v>
      </c>
      <c r="D312" s="69">
        <f t="shared" si="41"/>
        <v>1019754</v>
      </c>
      <c r="E312" s="35">
        <f>INDEX(MARKET_INPUT[Column1.price],MATCH(B312,MARKET_INPUT[Column1.type_id]))</f>
        <v>2938000</v>
      </c>
      <c r="F312" s="35">
        <f t="shared" si="42"/>
        <v>2807259</v>
      </c>
      <c r="G312" s="18">
        <f>VLOOKUP(B312,TypeIDs!C:D,2,FALSE)</f>
        <v>5</v>
      </c>
      <c r="I312" s="15">
        <v>3</v>
      </c>
      <c r="J312" s="17">
        <f t="shared" si="45"/>
        <v>602.19999999999993</v>
      </c>
      <c r="K312" s="20">
        <f t="shared" si="46"/>
        <v>21</v>
      </c>
      <c r="L312" s="19">
        <f t="shared" si="43"/>
        <v>105</v>
      </c>
      <c r="M312" s="8">
        <f t="shared" si="49"/>
        <v>2.752878635435605</v>
      </c>
      <c r="N312" s="9">
        <f t="shared" si="50"/>
        <v>21414834</v>
      </c>
      <c r="O312" s="10">
        <f t="shared" si="47"/>
        <v>37537605</v>
      </c>
      <c r="P312" s="11">
        <f t="shared" si="48"/>
        <v>357501</v>
      </c>
      <c r="Q312" s="23">
        <f t="shared" si="44"/>
        <v>58952439</v>
      </c>
      <c r="R312" s="3">
        <f>VLOOKUP(B312,Buylist!B:B,1,FALSE)</f>
        <v>58972</v>
      </c>
      <c r="S312" s="3">
        <f>VLOOKUP(B312,Buylist!B:O,13,FALSE)</f>
        <v>0</v>
      </c>
      <c r="T312" s="78">
        <v>311</v>
      </c>
    </row>
    <row r="313" spans="1:20">
      <c r="A313" s="27" t="s">
        <v>622</v>
      </c>
      <c r="B313" s="63">
        <f>VLOOKUP(A313,TypeIDs!B:C,2,FALSE)</f>
        <v>1236</v>
      </c>
      <c r="C313" s="36">
        <v>616300</v>
      </c>
      <c r="D313" s="69">
        <f t="shared" si="41"/>
        <v>648225.35</v>
      </c>
      <c r="E313" s="35">
        <f>INDEX(MARKET_INPUT[Column1.price],MATCH(B313,MARKET_INPUT[Column1.type_id]))</f>
        <v>739900</v>
      </c>
      <c r="F313" s="35">
        <f t="shared" si="42"/>
        <v>706974.45</v>
      </c>
      <c r="G313" s="18">
        <f>VLOOKUP(B313,TypeIDs!C:D,2,FALSE)</f>
        <v>5</v>
      </c>
      <c r="I313" s="15">
        <v>10</v>
      </c>
      <c r="J313" s="17">
        <f t="shared" si="45"/>
        <v>1272.5999999999999</v>
      </c>
      <c r="K313" s="20">
        <f t="shared" si="46"/>
        <v>70</v>
      </c>
      <c r="L313" s="19">
        <f t="shared" si="43"/>
        <v>350</v>
      </c>
      <c r="M313" s="8">
        <f t="shared" si="49"/>
        <v>1.0906306734224449</v>
      </c>
      <c r="N313" s="9">
        <f t="shared" si="50"/>
        <v>45375774.5</v>
      </c>
      <c r="O313" s="10">
        <f t="shared" si="47"/>
        <v>4112436.9999999981</v>
      </c>
      <c r="P313" s="11">
        <f t="shared" si="48"/>
        <v>11749.819999999996</v>
      </c>
      <c r="Q313" s="23">
        <f t="shared" si="44"/>
        <v>49488211.5</v>
      </c>
      <c r="R313" s="3" t="e">
        <f>VLOOKUP(B313,Buylist!B:B,1,FALSE)</f>
        <v>#N/A</v>
      </c>
      <c r="S313" s="3" t="e">
        <f>VLOOKUP(B313,Buylist!B:O,13,FALSE)</f>
        <v>#N/A</v>
      </c>
      <c r="T313" s="78">
        <v>312</v>
      </c>
    </row>
    <row r="314" spans="1:20">
      <c r="A314" s="27" t="s">
        <v>4068</v>
      </c>
      <c r="B314" s="63">
        <f>VLOOKUP(A314,TypeIDs!B:C,2,FALSE)</f>
        <v>10998</v>
      </c>
      <c r="C314" s="36">
        <v>14490</v>
      </c>
      <c r="D314" s="69">
        <f t="shared" si="41"/>
        <v>19634.805</v>
      </c>
      <c r="E314" s="35">
        <f>INDEX(MARKET_INPUT[Column1.price],MATCH(B314,MARKET_INPUT[Column1.type_id]))</f>
        <v>49490</v>
      </c>
      <c r="F314" s="35">
        <f t="shared" si="42"/>
        <v>47287.695</v>
      </c>
      <c r="G314" s="18">
        <f>VLOOKUP(B314,TypeIDs!C:D,2,FALSE)</f>
        <v>5</v>
      </c>
      <c r="I314" s="15">
        <v>6</v>
      </c>
      <c r="J314" s="17">
        <f t="shared" si="45"/>
        <v>45.387999999999998</v>
      </c>
      <c r="K314" s="20">
        <f t="shared" si="46"/>
        <v>42</v>
      </c>
      <c r="L314" s="19">
        <f t="shared" si="43"/>
        <v>210</v>
      </c>
      <c r="M314" s="8">
        <f t="shared" si="49"/>
        <v>2.4083608164175807</v>
      </c>
      <c r="N314" s="9">
        <f t="shared" si="50"/>
        <v>824661.81</v>
      </c>
      <c r="O314" s="10">
        <f t="shared" si="47"/>
        <v>1161421.3799999999</v>
      </c>
      <c r="P314" s="11">
        <f t="shared" si="48"/>
        <v>5530.5779999999995</v>
      </c>
      <c r="Q314" s="23">
        <f t="shared" si="44"/>
        <v>1986083.19</v>
      </c>
      <c r="R314" s="3" t="e">
        <f>VLOOKUP(B314,Buylist!B:B,1,FALSE)</f>
        <v>#N/A</v>
      </c>
      <c r="S314" s="3" t="e">
        <f>VLOOKUP(B314,Buylist!B:O,13,FALSE)</f>
        <v>#N/A</v>
      </c>
      <c r="T314" s="78">
        <v>313</v>
      </c>
    </row>
    <row r="315" spans="1:20">
      <c r="A315" s="27" t="s">
        <v>4475</v>
      </c>
      <c r="B315" s="63">
        <f>VLOOKUP(A315,TypeIDs!B:C,2,FALSE)</f>
        <v>11640</v>
      </c>
      <c r="C315" s="36">
        <v>777300</v>
      </c>
      <c r="D315" s="69">
        <f t="shared" si="41"/>
        <v>816389.85</v>
      </c>
      <c r="E315" s="35">
        <f>INDEX(MARKET_INPUT[Column1.price],MATCH(B315,MARKET_INPUT[Column1.type_id]))</f>
        <v>1331000</v>
      </c>
      <c r="F315" s="35">
        <f t="shared" si="42"/>
        <v>1271770.5</v>
      </c>
      <c r="G315" s="18">
        <f>VLOOKUP(B315,TypeIDs!C:D,2,FALSE)</f>
        <v>5</v>
      </c>
      <c r="I315" s="15">
        <v>6</v>
      </c>
      <c r="J315" s="17">
        <f t="shared" si="45"/>
        <v>960.76</v>
      </c>
      <c r="K315" s="20">
        <f t="shared" si="46"/>
        <v>42</v>
      </c>
      <c r="L315" s="19">
        <f t="shared" si="43"/>
        <v>210</v>
      </c>
      <c r="M315" s="8">
        <f t="shared" si="49"/>
        <v>1.5577980299485596</v>
      </c>
      <c r="N315" s="9">
        <f t="shared" si="50"/>
        <v>34288373.699999996</v>
      </c>
      <c r="O315" s="10">
        <f t="shared" si="47"/>
        <v>19125987.300000001</v>
      </c>
      <c r="P315" s="11">
        <f t="shared" si="48"/>
        <v>91076.13</v>
      </c>
      <c r="Q315" s="23">
        <f t="shared" si="44"/>
        <v>53414361</v>
      </c>
      <c r="R315" s="3">
        <f>VLOOKUP(B315,Buylist!B:B,1,FALSE)</f>
        <v>11640</v>
      </c>
      <c r="S315" s="3">
        <f>VLOOKUP(B315,Buylist!B:O,13,FALSE)</f>
        <v>0</v>
      </c>
      <c r="T315" s="78">
        <v>314</v>
      </c>
    </row>
    <row r="316" spans="1:20">
      <c r="A316" s="13" t="s">
        <v>10721</v>
      </c>
      <c r="B316" s="63">
        <f>VLOOKUP(A316,TypeIDs!B:C,2,FALSE)</f>
        <v>22175</v>
      </c>
      <c r="C316" s="36">
        <v>55230</v>
      </c>
      <c r="D316" s="69">
        <f t="shared" si="41"/>
        <v>62187.735000000001</v>
      </c>
      <c r="E316" s="35">
        <f>INDEX(MARKET_INPUT[Column1.price],MATCH(B316,MARKET_INPUT[Column1.type_id]))</f>
        <v>89990</v>
      </c>
      <c r="F316" s="35">
        <f t="shared" si="42"/>
        <v>85985.445000000007</v>
      </c>
      <c r="G316" s="18">
        <f>VLOOKUP(B316,TypeIDs!C:D,2,FALSE)</f>
        <v>5</v>
      </c>
      <c r="I316" s="15">
        <v>2</v>
      </c>
      <c r="J316" s="17">
        <f t="shared" si="45"/>
        <v>38.091999999999999</v>
      </c>
      <c r="K316" s="20">
        <f t="shared" si="46"/>
        <v>14</v>
      </c>
      <c r="L316" s="19">
        <f t="shared" si="43"/>
        <v>70</v>
      </c>
      <c r="M316" s="8">
        <f t="shared" si="49"/>
        <v>1.3826752976290262</v>
      </c>
      <c r="N316" s="9">
        <f t="shared" si="50"/>
        <v>870628.29</v>
      </c>
      <c r="O316" s="10">
        <f t="shared" si="47"/>
        <v>333167.94000000006</v>
      </c>
      <c r="P316" s="11">
        <f t="shared" si="48"/>
        <v>4759.5420000000013</v>
      </c>
      <c r="Q316" s="23">
        <f t="shared" si="44"/>
        <v>1203796.23</v>
      </c>
      <c r="R316" s="3" t="e">
        <f>VLOOKUP(B316,Buylist!B:B,1,FALSE)</f>
        <v>#N/A</v>
      </c>
      <c r="S316" s="3" t="e">
        <f>VLOOKUP(B316,Buylist!B:O,13,FALSE)</f>
        <v>#N/A</v>
      </c>
      <c r="T316" s="78">
        <v>315</v>
      </c>
    </row>
    <row r="317" spans="1:20">
      <c r="A317" s="13" t="s">
        <v>8363</v>
      </c>
      <c r="B317" s="63">
        <f>VLOOKUP(A317,TypeIDs!B:C,2,FALSE)</f>
        <v>17938</v>
      </c>
      <c r="C317" s="36">
        <v>16970</v>
      </c>
      <c r="D317" s="69">
        <f t="shared" si="41"/>
        <v>22225.165000000001</v>
      </c>
      <c r="E317" s="35">
        <f>INDEX(MARKET_INPUT[Column1.price],MATCH(B317,MARKET_INPUT[Column1.type_id]))</f>
        <v>22970</v>
      </c>
      <c r="F317" s="35">
        <f t="shared" si="42"/>
        <v>21947.834999999999</v>
      </c>
      <c r="G317" s="18">
        <f>VLOOKUP(B317,TypeIDs!C:D,2,FALSE)</f>
        <v>5</v>
      </c>
      <c r="I317" s="15">
        <v>3</v>
      </c>
      <c r="J317" s="17">
        <f t="shared" si="45"/>
        <v>29.182000000000002</v>
      </c>
      <c r="K317" s="20">
        <f t="shared" si="46"/>
        <v>21</v>
      </c>
      <c r="L317" s="19">
        <f t="shared" si="43"/>
        <v>105</v>
      </c>
      <c r="M317" s="8">
        <f t="shared" si="49"/>
        <v>0.98752180242531373</v>
      </c>
      <c r="N317" s="9">
        <f t="shared" si="50"/>
        <v>466728.46500000003</v>
      </c>
      <c r="O317" s="10">
        <f t="shared" si="47"/>
        <v>-5823.9300000000367</v>
      </c>
      <c r="P317" s="11">
        <f t="shared" si="48"/>
        <v>-55.466000000000349</v>
      </c>
      <c r="Q317" s="23">
        <f t="shared" si="44"/>
        <v>460904.53499999997</v>
      </c>
      <c r="R317" s="3" t="e">
        <f>VLOOKUP(B317,Buylist!B:B,1,FALSE)</f>
        <v>#N/A</v>
      </c>
      <c r="S317" s="3" t="e">
        <f>VLOOKUP(B317,Buylist!B:O,13,FALSE)</f>
        <v>#N/A</v>
      </c>
      <c r="T317" s="78">
        <v>316</v>
      </c>
    </row>
    <row r="318" spans="1:20">
      <c r="A318" s="13" t="s">
        <v>8564</v>
      </c>
      <c r="B318" s="63">
        <f>VLOOKUP(A318,TypeIDs!B:C,2,FALSE)</f>
        <v>18639</v>
      </c>
      <c r="C318" s="36">
        <v>25490</v>
      </c>
      <c r="D318" s="69">
        <f t="shared" si="41"/>
        <v>31124.305</v>
      </c>
      <c r="E318" s="35">
        <f>INDEX(MARKET_INPUT[Column1.price],MATCH(B318,MARKET_INPUT[Column1.type_id]))</f>
        <v>125000</v>
      </c>
      <c r="F318" s="35">
        <f t="shared" si="42"/>
        <v>119437.5</v>
      </c>
      <c r="G318" s="18">
        <f>VLOOKUP(B318,TypeIDs!C:D,2,FALSE)</f>
        <v>5</v>
      </c>
      <c r="I318" s="15">
        <v>2</v>
      </c>
      <c r="J318" s="17">
        <f t="shared" si="45"/>
        <v>26.195999999999998</v>
      </c>
      <c r="K318" s="20">
        <f t="shared" si="46"/>
        <v>14</v>
      </c>
      <c r="L318" s="19">
        <f t="shared" si="43"/>
        <v>70</v>
      </c>
      <c r="M318" s="8">
        <f t="shared" si="49"/>
        <v>3.8374350848958714</v>
      </c>
      <c r="N318" s="9">
        <f t="shared" si="50"/>
        <v>435740.27</v>
      </c>
      <c r="O318" s="10">
        <f t="shared" si="47"/>
        <v>1236384.73</v>
      </c>
      <c r="P318" s="11">
        <f t="shared" si="48"/>
        <v>17662.639000000003</v>
      </c>
      <c r="Q318" s="23">
        <f t="shared" si="44"/>
        <v>1672125</v>
      </c>
      <c r="R318" s="3">
        <f>VLOOKUP(B318,Buylist!B:B,1,FALSE)</f>
        <v>18639</v>
      </c>
      <c r="S318" s="3">
        <f>VLOOKUP(B318,Buylist!B:O,13,FALSE)</f>
        <v>0</v>
      </c>
      <c r="T318" s="78">
        <v>317</v>
      </c>
    </row>
    <row r="319" spans="1:20">
      <c r="A319" s="13" t="s">
        <v>15714</v>
      </c>
      <c r="B319" s="63">
        <f>VLOOKUP(A319,TypeIDs!B:C,2,FALSE)</f>
        <v>28758</v>
      </c>
      <c r="C319" s="36">
        <v>29970000</v>
      </c>
      <c r="D319" s="69">
        <f t="shared" si="41"/>
        <v>31308165</v>
      </c>
      <c r="E319" s="35">
        <f>INDEX(MARKET_INPUT[Column1.price],MATCH(B319,MARKET_INPUT[Column1.type_id]))</f>
        <v>37560000</v>
      </c>
      <c r="F319" s="35">
        <f t="shared" si="42"/>
        <v>35888580</v>
      </c>
      <c r="G319" s="18">
        <f>VLOOKUP(B319,TypeIDs!C:D,2,FALSE)</f>
        <v>5</v>
      </c>
      <c r="I319" s="15">
        <v>1</v>
      </c>
      <c r="J319" s="17">
        <f t="shared" si="45"/>
        <v>6007</v>
      </c>
      <c r="K319" s="20">
        <f t="shared" si="46"/>
        <v>7</v>
      </c>
      <c r="L319" s="19">
        <f t="shared" si="43"/>
        <v>35</v>
      </c>
      <c r="M319" s="8">
        <f t="shared" si="49"/>
        <v>1.1463009729251139</v>
      </c>
      <c r="N319" s="9">
        <f t="shared" si="50"/>
        <v>219157155</v>
      </c>
      <c r="O319" s="10">
        <f t="shared" si="47"/>
        <v>32062905</v>
      </c>
      <c r="P319" s="11">
        <f t="shared" si="48"/>
        <v>916083</v>
      </c>
      <c r="Q319" s="23">
        <f t="shared" si="44"/>
        <v>251220060</v>
      </c>
      <c r="R319" s="3" t="e">
        <f>VLOOKUP(B319,Buylist!B:B,1,FALSE)</f>
        <v>#N/A</v>
      </c>
      <c r="S319" s="3" t="e">
        <f>VLOOKUP(B319,Buylist!B:O,13,FALSE)</f>
        <v>#N/A</v>
      </c>
      <c r="T319" s="78">
        <v>318</v>
      </c>
    </row>
    <row r="320" spans="1:20">
      <c r="A320" s="13" t="s">
        <v>15712</v>
      </c>
      <c r="B320" s="63">
        <f>VLOOKUP(A320,TypeIDs!B:C,2,FALSE)</f>
        <v>28756</v>
      </c>
      <c r="C320" s="36">
        <v>29990000</v>
      </c>
      <c r="D320" s="69">
        <f t="shared" si="41"/>
        <v>31329055</v>
      </c>
      <c r="E320" s="35">
        <f>INDEX(MARKET_INPUT[Column1.price],MATCH(B320,MARKET_INPUT[Column1.type_id]))</f>
        <v>37190000</v>
      </c>
      <c r="F320" s="35">
        <f t="shared" si="42"/>
        <v>35535045</v>
      </c>
      <c r="G320" s="18">
        <f>VLOOKUP(B320,TypeIDs!C:D,2,FALSE)</f>
        <v>5</v>
      </c>
      <c r="I320" s="15">
        <v>1</v>
      </c>
      <c r="J320" s="17">
        <f t="shared" si="45"/>
        <v>6011</v>
      </c>
      <c r="K320" s="20">
        <f t="shared" si="46"/>
        <v>7</v>
      </c>
      <c r="L320" s="19">
        <f t="shared" si="43"/>
        <v>35</v>
      </c>
      <c r="M320" s="8">
        <f t="shared" si="49"/>
        <v>1.134252054522551</v>
      </c>
      <c r="N320" s="9">
        <f t="shared" si="50"/>
        <v>219303385</v>
      </c>
      <c r="O320" s="10">
        <f t="shared" si="47"/>
        <v>29441930</v>
      </c>
      <c r="P320" s="11">
        <f t="shared" si="48"/>
        <v>841198</v>
      </c>
      <c r="Q320" s="23">
        <f t="shared" si="44"/>
        <v>248745315</v>
      </c>
      <c r="R320" s="3" t="e">
        <f>VLOOKUP(B320,Buylist!B:B,1,FALSE)</f>
        <v>#N/A</v>
      </c>
      <c r="S320" s="3" t="e">
        <f>VLOOKUP(B320,Buylist!B:O,13,FALSE)</f>
        <v>#N/A</v>
      </c>
      <c r="T320" s="78">
        <v>319</v>
      </c>
    </row>
    <row r="321" spans="1:20">
      <c r="A321" s="13" t="s">
        <v>18977</v>
      </c>
      <c r="B321" s="63">
        <f>VLOOKUP(A321,TypeIDs!B:C,2,FALSE)</f>
        <v>33180</v>
      </c>
      <c r="C321" s="36">
        <v>185400</v>
      </c>
      <c r="D321" s="69">
        <f t="shared" si="41"/>
        <v>198150.3</v>
      </c>
      <c r="E321" s="35">
        <f>INDEX(MARKET_INPUT[Column1.price],MATCH(B321,MARKET_INPUT[Column1.type_id]))</f>
        <v>699900</v>
      </c>
      <c r="F321" s="35">
        <f t="shared" si="42"/>
        <v>668754.44999999995</v>
      </c>
      <c r="G321" s="18">
        <f>VLOOKUP(B321,TypeIDs!C:D,2,FALSE)</f>
        <v>5</v>
      </c>
      <c r="I321" s="15">
        <v>3</v>
      </c>
      <c r="J321" s="17">
        <f t="shared" si="45"/>
        <v>130.24</v>
      </c>
      <c r="K321" s="20">
        <f t="shared" si="46"/>
        <v>21</v>
      </c>
      <c r="L321" s="19">
        <f t="shared" si="43"/>
        <v>105</v>
      </c>
      <c r="M321" s="8">
        <f t="shared" si="49"/>
        <v>3.3749858062289082</v>
      </c>
      <c r="N321" s="9">
        <f t="shared" si="50"/>
        <v>4161156.3</v>
      </c>
      <c r="O321" s="10">
        <f t="shared" si="47"/>
        <v>9882687.1499999985</v>
      </c>
      <c r="P321" s="11">
        <f t="shared" si="48"/>
        <v>94120.829999999987</v>
      </c>
      <c r="Q321" s="23">
        <f t="shared" si="44"/>
        <v>14043843.449999999</v>
      </c>
      <c r="R321" s="3" t="e">
        <f>VLOOKUP(B321,Buylist!B:B,1,FALSE)</f>
        <v>#N/A</v>
      </c>
      <c r="S321" s="3" t="e">
        <f>VLOOKUP(B321,Buylist!B:O,13,FALSE)</f>
        <v>#N/A</v>
      </c>
      <c r="T321" s="78">
        <v>320</v>
      </c>
    </row>
    <row r="322" spans="1:20">
      <c r="A322" s="43" t="s">
        <v>12476</v>
      </c>
      <c r="B322" s="63">
        <f>VLOOKUP(A322,TypeIDs!B:C,2,FALSE)</f>
        <v>24443</v>
      </c>
      <c r="C322" s="36">
        <v>1398000</v>
      </c>
      <c r="D322" s="69">
        <f t="shared" ref="D322:D385" si="51">(C322+(C322*TaxRate))+(G322*ShippingCost)</f>
        <v>1464711</v>
      </c>
      <c r="E322" s="35">
        <f>INDEX(MARKET_INPUT[Column1.price],MATCH(B322,MARKET_INPUT[Column1.type_id]))</f>
        <v>2309000</v>
      </c>
      <c r="F322" s="35">
        <f t="shared" ref="F322:F385" si="52">E322-(E322*TaxRate)</f>
        <v>2206249.5</v>
      </c>
      <c r="G322" s="18">
        <f>VLOOKUP(B322,TypeIDs!C:D,2,FALSE)</f>
        <v>5</v>
      </c>
      <c r="I322" s="15">
        <v>2</v>
      </c>
      <c r="J322" s="17">
        <f t="shared" si="45"/>
        <v>575.20000000000005</v>
      </c>
      <c r="K322" s="20">
        <f t="shared" si="46"/>
        <v>14</v>
      </c>
      <c r="L322" s="19">
        <f t="shared" ref="L322:L385" si="53">(G322*I322)*7</f>
        <v>70</v>
      </c>
      <c r="M322" s="8">
        <f t="shared" si="49"/>
        <v>1.5062694961668206</v>
      </c>
      <c r="N322" s="9">
        <f t="shared" si="50"/>
        <v>20505954</v>
      </c>
      <c r="O322" s="10">
        <f t="shared" si="47"/>
        <v>10381539</v>
      </c>
      <c r="P322" s="11">
        <f t="shared" si="48"/>
        <v>148307.70000000001</v>
      </c>
      <c r="Q322" s="23">
        <f t="shared" ref="Q322:Q385" si="54">N322+O322</f>
        <v>30887493</v>
      </c>
      <c r="R322" s="3" t="e">
        <f>VLOOKUP(B322,Buylist!B:B,1,FALSE)</f>
        <v>#N/A</v>
      </c>
      <c r="S322" s="3" t="e">
        <f>VLOOKUP(B322,Buylist!B:O,13,FALSE)</f>
        <v>#N/A</v>
      </c>
      <c r="T322" s="78">
        <v>321</v>
      </c>
    </row>
    <row r="323" spans="1:20">
      <c r="A323" s="43" t="s">
        <v>18666</v>
      </c>
      <c r="B323" s="63">
        <f>VLOOKUP(A323,TypeIDs!B:C,2,FALSE)</f>
        <v>32780</v>
      </c>
      <c r="C323" s="36">
        <v>3497000</v>
      </c>
      <c r="D323" s="69">
        <f t="shared" si="51"/>
        <v>3697616.5</v>
      </c>
      <c r="E323" s="35">
        <f>INDEX(MARKET_INPUT[Column1.price],MATCH(B323,MARKET_INPUT[Column1.type_id]))</f>
        <v>3500000</v>
      </c>
      <c r="F323" s="35">
        <f t="shared" si="52"/>
        <v>3344250</v>
      </c>
      <c r="G323" s="18">
        <f>VLOOKUP(B323,TypeIDs!C:D,2,FALSE)</f>
        <v>50</v>
      </c>
      <c r="I323" s="15">
        <v>2</v>
      </c>
      <c r="J323" s="17">
        <f t="shared" ref="J323:J386" si="55">((C323/(5000/I323))+(G323*2)+(I323*3))</f>
        <v>1504.8</v>
      </c>
      <c r="K323" s="20">
        <f t="shared" ref="K323:K386" si="56">I323*7</f>
        <v>14</v>
      </c>
      <c r="L323" s="19">
        <f t="shared" si="53"/>
        <v>700</v>
      </c>
      <c r="M323" s="8">
        <f t="shared" si="49"/>
        <v>0.90443397794227709</v>
      </c>
      <c r="N323" s="9">
        <f t="shared" si="50"/>
        <v>51766631</v>
      </c>
      <c r="O323" s="10">
        <f t="shared" ref="O323:O386" si="57">(F323-D323)*K323</f>
        <v>-4947131</v>
      </c>
      <c r="P323" s="11">
        <f t="shared" ref="P323:P386" si="58">(F323-D323)/G323</f>
        <v>-7067.33</v>
      </c>
      <c r="Q323" s="23">
        <f t="shared" si="54"/>
        <v>46819500</v>
      </c>
      <c r="R323" s="3" t="e">
        <f>VLOOKUP(B323,Buylist!B:B,1,FALSE)</f>
        <v>#N/A</v>
      </c>
      <c r="S323" s="3" t="e">
        <f>VLOOKUP(B323,Buylist!B:O,13,FALSE)</f>
        <v>#N/A</v>
      </c>
      <c r="T323" s="78">
        <v>322</v>
      </c>
    </row>
    <row r="324" spans="1:20">
      <c r="A324" s="43" t="s">
        <v>4057</v>
      </c>
      <c r="B324" s="63">
        <f>VLOOKUP(A324,TypeIDs!B:C,2,FALSE)</f>
        <v>10888</v>
      </c>
      <c r="C324" s="36">
        <v>257000</v>
      </c>
      <c r="D324" s="69">
        <f t="shared" si="51"/>
        <v>313436.5</v>
      </c>
      <c r="E324" s="35">
        <f>INDEX(MARKET_INPUT[Column1.price],MATCH(B324,MARKET_INPUT[Column1.type_id]))</f>
        <v>1199000</v>
      </c>
      <c r="F324" s="35">
        <f t="shared" si="52"/>
        <v>1145644.5</v>
      </c>
      <c r="G324" s="18">
        <f>VLOOKUP(B324,TypeIDs!C:D,2,FALSE)</f>
        <v>50</v>
      </c>
      <c r="I324" s="15">
        <v>2</v>
      </c>
      <c r="J324" s="17">
        <f t="shared" si="55"/>
        <v>208.8</v>
      </c>
      <c r="K324" s="20">
        <f t="shared" si="56"/>
        <v>14</v>
      </c>
      <c r="L324" s="19">
        <f t="shared" si="53"/>
        <v>700</v>
      </c>
      <c r="M324" s="8">
        <f t="shared" ref="M324:M387" si="59">F324/D324</f>
        <v>3.6551087700379501</v>
      </c>
      <c r="N324" s="9">
        <f t="shared" ref="N324:N387" si="60">D324*K324</f>
        <v>4388111</v>
      </c>
      <c r="O324" s="10">
        <f t="shared" si="57"/>
        <v>11650912</v>
      </c>
      <c r="P324" s="11">
        <f t="shared" si="58"/>
        <v>16644.16</v>
      </c>
      <c r="Q324" s="23">
        <f t="shared" si="54"/>
        <v>16039023</v>
      </c>
      <c r="R324" s="3" t="e">
        <f>VLOOKUP(B324,Buylist!B:B,1,FALSE)</f>
        <v>#N/A</v>
      </c>
      <c r="S324" s="3" t="e">
        <f>VLOOKUP(B324,Buylist!B:O,13,FALSE)</f>
        <v>#N/A</v>
      </c>
      <c r="T324" s="78">
        <v>323</v>
      </c>
    </row>
    <row r="325" spans="1:20">
      <c r="A325" s="43" t="s">
        <v>4044</v>
      </c>
      <c r="B325" s="63">
        <f>VLOOKUP(A325,TypeIDs!B:C,2,FALSE)</f>
        <v>10858</v>
      </c>
      <c r="C325" s="36">
        <v>1416000</v>
      </c>
      <c r="D325" s="69">
        <f t="shared" si="51"/>
        <v>1501512</v>
      </c>
      <c r="E325" s="35">
        <f>INDEX(MARKET_INPUT[Column1.price],MATCH(B325,MARKET_INPUT[Column1.type_id]))</f>
        <v>3074000</v>
      </c>
      <c r="F325" s="35">
        <f t="shared" si="52"/>
        <v>2937207</v>
      </c>
      <c r="G325" s="18">
        <f>VLOOKUP(B325,TypeIDs!C:D,2,FALSE)</f>
        <v>25</v>
      </c>
      <c r="I325" s="15">
        <v>2</v>
      </c>
      <c r="J325" s="17">
        <f t="shared" si="55"/>
        <v>622.4</v>
      </c>
      <c r="K325" s="20">
        <f t="shared" si="56"/>
        <v>14</v>
      </c>
      <c r="L325" s="19">
        <f t="shared" si="53"/>
        <v>350</v>
      </c>
      <c r="M325" s="8">
        <f t="shared" si="59"/>
        <v>1.9561661844860381</v>
      </c>
      <c r="N325" s="9">
        <f t="shared" si="60"/>
        <v>21021168</v>
      </c>
      <c r="O325" s="10">
        <f t="shared" si="57"/>
        <v>20099730</v>
      </c>
      <c r="P325" s="11">
        <f t="shared" si="58"/>
        <v>57427.8</v>
      </c>
      <c r="Q325" s="23">
        <f t="shared" si="54"/>
        <v>41120898</v>
      </c>
      <c r="R325" s="3" t="e">
        <f>VLOOKUP(B325,Buylist!B:B,1,FALSE)</f>
        <v>#N/A</v>
      </c>
      <c r="S325" s="3" t="e">
        <f>VLOOKUP(B325,Buylist!B:O,13,FALSE)</f>
        <v>#N/A</v>
      </c>
      <c r="T325" s="78">
        <v>324</v>
      </c>
    </row>
    <row r="326" spans="1:20">
      <c r="A326" s="43" t="s">
        <v>18662</v>
      </c>
      <c r="B326" s="63">
        <f>VLOOKUP(A326,TypeIDs!B:C,2,FALSE)</f>
        <v>32772</v>
      </c>
      <c r="C326" s="36">
        <v>693000</v>
      </c>
      <c r="D326" s="69">
        <f t="shared" si="51"/>
        <v>732838.5</v>
      </c>
      <c r="E326" s="35">
        <f>INDEX(MARKET_INPUT[Column1.price],MATCH(B326,MARKET_INPUT[Column1.type_id]))</f>
        <v>2075000</v>
      </c>
      <c r="F326" s="35">
        <f t="shared" si="52"/>
        <v>1982662.5</v>
      </c>
      <c r="G326" s="18">
        <f>VLOOKUP(B326,TypeIDs!C:D,2,FALSE)</f>
        <v>10</v>
      </c>
      <c r="I326" s="15">
        <v>2</v>
      </c>
      <c r="J326" s="17">
        <f t="shared" si="55"/>
        <v>303.2</v>
      </c>
      <c r="K326" s="20">
        <f t="shared" si="56"/>
        <v>14</v>
      </c>
      <c r="L326" s="19">
        <f t="shared" si="53"/>
        <v>140</v>
      </c>
      <c r="M326" s="8">
        <f t="shared" si="59"/>
        <v>2.7054562499104509</v>
      </c>
      <c r="N326" s="9">
        <f t="shared" si="60"/>
        <v>10259739</v>
      </c>
      <c r="O326" s="10">
        <f t="shared" si="57"/>
        <v>17497536</v>
      </c>
      <c r="P326" s="11">
        <f t="shared" si="58"/>
        <v>124982.39999999999</v>
      </c>
      <c r="Q326" s="23">
        <f t="shared" si="54"/>
        <v>27757275</v>
      </c>
      <c r="R326" s="3" t="e">
        <f>VLOOKUP(B326,Buylist!B:B,1,FALSE)</f>
        <v>#N/A</v>
      </c>
      <c r="S326" s="3" t="e">
        <f>VLOOKUP(B326,Buylist!B:O,13,FALSE)</f>
        <v>#N/A</v>
      </c>
      <c r="T326" s="78">
        <v>325</v>
      </c>
    </row>
    <row r="327" spans="1:20">
      <c r="A327" s="43" t="s">
        <v>3535</v>
      </c>
      <c r="B327" s="63">
        <f>VLOOKUP(A327,TypeIDs!B:C,2,FALSE)</f>
        <v>8529</v>
      </c>
      <c r="C327" s="36">
        <v>274100</v>
      </c>
      <c r="D327" s="69">
        <f t="shared" si="51"/>
        <v>304297.45</v>
      </c>
      <c r="E327" s="35">
        <f>INDEX(MARKET_INPUT[Column1.price],MATCH(B327,MARKET_INPUT[Column1.type_id]))</f>
        <v>225600</v>
      </c>
      <c r="F327" s="35">
        <f t="shared" si="52"/>
        <v>215560.8</v>
      </c>
      <c r="G327" s="18">
        <f>VLOOKUP(B327,TypeIDs!C:D,2,FALSE)</f>
        <v>20</v>
      </c>
      <c r="I327" s="15">
        <v>5</v>
      </c>
      <c r="J327" s="17">
        <f t="shared" si="55"/>
        <v>329.1</v>
      </c>
      <c r="K327" s="20">
        <f t="shared" si="56"/>
        <v>35</v>
      </c>
      <c r="L327" s="19">
        <f t="shared" si="53"/>
        <v>700</v>
      </c>
      <c r="M327" s="8">
        <f t="shared" si="59"/>
        <v>0.70838845346880164</v>
      </c>
      <c r="N327" s="9">
        <f t="shared" si="60"/>
        <v>10650410.75</v>
      </c>
      <c r="O327" s="10">
        <f t="shared" si="57"/>
        <v>-3105782.7500000009</v>
      </c>
      <c r="P327" s="11">
        <f t="shared" si="58"/>
        <v>-4436.8325000000013</v>
      </c>
      <c r="Q327" s="23">
        <f t="shared" si="54"/>
        <v>7544627.9999999991</v>
      </c>
      <c r="R327" s="3" t="e">
        <f>VLOOKUP(B327,Buylist!B:B,1,FALSE)</f>
        <v>#N/A</v>
      </c>
      <c r="S327" s="3" t="e">
        <f>VLOOKUP(B327,Buylist!B:O,13,FALSE)</f>
        <v>#N/A</v>
      </c>
      <c r="T327" s="78">
        <v>326</v>
      </c>
    </row>
    <row r="328" spans="1:20">
      <c r="A328" s="43" t="s">
        <v>2531</v>
      </c>
      <c r="B328" s="63">
        <f>VLOOKUP(A328,TypeIDs!B:C,2,FALSE)</f>
        <v>3841</v>
      </c>
      <c r="C328" s="36">
        <v>1294000</v>
      </c>
      <c r="D328" s="69">
        <f t="shared" si="51"/>
        <v>1369583</v>
      </c>
      <c r="E328" s="35">
        <f>INDEX(MARKET_INPUT[Column1.price],MATCH(B328,MARKET_INPUT[Column1.type_id]))</f>
        <v>1792000</v>
      </c>
      <c r="F328" s="35">
        <f t="shared" si="52"/>
        <v>1712256</v>
      </c>
      <c r="G328" s="18">
        <f>VLOOKUP(B328,TypeIDs!C:D,2,FALSE)</f>
        <v>20</v>
      </c>
      <c r="I328" s="15">
        <v>18</v>
      </c>
      <c r="J328" s="17">
        <f t="shared" si="55"/>
        <v>4752.4000000000005</v>
      </c>
      <c r="K328" s="20">
        <f t="shared" si="56"/>
        <v>126</v>
      </c>
      <c r="L328" s="19">
        <f t="shared" si="53"/>
        <v>2520</v>
      </c>
      <c r="M328" s="8">
        <f t="shared" si="59"/>
        <v>1.2502024338795092</v>
      </c>
      <c r="N328" s="9">
        <f t="shared" si="60"/>
        <v>172567458</v>
      </c>
      <c r="O328" s="10">
        <f t="shared" si="57"/>
        <v>43176798</v>
      </c>
      <c r="P328" s="11">
        <f t="shared" si="58"/>
        <v>17133.650000000001</v>
      </c>
      <c r="Q328" s="23">
        <f t="shared" si="54"/>
        <v>215744256</v>
      </c>
      <c r="R328" s="3">
        <f>VLOOKUP(B328,Buylist!B:B,1,FALSE)</f>
        <v>3841</v>
      </c>
      <c r="S328" s="3">
        <f>VLOOKUP(B328,Buylist!B:O,13,FALSE)</f>
        <v>0</v>
      </c>
      <c r="T328" s="78">
        <v>327</v>
      </c>
    </row>
    <row r="329" spans="1:20">
      <c r="A329" s="43" t="s">
        <v>18187</v>
      </c>
      <c r="B329" s="63">
        <f>VLOOKUP(A329,TypeIDs!B:C,2,FALSE)</f>
        <v>31930</v>
      </c>
      <c r="C329" s="36">
        <v>27740000</v>
      </c>
      <c r="D329" s="69">
        <f t="shared" si="51"/>
        <v>28992430</v>
      </c>
      <c r="E329" s="35">
        <f>INDEX(MARKET_INPUT[Column1.price],MATCH(B329,MARKET_INPUT[Column1.type_id]))</f>
        <v>32800000</v>
      </c>
      <c r="F329" s="35">
        <f t="shared" si="52"/>
        <v>31340400</v>
      </c>
      <c r="G329" s="18">
        <f>VLOOKUP(B329,TypeIDs!C:D,2,FALSE)</f>
        <v>20</v>
      </c>
      <c r="I329" s="15">
        <v>1</v>
      </c>
      <c r="J329" s="17">
        <f t="shared" si="55"/>
        <v>5591</v>
      </c>
      <c r="K329" s="20">
        <f t="shared" si="56"/>
        <v>7</v>
      </c>
      <c r="L329" s="19">
        <f t="shared" si="53"/>
        <v>140</v>
      </c>
      <c r="M329" s="8">
        <f t="shared" si="59"/>
        <v>1.0809856227987789</v>
      </c>
      <c r="N329" s="9">
        <f t="shared" si="60"/>
        <v>202947010</v>
      </c>
      <c r="O329" s="10">
        <f t="shared" si="57"/>
        <v>16435790</v>
      </c>
      <c r="P329" s="11">
        <f t="shared" si="58"/>
        <v>117398.5</v>
      </c>
      <c r="Q329" s="23">
        <f t="shared" si="54"/>
        <v>219382800</v>
      </c>
      <c r="R329" s="3" t="e">
        <f>VLOOKUP(B329,Buylist!B:B,1,FALSE)</f>
        <v>#N/A</v>
      </c>
      <c r="S329" s="3" t="e">
        <f>VLOOKUP(B329,Buylist!B:O,13,FALSE)</f>
        <v>#N/A</v>
      </c>
      <c r="T329" s="78">
        <v>328</v>
      </c>
    </row>
    <row r="330" spans="1:20">
      <c r="A330" s="44" t="s">
        <v>18189</v>
      </c>
      <c r="B330" s="63">
        <f>VLOOKUP(A330,TypeIDs!B:C,2,FALSE)</f>
        <v>31932</v>
      </c>
      <c r="C330" s="36">
        <v>34850000</v>
      </c>
      <c r="D330" s="69">
        <f t="shared" si="51"/>
        <v>36418825</v>
      </c>
      <c r="E330" s="35">
        <f>INDEX(MARKET_INPUT[Column1.price],MATCH(B330,MARKET_INPUT[Column1.type_id]))</f>
        <v>37850000</v>
      </c>
      <c r="F330" s="35">
        <f t="shared" si="52"/>
        <v>36165675</v>
      </c>
      <c r="G330" s="18">
        <f>VLOOKUP(B330,TypeIDs!C:D,2,FALSE)</f>
        <v>20</v>
      </c>
      <c r="I330" s="15">
        <v>1</v>
      </c>
      <c r="J330" s="17">
        <f t="shared" si="55"/>
        <v>7013</v>
      </c>
      <c r="K330" s="20">
        <f t="shared" si="56"/>
        <v>7</v>
      </c>
      <c r="L330" s="19">
        <f t="shared" si="53"/>
        <v>140</v>
      </c>
      <c r="M330" s="8">
        <f t="shared" si="59"/>
        <v>0.99304892456030636</v>
      </c>
      <c r="N330" s="9">
        <f t="shared" si="60"/>
        <v>254931775</v>
      </c>
      <c r="O330" s="10">
        <f t="shared" si="57"/>
        <v>-1772050</v>
      </c>
      <c r="P330" s="11">
        <f t="shared" si="58"/>
        <v>-12657.5</v>
      </c>
      <c r="Q330" s="23">
        <f t="shared" si="54"/>
        <v>253159725</v>
      </c>
      <c r="R330" s="3" t="e">
        <f>VLOOKUP(B330,Buylist!B:B,1,FALSE)</f>
        <v>#N/A</v>
      </c>
      <c r="S330" s="3" t="e">
        <f>VLOOKUP(B330,Buylist!B:O,13,FALSE)</f>
        <v>#N/A</v>
      </c>
      <c r="T330" s="78">
        <v>329</v>
      </c>
    </row>
    <row r="331" spans="1:20">
      <c r="A331" s="43" t="s">
        <v>2521</v>
      </c>
      <c r="B331" s="63">
        <f>VLOOKUP(A331,TypeIDs!B:C,2,FALSE)</f>
        <v>3829</v>
      </c>
      <c r="C331" s="36">
        <v>34840</v>
      </c>
      <c r="D331" s="69">
        <f t="shared" si="51"/>
        <v>45390.38</v>
      </c>
      <c r="E331" s="35">
        <f>INDEX(MARKET_INPUT[Column1.price],MATCH(B331,MARKET_INPUT[Column1.type_id]))</f>
        <v>430000</v>
      </c>
      <c r="F331" s="35">
        <f t="shared" si="52"/>
        <v>410865</v>
      </c>
      <c r="G331" s="18">
        <f>VLOOKUP(B331,TypeIDs!C:D,2,FALSE)</f>
        <v>10</v>
      </c>
      <c r="I331" s="15">
        <v>4</v>
      </c>
      <c r="J331" s="17">
        <f t="shared" si="55"/>
        <v>59.872</v>
      </c>
      <c r="K331" s="20">
        <f t="shared" si="56"/>
        <v>28</v>
      </c>
      <c r="L331" s="19">
        <f t="shared" si="53"/>
        <v>280</v>
      </c>
      <c r="M331" s="8">
        <f t="shared" si="59"/>
        <v>9.0518078940956208</v>
      </c>
      <c r="N331" s="9">
        <f t="shared" si="60"/>
        <v>1270930.6399999999</v>
      </c>
      <c r="O331" s="10">
        <f t="shared" si="57"/>
        <v>10233289.359999999</v>
      </c>
      <c r="P331" s="11">
        <f t="shared" si="58"/>
        <v>36547.462</v>
      </c>
      <c r="Q331" s="23">
        <f t="shared" si="54"/>
        <v>11504220</v>
      </c>
      <c r="R331" s="3" t="e">
        <f>VLOOKUP(B331,Buylist!B:B,1,FALSE)</f>
        <v>#N/A</v>
      </c>
      <c r="S331" s="3" t="e">
        <f>VLOOKUP(B331,Buylist!B:O,13,FALSE)</f>
        <v>#N/A</v>
      </c>
      <c r="T331" s="78">
        <v>330</v>
      </c>
    </row>
    <row r="332" spans="1:20">
      <c r="A332" s="43" t="s">
        <v>3533</v>
      </c>
      <c r="B332" s="63">
        <f>VLOOKUP(A332,TypeIDs!B:C,2,FALSE)</f>
        <v>8517</v>
      </c>
      <c r="C332" s="36">
        <v>4175000</v>
      </c>
      <c r="D332" s="69">
        <f t="shared" si="51"/>
        <v>4369787.5</v>
      </c>
      <c r="E332" s="35">
        <f>INDEX(MARKET_INPUT[Column1.price],MATCH(B332,MARKET_INPUT[Column1.type_id]))</f>
        <v>5289000</v>
      </c>
      <c r="F332" s="35">
        <f t="shared" si="52"/>
        <v>5053639.5</v>
      </c>
      <c r="G332" s="18">
        <f>VLOOKUP(B332,TypeIDs!C:D,2,FALSE)</f>
        <v>10</v>
      </c>
      <c r="I332" s="15">
        <v>3</v>
      </c>
      <c r="J332" s="17">
        <f t="shared" si="55"/>
        <v>2534</v>
      </c>
      <c r="K332" s="20">
        <f t="shared" si="56"/>
        <v>21</v>
      </c>
      <c r="L332" s="19">
        <f t="shared" si="53"/>
        <v>210</v>
      </c>
      <c r="M332" s="8">
        <f t="shared" si="59"/>
        <v>1.1564954817596966</v>
      </c>
      <c r="N332" s="9">
        <f t="shared" si="60"/>
        <v>91765537.5</v>
      </c>
      <c r="O332" s="10">
        <f t="shared" si="57"/>
        <v>14360892</v>
      </c>
      <c r="P332" s="11">
        <f t="shared" si="58"/>
        <v>68385.2</v>
      </c>
      <c r="Q332" s="23">
        <f t="shared" si="54"/>
        <v>106126429.5</v>
      </c>
      <c r="R332" s="3" t="e">
        <f>VLOOKUP(B332,Buylist!B:B,1,FALSE)</f>
        <v>#N/A</v>
      </c>
      <c r="S332" s="3" t="e">
        <f>VLOOKUP(B332,Buylist!B:O,13,FALSE)</f>
        <v>#N/A</v>
      </c>
      <c r="T332" s="78">
        <v>331</v>
      </c>
    </row>
    <row r="333" spans="1:20">
      <c r="A333" s="43" t="s">
        <v>2523</v>
      </c>
      <c r="B333" s="63">
        <f>VLOOKUP(A333,TypeIDs!B:C,2,FALSE)</f>
        <v>3831</v>
      </c>
      <c r="C333" s="36">
        <v>800000</v>
      </c>
      <c r="D333" s="69">
        <f t="shared" si="51"/>
        <v>844600</v>
      </c>
      <c r="E333" s="35">
        <f>INDEX(MARKET_INPUT[Column1.price],MATCH(B333,MARKET_INPUT[Column1.type_id]))</f>
        <v>1075000</v>
      </c>
      <c r="F333" s="35">
        <f t="shared" si="52"/>
        <v>1027162.5</v>
      </c>
      <c r="G333" s="18">
        <f>VLOOKUP(B333,TypeIDs!C:D,2,FALSE)</f>
        <v>10</v>
      </c>
      <c r="I333" s="15">
        <v>10</v>
      </c>
      <c r="J333" s="17">
        <f t="shared" si="55"/>
        <v>1650</v>
      </c>
      <c r="K333" s="20">
        <f t="shared" si="56"/>
        <v>70</v>
      </c>
      <c r="L333" s="19">
        <f t="shared" si="53"/>
        <v>700</v>
      </c>
      <c r="M333" s="8">
        <f t="shared" si="59"/>
        <v>1.2161526166232537</v>
      </c>
      <c r="N333" s="9">
        <f t="shared" si="60"/>
        <v>59122000</v>
      </c>
      <c r="O333" s="10">
        <f t="shared" si="57"/>
        <v>12779375</v>
      </c>
      <c r="P333" s="11">
        <f t="shared" si="58"/>
        <v>18256.25</v>
      </c>
      <c r="Q333" s="23">
        <f t="shared" si="54"/>
        <v>71901375</v>
      </c>
      <c r="R333" s="3" t="e">
        <f>VLOOKUP(B333,Buylist!B:B,1,FALSE)</f>
        <v>#N/A</v>
      </c>
      <c r="S333" s="3" t="e">
        <f>VLOOKUP(B333,Buylist!B:O,13,FALSE)</f>
        <v>#N/A</v>
      </c>
      <c r="T333" s="78">
        <v>332</v>
      </c>
    </row>
    <row r="334" spans="1:20">
      <c r="A334" s="44" t="s">
        <v>18183</v>
      </c>
      <c r="B334" s="63">
        <f>VLOOKUP(A334,TypeIDs!B:C,2,FALSE)</f>
        <v>31926</v>
      </c>
      <c r="C334" s="36">
        <v>10500000</v>
      </c>
      <c r="D334" s="69">
        <f t="shared" si="51"/>
        <v>10976250</v>
      </c>
      <c r="E334" s="35">
        <f>INDEX(MARKET_INPUT[Column1.price],MATCH(B334,MARKET_INPUT[Column1.type_id]))</f>
        <v>15400000</v>
      </c>
      <c r="F334" s="35">
        <f t="shared" si="52"/>
        <v>14714700</v>
      </c>
      <c r="G334" s="18">
        <f>VLOOKUP(B334,TypeIDs!C:D,2,FALSE)</f>
        <v>10</v>
      </c>
      <c r="I334" s="15">
        <v>0.5</v>
      </c>
      <c r="J334" s="17">
        <f t="shared" si="55"/>
        <v>1071.5</v>
      </c>
      <c r="K334" s="20">
        <f t="shared" si="56"/>
        <v>3.5</v>
      </c>
      <c r="L334" s="19">
        <f t="shared" si="53"/>
        <v>35</v>
      </c>
      <c r="M334" s="8">
        <f t="shared" si="59"/>
        <v>1.3405944653228561</v>
      </c>
      <c r="N334" s="9">
        <f t="shared" si="60"/>
        <v>38416875</v>
      </c>
      <c r="O334" s="10">
        <f t="shared" si="57"/>
        <v>13084575</v>
      </c>
      <c r="P334" s="11">
        <f t="shared" si="58"/>
        <v>373845</v>
      </c>
      <c r="Q334" s="23">
        <f t="shared" si="54"/>
        <v>51501450</v>
      </c>
      <c r="R334" s="3" t="e">
        <f>VLOOKUP(B334,Buylist!B:B,1,FALSE)</f>
        <v>#N/A</v>
      </c>
      <c r="S334" s="3" t="e">
        <f>VLOOKUP(B334,Buylist!B:O,13,FALSE)</f>
        <v>#N/A</v>
      </c>
      <c r="T334" s="78">
        <v>333</v>
      </c>
    </row>
    <row r="335" spans="1:20">
      <c r="A335" s="43" t="s">
        <v>18185</v>
      </c>
      <c r="B335" s="63">
        <f>VLOOKUP(A335,TypeIDs!B:C,2,FALSE)</f>
        <v>31928</v>
      </c>
      <c r="C335" s="36">
        <v>13470000</v>
      </c>
      <c r="D335" s="69">
        <f t="shared" si="51"/>
        <v>14078415</v>
      </c>
      <c r="E335" s="35">
        <f>INDEX(MARKET_INPUT[Column1.price],MATCH(B335,MARKET_INPUT[Column1.type_id]))</f>
        <v>14910000</v>
      </c>
      <c r="F335" s="35">
        <f t="shared" si="52"/>
        <v>14246505</v>
      </c>
      <c r="G335" s="18">
        <f>VLOOKUP(B335,TypeIDs!C:D,2,FALSE)</f>
        <v>10</v>
      </c>
      <c r="I335" s="15">
        <v>4</v>
      </c>
      <c r="J335" s="17">
        <f t="shared" si="55"/>
        <v>10808</v>
      </c>
      <c r="K335" s="20">
        <f t="shared" si="56"/>
        <v>28</v>
      </c>
      <c r="L335" s="19">
        <f t="shared" si="53"/>
        <v>280</v>
      </c>
      <c r="M335" s="8">
        <f t="shared" si="59"/>
        <v>1.0119395542751084</v>
      </c>
      <c r="N335" s="9">
        <f t="shared" si="60"/>
        <v>394195620</v>
      </c>
      <c r="O335" s="10">
        <f t="shared" si="57"/>
        <v>4706520</v>
      </c>
      <c r="P335" s="11">
        <f t="shared" si="58"/>
        <v>16809</v>
      </c>
      <c r="Q335" s="23">
        <f t="shared" si="54"/>
        <v>398902140</v>
      </c>
      <c r="R335" s="3" t="e">
        <f>VLOOKUP(B335,Buylist!B:B,1,FALSE)</f>
        <v>#N/A</v>
      </c>
      <c r="S335" s="3" t="e">
        <f>VLOOKUP(B335,Buylist!B:O,13,FALSE)</f>
        <v>#N/A</v>
      </c>
      <c r="T335" s="78">
        <v>334</v>
      </c>
    </row>
    <row r="336" spans="1:20">
      <c r="A336" s="43" t="s">
        <v>3534</v>
      </c>
      <c r="B336" s="63">
        <f>VLOOKUP(A336,TypeIDs!B:C,2,FALSE)</f>
        <v>8521</v>
      </c>
      <c r="C336" s="36">
        <v>524700</v>
      </c>
      <c r="D336" s="69">
        <f t="shared" si="51"/>
        <v>552549.15</v>
      </c>
      <c r="E336" s="35">
        <f>INDEX(MARKET_INPUT[Column1.price],MATCH(B336,MARKET_INPUT[Column1.type_id]))</f>
        <v>642000</v>
      </c>
      <c r="F336" s="35">
        <f t="shared" si="52"/>
        <v>613431</v>
      </c>
      <c r="G336" s="18">
        <f>VLOOKUP(B336,TypeIDs!C:D,2,FALSE)</f>
        <v>5</v>
      </c>
      <c r="I336" s="15">
        <v>2</v>
      </c>
      <c r="J336" s="17">
        <f t="shared" si="55"/>
        <v>225.88</v>
      </c>
      <c r="K336" s="20">
        <f t="shared" si="56"/>
        <v>14</v>
      </c>
      <c r="L336" s="19">
        <f t="shared" si="53"/>
        <v>70</v>
      </c>
      <c r="M336" s="8">
        <f t="shared" si="59"/>
        <v>1.1101835918126015</v>
      </c>
      <c r="N336" s="9">
        <f t="shared" si="60"/>
        <v>7735688.1000000006</v>
      </c>
      <c r="O336" s="10">
        <f t="shared" si="57"/>
        <v>852345.89999999967</v>
      </c>
      <c r="P336" s="11">
        <f t="shared" si="58"/>
        <v>12176.369999999995</v>
      </c>
      <c r="Q336" s="23">
        <f t="shared" si="54"/>
        <v>8588034</v>
      </c>
      <c r="R336" s="3" t="e">
        <f>VLOOKUP(B336,Buylist!B:B,1,FALSE)</f>
        <v>#N/A</v>
      </c>
      <c r="S336" s="3" t="e">
        <f>VLOOKUP(B336,Buylist!B:O,13,FALSE)</f>
        <v>#N/A</v>
      </c>
      <c r="T336" s="78">
        <v>335</v>
      </c>
    </row>
    <row r="337" spans="1:20">
      <c r="A337" s="43" t="s">
        <v>195</v>
      </c>
      <c r="B337" s="63">
        <f>VLOOKUP(A337,TypeIDs!B:C,2,FALSE)</f>
        <v>380</v>
      </c>
      <c r="C337" s="36">
        <v>374700</v>
      </c>
      <c r="D337" s="69">
        <f t="shared" si="51"/>
        <v>395874.15</v>
      </c>
      <c r="E337" s="35">
        <f>INDEX(MARKET_INPUT[Column1.price],MATCH(B337,MARKET_INPUT[Column1.type_id]))</f>
        <v>649000</v>
      </c>
      <c r="F337" s="35">
        <f t="shared" si="52"/>
        <v>620119.5</v>
      </c>
      <c r="G337" s="18">
        <f>VLOOKUP(B337,TypeIDs!C:D,2,FALSE)</f>
        <v>5</v>
      </c>
      <c r="I337" s="15">
        <v>4</v>
      </c>
      <c r="J337" s="17">
        <f t="shared" si="55"/>
        <v>321.76</v>
      </c>
      <c r="K337" s="20">
        <f t="shared" si="56"/>
        <v>28</v>
      </c>
      <c r="L337" s="19">
        <f t="shared" si="53"/>
        <v>140</v>
      </c>
      <c r="M337" s="8">
        <f t="shared" si="59"/>
        <v>1.5664561578471339</v>
      </c>
      <c r="N337" s="9">
        <f t="shared" si="60"/>
        <v>11084476.200000001</v>
      </c>
      <c r="O337" s="10">
        <f t="shared" si="57"/>
        <v>6278869.7999999989</v>
      </c>
      <c r="P337" s="11">
        <f t="shared" si="58"/>
        <v>44849.069999999992</v>
      </c>
      <c r="Q337" s="23">
        <f t="shared" si="54"/>
        <v>17363346</v>
      </c>
      <c r="R337" s="3" t="e">
        <f>VLOOKUP(B337,Buylist!B:B,1,FALSE)</f>
        <v>#N/A</v>
      </c>
      <c r="S337" s="3" t="e">
        <f>VLOOKUP(B337,Buylist!B:O,13,FALSE)</f>
        <v>#N/A</v>
      </c>
      <c r="T337" s="78">
        <v>336</v>
      </c>
    </row>
    <row r="338" spans="1:20">
      <c r="A338" s="44" t="s">
        <v>18179</v>
      </c>
      <c r="B338" s="63">
        <f>VLOOKUP(A338,TypeIDs!B:C,2,FALSE)</f>
        <v>31922</v>
      </c>
      <c r="C338" s="36">
        <v>2690000</v>
      </c>
      <c r="D338" s="69">
        <f t="shared" si="51"/>
        <v>2814205</v>
      </c>
      <c r="E338" s="35">
        <f>INDEX(MARKET_INPUT[Column1.price],MATCH(B338,MARKET_INPUT[Column1.type_id]))</f>
        <v>3701000</v>
      </c>
      <c r="F338" s="35">
        <f t="shared" si="52"/>
        <v>3536305.5</v>
      </c>
      <c r="G338" s="18">
        <f>VLOOKUP(B338,TypeIDs!C:D,2,FALSE)</f>
        <v>5</v>
      </c>
      <c r="I338" s="15">
        <v>0.8</v>
      </c>
      <c r="J338" s="17">
        <f t="shared" si="55"/>
        <v>442.79999999999995</v>
      </c>
      <c r="K338" s="20">
        <f t="shared" si="56"/>
        <v>5.6000000000000005</v>
      </c>
      <c r="L338" s="19">
        <f t="shared" si="53"/>
        <v>28</v>
      </c>
      <c r="M338" s="8">
        <f t="shared" si="59"/>
        <v>1.2565912931005381</v>
      </c>
      <c r="N338" s="9">
        <f t="shared" si="60"/>
        <v>15759548.000000002</v>
      </c>
      <c r="O338" s="10">
        <f t="shared" si="57"/>
        <v>4043762.8000000003</v>
      </c>
      <c r="P338" s="11">
        <f t="shared" si="58"/>
        <v>144420.1</v>
      </c>
      <c r="Q338" s="23">
        <f t="shared" si="54"/>
        <v>19803310.800000001</v>
      </c>
      <c r="R338" s="3" t="e">
        <f>VLOOKUP(B338,Buylist!B:B,1,FALSE)</f>
        <v>#N/A</v>
      </c>
      <c r="S338" s="3" t="e">
        <f>VLOOKUP(B338,Buylist!B:O,13,FALSE)</f>
        <v>#N/A</v>
      </c>
      <c r="T338" s="78">
        <v>337</v>
      </c>
    </row>
    <row r="339" spans="1:20">
      <c r="A339" s="43" t="s">
        <v>18181</v>
      </c>
      <c r="B339" s="63">
        <f>VLOOKUP(A339,TypeIDs!B:C,2,FALSE)</f>
        <v>31924</v>
      </c>
      <c r="C339" s="36">
        <v>2562000</v>
      </c>
      <c r="D339" s="69">
        <f t="shared" si="51"/>
        <v>2680509</v>
      </c>
      <c r="E339" s="35">
        <f>INDEX(MARKET_INPUT[Column1.price],MATCH(B339,MARKET_INPUT[Column1.type_id]))</f>
        <v>4137000</v>
      </c>
      <c r="F339" s="35">
        <f t="shared" si="52"/>
        <v>3952903.5</v>
      </c>
      <c r="G339" s="18">
        <f>VLOOKUP(B339,TypeIDs!C:D,2,FALSE)</f>
        <v>5</v>
      </c>
      <c r="I339" s="15">
        <v>0.8</v>
      </c>
      <c r="J339" s="17">
        <f t="shared" si="55"/>
        <v>422.32</v>
      </c>
      <c r="K339" s="20">
        <f t="shared" si="56"/>
        <v>5.6000000000000005</v>
      </c>
      <c r="L339" s="19">
        <f t="shared" si="53"/>
        <v>28</v>
      </c>
      <c r="M339" s="8">
        <f t="shared" si="59"/>
        <v>1.4746839126449491</v>
      </c>
      <c r="N339" s="9">
        <f t="shared" si="60"/>
        <v>15010850.400000002</v>
      </c>
      <c r="O339" s="10">
        <f t="shared" si="57"/>
        <v>7125409.2000000011</v>
      </c>
      <c r="P339" s="11">
        <f t="shared" si="58"/>
        <v>254478.9</v>
      </c>
      <c r="Q339" s="23">
        <f t="shared" si="54"/>
        <v>22136259.600000001</v>
      </c>
      <c r="R339" s="3" t="e">
        <f>VLOOKUP(B339,Buylist!B:B,1,FALSE)</f>
        <v>#N/A</v>
      </c>
      <c r="S339" s="3" t="e">
        <f>VLOOKUP(B339,Buylist!B:O,13,FALSE)</f>
        <v>#N/A</v>
      </c>
      <c r="T339" s="78">
        <v>338</v>
      </c>
    </row>
    <row r="340" spans="1:20">
      <c r="A340" s="43" t="s">
        <v>1113</v>
      </c>
      <c r="B340" s="63">
        <f>VLOOKUP(A340,TypeIDs!B:C,2,FALSE)</f>
        <v>2301</v>
      </c>
      <c r="C340" s="36">
        <v>2071000</v>
      </c>
      <c r="D340" s="69">
        <f t="shared" si="51"/>
        <v>2167659.5</v>
      </c>
      <c r="E340" s="35">
        <f>INDEX(MARKET_INPUT[Column1.price],MATCH(B340,MARKET_INPUT[Column1.type_id]))</f>
        <v>2917000</v>
      </c>
      <c r="F340" s="35">
        <f t="shared" si="52"/>
        <v>2787193.5</v>
      </c>
      <c r="G340" s="18">
        <f>VLOOKUP(B340,TypeIDs!C:D,2,FALSE)</f>
        <v>5</v>
      </c>
      <c r="I340" s="15">
        <v>5</v>
      </c>
      <c r="J340" s="17">
        <f t="shared" si="55"/>
        <v>2096</v>
      </c>
      <c r="K340" s="20">
        <f t="shared" si="56"/>
        <v>35</v>
      </c>
      <c r="L340" s="19">
        <f t="shared" si="53"/>
        <v>175</v>
      </c>
      <c r="M340" s="8">
        <f t="shared" si="59"/>
        <v>1.2858078033012104</v>
      </c>
      <c r="N340" s="9">
        <f t="shared" si="60"/>
        <v>75868082.5</v>
      </c>
      <c r="O340" s="10">
        <f t="shared" si="57"/>
        <v>21683690</v>
      </c>
      <c r="P340" s="11">
        <f t="shared" si="58"/>
        <v>123906.8</v>
      </c>
      <c r="Q340" s="23">
        <f t="shared" si="54"/>
        <v>97551772.5</v>
      </c>
      <c r="R340" s="3" t="e">
        <f>VLOOKUP(B340,Buylist!B:B,1,FALSE)</f>
        <v>#N/A</v>
      </c>
      <c r="S340" s="3" t="e">
        <f>VLOOKUP(B340,Buylist!B:O,13,FALSE)</f>
        <v>#N/A</v>
      </c>
      <c r="T340" s="78">
        <v>339</v>
      </c>
    </row>
    <row r="341" spans="1:20">
      <c r="A341" s="43" t="s">
        <v>278</v>
      </c>
      <c r="B341" s="63">
        <f>VLOOKUP(A341,TypeIDs!B:C,2,FALSE)</f>
        <v>578</v>
      </c>
      <c r="C341" s="36">
        <v>122000</v>
      </c>
      <c r="D341" s="69">
        <f t="shared" si="51"/>
        <v>131929</v>
      </c>
      <c r="E341" s="35">
        <f>INDEX(MARKET_INPUT[Column1.price],MATCH(B341,MARKET_INPUT[Column1.type_id]))</f>
        <v>72290</v>
      </c>
      <c r="F341" s="35">
        <f t="shared" si="52"/>
        <v>69073.095000000001</v>
      </c>
      <c r="G341" s="18">
        <f>VLOOKUP(B341,TypeIDs!C:D,2,FALSE)</f>
        <v>5</v>
      </c>
      <c r="I341" s="15">
        <v>2</v>
      </c>
      <c r="J341" s="17">
        <f t="shared" si="55"/>
        <v>64.8</v>
      </c>
      <c r="K341" s="20">
        <f t="shared" si="56"/>
        <v>14</v>
      </c>
      <c r="L341" s="19">
        <f t="shared" si="53"/>
        <v>70</v>
      </c>
      <c r="M341" s="8">
        <f t="shared" si="59"/>
        <v>0.52356263596328334</v>
      </c>
      <c r="N341" s="9">
        <f t="shared" si="60"/>
        <v>1847006</v>
      </c>
      <c r="O341" s="10">
        <f t="shared" si="57"/>
        <v>-879982.66999999993</v>
      </c>
      <c r="P341" s="11">
        <f t="shared" si="58"/>
        <v>-12571.181</v>
      </c>
      <c r="Q341" s="23">
        <f t="shared" si="54"/>
        <v>967023.33000000007</v>
      </c>
      <c r="R341" s="3" t="e">
        <f>VLOOKUP(B341,Buylist!B:B,1,FALSE)</f>
        <v>#N/A</v>
      </c>
      <c r="S341" s="3" t="e">
        <f>VLOOKUP(B341,Buylist!B:O,13,FALSE)</f>
        <v>#N/A</v>
      </c>
      <c r="T341" s="78">
        <v>340</v>
      </c>
    </row>
    <row r="342" spans="1:20">
      <c r="A342" s="43" t="s">
        <v>3642</v>
      </c>
      <c r="B342" s="63">
        <f>VLOOKUP(A342,TypeIDs!B:C,2,FALSE)</f>
        <v>9632</v>
      </c>
      <c r="C342" s="36">
        <v>239700</v>
      </c>
      <c r="D342" s="69">
        <f t="shared" si="51"/>
        <v>254866.65</v>
      </c>
      <c r="E342" s="35">
        <f>INDEX(MARKET_INPUT[Column1.price],MATCH(B342,MARKET_INPUT[Column1.type_id]))</f>
        <v>174900</v>
      </c>
      <c r="F342" s="35">
        <f t="shared" si="52"/>
        <v>167116.95000000001</v>
      </c>
      <c r="G342" s="18">
        <f>VLOOKUP(B342,TypeIDs!C:D,2,FALSE)</f>
        <v>5</v>
      </c>
      <c r="I342" s="15">
        <v>6</v>
      </c>
      <c r="J342" s="17">
        <f t="shared" si="55"/>
        <v>315.64</v>
      </c>
      <c r="K342" s="20">
        <f t="shared" si="56"/>
        <v>42</v>
      </c>
      <c r="L342" s="19">
        <f t="shared" si="53"/>
        <v>210</v>
      </c>
      <c r="M342" s="8">
        <f t="shared" si="59"/>
        <v>0.6557034825858935</v>
      </c>
      <c r="N342" s="9">
        <f t="shared" si="60"/>
        <v>10704399.299999999</v>
      </c>
      <c r="O342" s="10">
        <f t="shared" si="57"/>
        <v>-3685487.3999999994</v>
      </c>
      <c r="P342" s="11">
        <f t="shared" si="58"/>
        <v>-17549.939999999995</v>
      </c>
      <c r="Q342" s="23">
        <f t="shared" si="54"/>
        <v>7018911.8999999994</v>
      </c>
      <c r="R342" s="3" t="e">
        <f>VLOOKUP(B342,Buylist!B:B,1,FALSE)</f>
        <v>#N/A</v>
      </c>
      <c r="S342" s="3" t="e">
        <f>VLOOKUP(B342,Buylist!B:O,13,FALSE)</f>
        <v>#N/A</v>
      </c>
      <c r="T342" s="78">
        <v>341</v>
      </c>
    </row>
    <row r="343" spans="1:20">
      <c r="A343" s="43" t="s">
        <v>34321</v>
      </c>
      <c r="B343" s="63">
        <f>VLOOKUP(A343,TypeIDs!B:C,2,FALSE)</f>
        <v>54291</v>
      </c>
      <c r="C343" s="36">
        <f t="array" ref="C343:C400">_xlfn.FILTERXML(BF48,BG21)</f>
        <v>104600</v>
      </c>
      <c r="D343" s="36">
        <f t="shared" si="51"/>
        <v>113754.7</v>
      </c>
      <c r="E343" s="35">
        <f>INDEX(MARKET_INPUT[Column1.price],MATCH(B343,MARKET_INPUT[Column1.type_id]))</f>
        <v>150000</v>
      </c>
      <c r="F343" s="35">
        <f t="shared" si="52"/>
        <v>143325</v>
      </c>
      <c r="G343" s="18">
        <f>VLOOKUP(B343,TypeIDs!C:D,2,FALSE)</f>
        <v>5</v>
      </c>
      <c r="I343" s="15">
        <v>2</v>
      </c>
      <c r="J343" s="17">
        <f t="shared" si="55"/>
        <v>57.84</v>
      </c>
      <c r="K343" s="20">
        <f t="shared" si="56"/>
        <v>14</v>
      </c>
      <c r="L343" s="19">
        <f t="shared" si="53"/>
        <v>70</v>
      </c>
      <c r="M343" s="8">
        <f t="shared" si="59"/>
        <v>1.2599479406125638</v>
      </c>
      <c r="N343" s="9">
        <f t="shared" si="60"/>
        <v>1592565.8</v>
      </c>
      <c r="O343" s="10">
        <f t="shared" si="57"/>
        <v>413984.20000000007</v>
      </c>
      <c r="P343" s="11">
        <f t="shared" si="58"/>
        <v>5914.06</v>
      </c>
      <c r="Q343" s="23">
        <f t="shared" si="54"/>
        <v>2006550</v>
      </c>
      <c r="R343" s="3" t="e">
        <f>VLOOKUP(B343,Buylist!B:B,1,FALSE)</f>
        <v>#N/A</v>
      </c>
      <c r="S343" s="3" t="e">
        <f>VLOOKUP(B343,Buylist!B:O,13,FALSE)</f>
        <v>#N/A</v>
      </c>
      <c r="T343" s="78">
        <v>342</v>
      </c>
    </row>
    <row r="344" spans="1:20">
      <c r="A344" s="43" t="s">
        <v>1094</v>
      </c>
      <c r="B344" s="63">
        <f>VLOOKUP(A344,TypeIDs!B:C,2,FALSE)</f>
        <v>2281</v>
      </c>
      <c r="C344" s="36">
        <v>2515000</v>
      </c>
      <c r="D344" s="36">
        <f t="shared" si="51"/>
        <v>2631417.5</v>
      </c>
      <c r="E344" s="35">
        <f>INDEX(MARKET_INPUT[Column1.price],MATCH(B344,MARKET_INPUT[Column1.type_id]))</f>
        <v>2991000</v>
      </c>
      <c r="F344" s="35">
        <f t="shared" si="52"/>
        <v>2857900.5</v>
      </c>
      <c r="G344" s="18">
        <f>VLOOKUP(B344,TypeIDs!C:D,2,FALSE)</f>
        <v>5</v>
      </c>
      <c r="I344" s="15">
        <v>28</v>
      </c>
      <c r="J344" s="17">
        <f t="shared" si="55"/>
        <v>14177.999999999998</v>
      </c>
      <c r="K344" s="20">
        <f t="shared" si="56"/>
        <v>196</v>
      </c>
      <c r="L344" s="19">
        <f t="shared" si="53"/>
        <v>980</v>
      </c>
      <c r="M344" s="8">
        <f t="shared" si="59"/>
        <v>1.0860688203221267</v>
      </c>
      <c r="N344" s="9">
        <f t="shared" si="60"/>
        <v>515757830</v>
      </c>
      <c r="O344" s="10">
        <f t="shared" si="57"/>
        <v>44390668</v>
      </c>
      <c r="P344" s="11">
        <f t="shared" si="58"/>
        <v>45296.6</v>
      </c>
      <c r="Q344" s="23">
        <f t="shared" si="54"/>
        <v>560148498</v>
      </c>
      <c r="R344" s="3" t="e">
        <f>VLOOKUP(B344,Buylist!B:B,1,FALSE)</f>
        <v>#N/A</v>
      </c>
      <c r="S344" s="3" t="e">
        <f>VLOOKUP(B344,Buylist!B:O,13,FALSE)</f>
        <v>#N/A</v>
      </c>
      <c r="T344" s="78">
        <v>343</v>
      </c>
    </row>
    <row r="345" spans="1:20">
      <c r="A345" s="43" t="s">
        <v>2975</v>
      </c>
      <c r="B345" s="63">
        <f>VLOOKUP(A345,TypeIDs!B:C,2,FALSE)</f>
        <v>4349</v>
      </c>
      <c r="C345" s="36">
        <v>220200000</v>
      </c>
      <c r="D345" s="36">
        <f t="shared" si="51"/>
        <v>230003400</v>
      </c>
      <c r="E345" s="35">
        <f>INDEX(MARKET_INPUT[Column1.price],MATCH(B345,MARKET_INPUT[Column1.type_id]))</f>
        <v>368200000</v>
      </c>
      <c r="F345" s="35">
        <f t="shared" si="52"/>
        <v>351815100</v>
      </c>
      <c r="G345" s="18">
        <f>VLOOKUP(B345,TypeIDs!C:D,2,FALSE)</f>
        <v>5</v>
      </c>
      <c r="I345" s="15">
        <v>0.7</v>
      </c>
      <c r="J345" s="17">
        <f t="shared" si="55"/>
        <v>30840.1</v>
      </c>
      <c r="K345" s="20">
        <f t="shared" si="56"/>
        <v>4.8999999999999995</v>
      </c>
      <c r="L345" s="19">
        <f t="shared" si="53"/>
        <v>24.5</v>
      </c>
      <c r="M345" s="8">
        <f t="shared" si="59"/>
        <v>1.5296082579648822</v>
      </c>
      <c r="N345" s="9">
        <f t="shared" si="60"/>
        <v>1127016659.9999998</v>
      </c>
      <c r="O345" s="10">
        <f t="shared" si="57"/>
        <v>596877329.99999988</v>
      </c>
      <c r="P345" s="11">
        <f t="shared" si="58"/>
        <v>24362340</v>
      </c>
      <c r="Q345" s="23">
        <f t="shared" si="54"/>
        <v>1723893989.9999995</v>
      </c>
      <c r="R345" s="3" t="e">
        <f>VLOOKUP(B345,Buylist!B:B,1,FALSE)</f>
        <v>#N/A</v>
      </c>
      <c r="S345" s="3" t="e">
        <f>VLOOKUP(B345,Buylist!B:O,13,FALSE)</f>
        <v>#N/A</v>
      </c>
      <c r="T345" s="78">
        <v>344</v>
      </c>
    </row>
    <row r="346" spans="1:20">
      <c r="A346" s="43" t="s">
        <v>3638</v>
      </c>
      <c r="B346" s="63">
        <f>VLOOKUP(A346,TypeIDs!B:C,2,FALSE)</f>
        <v>9580</v>
      </c>
      <c r="C346" s="36">
        <v>113700</v>
      </c>
      <c r="D346" s="36">
        <f t="shared" si="51"/>
        <v>123259.65</v>
      </c>
      <c r="E346" s="35">
        <f>INDEX(MARKET_INPUT[Column1.price],MATCH(B346,MARKET_INPUT[Column1.type_id]))</f>
        <v>309900</v>
      </c>
      <c r="F346" s="35">
        <f t="shared" si="52"/>
        <v>296109.45</v>
      </c>
      <c r="G346" s="18">
        <f>VLOOKUP(B346,TypeIDs!C:D,2,FALSE)</f>
        <v>5</v>
      </c>
      <c r="I346" s="15">
        <v>4</v>
      </c>
      <c r="J346" s="17">
        <f t="shared" si="55"/>
        <v>112.96</v>
      </c>
      <c r="K346" s="20">
        <f t="shared" si="56"/>
        <v>28</v>
      </c>
      <c r="L346" s="19">
        <f t="shared" si="53"/>
        <v>140</v>
      </c>
      <c r="M346" s="8">
        <f t="shared" si="59"/>
        <v>2.4023226579014301</v>
      </c>
      <c r="N346" s="9">
        <f t="shared" si="60"/>
        <v>3451270.1999999997</v>
      </c>
      <c r="O346" s="10">
        <f t="shared" si="57"/>
        <v>4839794.4000000004</v>
      </c>
      <c r="P346" s="11">
        <f t="shared" si="58"/>
        <v>34569.960000000006</v>
      </c>
      <c r="Q346" s="23">
        <f t="shared" si="54"/>
        <v>8291064.5999999996</v>
      </c>
      <c r="R346" s="3" t="e">
        <f>VLOOKUP(B346,Buylist!B:B,1,FALSE)</f>
        <v>#N/A</v>
      </c>
      <c r="S346" s="3" t="e">
        <f>VLOOKUP(B346,Buylist!B:O,13,FALSE)</f>
        <v>#N/A</v>
      </c>
      <c r="T346" s="78">
        <v>345</v>
      </c>
    </row>
    <row r="347" spans="1:20">
      <c r="A347" s="43" t="s">
        <v>1324</v>
      </c>
      <c r="B347" s="63">
        <f>VLOOKUP(A347,TypeIDs!B:C,2,FALSE)</f>
        <v>2553</v>
      </c>
      <c r="C347" s="36">
        <v>1000000</v>
      </c>
      <c r="D347" s="36">
        <f t="shared" si="51"/>
        <v>1049000</v>
      </c>
      <c r="E347" s="35">
        <f>INDEX(MARKET_INPUT[Column1.price],MATCH(B347,MARKET_INPUT[Column1.type_id]))</f>
        <v>1115000</v>
      </c>
      <c r="F347" s="35">
        <f t="shared" si="52"/>
        <v>1065382.5</v>
      </c>
      <c r="G347" s="18">
        <f>VLOOKUP(B347,TypeIDs!C:D,2,FALSE)</f>
        <v>5</v>
      </c>
      <c r="I347" s="15">
        <v>5</v>
      </c>
      <c r="J347" s="17">
        <f t="shared" si="55"/>
        <v>1025</v>
      </c>
      <c r="K347" s="20">
        <f t="shared" si="56"/>
        <v>35</v>
      </c>
      <c r="L347" s="19">
        <f t="shared" si="53"/>
        <v>175</v>
      </c>
      <c r="M347" s="8">
        <f t="shared" si="59"/>
        <v>1.0156172545281221</v>
      </c>
      <c r="N347" s="9">
        <f t="shared" si="60"/>
        <v>36715000</v>
      </c>
      <c r="O347" s="10">
        <f t="shared" si="57"/>
        <v>573387.5</v>
      </c>
      <c r="P347" s="11">
        <f t="shared" si="58"/>
        <v>3276.5</v>
      </c>
      <c r="Q347" s="23">
        <f t="shared" si="54"/>
        <v>37288387.5</v>
      </c>
      <c r="R347" s="3" t="e">
        <f>VLOOKUP(B347,Buylist!B:B,1,FALSE)</f>
        <v>#N/A</v>
      </c>
      <c r="S347" s="3" t="e">
        <f>VLOOKUP(B347,Buylist!B:O,13,FALSE)</f>
        <v>#N/A</v>
      </c>
      <c r="T347" s="78">
        <v>346</v>
      </c>
    </row>
    <row r="348" spans="1:20">
      <c r="A348" s="43" t="s">
        <v>1310</v>
      </c>
      <c r="B348" s="63">
        <f>VLOOKUP(A348,TypeIDs!B:C,2,FALSE)</f>
        <v>2539</v>
      </c>
      <c r="C348" s="36">
        <v>1081000</v>
      </c>
      <c r="D348" s="36">
        <f t="shared" si="51"/>
        <v>1133604.5</v>
      </c>
      <c r="E348" s="35">
        <f>INDEX(MARKET_INPUT[Column1.price],MATCH(B348,MARKET_INPUT[Column1.type_id]))</f>
        <v>2499000</v>
      </c>
      <c r="F348" s="35">
        <f t="shared" si="52"/>
        <v>2387794.5</v>
      </c>
      <c r="G348" s="18">
        <f>VLOOKUP(B348,TypeIDs!C:D,2,FALSE)</f>
        <v>5</v>
      </c>
      <c r="I348" s="15">
        <v>2</v>
      </c>
      <c r="J348" s="17">
        <f t="shared" si="55"/>
        <v>448.4</v>
      </c>
      <c r="K348" s="20">
        <f t="shared" si="56"/>
        <v>14</v>
      </c>
      <c r="L348" s="19">
        <f t="shared" si="53"/>
        <v>70</v>
      </c>
      <c r="M348" s="8">
        <f t="shared" si="59"/>
        <v>2.1063735191594599</v>
      </c>
      <c r="N348" s="9">
        <f t="shared" si="60"/>
        <v>15870463</v>
      </c>
      <c r="O348" s="10">
        <f t="shared" si="57"/>
        <v>17558660</v>
      </c>
      <c r="P348" s="11">
        <f t="shared" si="58"/>
        <v>250838</v>
      </c>
      <c r="Q348" s="23">
        <f t="shared" si="54"/>
        <v>33429123</v>
      </c>
      <c r="R348" s="3" t="e">
        <f>VLOOKUP(B348,Buylist!B:B,1,FALSE)</f>
        <v>#N/A</v>
      </c>
      <c r="S348" s="3" t="e">
        <f>VLOOKUP(B348,Buylist!B:O,13,FALSE)</f>
        <v>#N/A</v>
      </c>
      <c r="T348" s="78">
        <v>347</v>
      </c>
    </row>
    <row r="349" spans="1:20">
      <c r="A349" s="25" t="s">
        <v>1855</v>
      </c>
      <c r="B349" s="63">
        <f>VLOOKUP(A349,TypeIDs!B:C,2,FALSE)</f>
        <v>3130</v>
      </c>
      <c r="C349" s="36">
        <v>1939000</v>
      </c>
      <c r="D349" s="36">
        <f t="shared" si="51"/>
        <v>2034285.5</v>
      </c>
      <c r="E349" s="35">
        <f>INDEX(MARKET_INPUT[Column1.price],MATCH(B349,MARKET_INPUT[Column1.type_id]))</f>
        <v>3497000</v>
      </c>
      <c r="F349" s="35">
        <f t="shared" si="52"/>
        <v>3341383.5</v>
      </c>
      <c r="G349" s="18">
        <f>VLOOKUP(B349,TypeIDs!C:D,2,FALSE)</f>
        <v>10</v>
      </c>
      <c r="I349" s="15">
        <v>3</v>
      </c>
      <c r="J349" s="17">
        <f t="shared" si="55"/>
        <v>1192.3999999999999</v>
      </c>
      <c r="K349" s="20">
        <f t="shared" si="56"/>
        <v>21</v>
      </c>
      <c r="L349" s="19">
        <f t="shared" si="53"/>
        <v>210</v>
      </c>
      <c r="M349" s="8">
        <f t="shared" si="59"/>
        <v>1.6425341968961584</v>
      </c>
      <c r="N349" s="9">
        <f t="shared" si="60"/>
        <v>42719995.5</v>
      </c>
      <c r="O349" s="10">
        <f t="shared" si="57"/>
        <v>27449058</v>
      </c>
      <c r="P349" s="11">
        <f t="shared" si="58"/>
        <v>130709.8</v>
      </c>
      <c r="Q349" s="23">
        <f t="shared" si="54"/>
        <v>70169053.5</v>
      </c>
      <c r="R349" s="3" t="e">
        <f>VLOOKUP(B349,Buylist!B:B,1,FALSE)</f>
        <v>#N/A</v>
      </c>
      <c r="S349" s="3" t="e">
        <f>VLOOKUP(B349,Buylist!B:O,13,FALSE)</f>
        <v>#N/A</v>
      </c>
      <c r="T349" s="78">
        <v>348</v>
      </c>
    </row>
    <row r="350" spans="1:20">
      <c r="A350" s="45" t="s">
        <v>1863</v>
      </c>
      <c r="B350" s="63">
        <f>VLOOKUP(A350,TypeIDs!B:C,2,FALSE)</f>
        <v>3138</v>
      </c>
      <c r="C350" s="36">
        <v>2435000</v>
      </c>
      <c r="D350" s="36">
        <f t="shared" si="51"/>
        <v>2552357.5</v>
      </c>
      <c r="E350" s="35">
        <f>INDEX(MARKET_INPUT[Column1.price],MATCH(B350,MARKET_INPUT[Column1.type_id]))</f>
        <v>3400000</v>
      </c>
      <c r="F350" s="35">
        <f t="shared" si="52"/>
        <v>3248700</v>
      </c>
      <c r="G350" s="18">
        <f>VLOOKUP(B350,TypeIDs!C:D,2,FALSE)</f>
        <v>10</v>
      </c>
      <c r="I350" s="15">
        <v>3</v>
      </c>
      <c r="J350" s="17">
        <f t="shared" si="55"/>
        <v>1490</v>
      </c>
      <c r="K350" s="20">
        <f t="shared" si="56"/>
        <v>21</v>
      </c>
      <c r="L350" s="19">
        <f t="shared" si="53"/>
        <v>210</v>
      </c>
      <c r="M350" s="8">
        <f t="shared" si="59"/>
        <v>1.2728232624152376</v>
      </c>
      <c r="N350" s="9">
        <f t="shared" si="60"/>
        <v>53599507.5</v>
      </c>
      <c r="O350" s="10">
        <f t="shared" si="57"/>
        <v>14623192.5</v>
      </c>
      <c r="P350" s="11">
        <f t="shared" si="58"/>
        <v>69634.25</v>
      </c>
      <c r="Q350" s="23">
        <f t="shared" si="54"/>
        <v>68222700</v>
      </c>
      <c r="R350" s="3" t="e">
        <f>VLOOKUP(B350,Buylist!B:B,1,FALSE)</f>
        <v>#N/A</v>
      </c>
      <c r="S350" s="3" t="e">
        <f>VLOOKUP(B350,Buylist!B:O,13,FALSE)</f>
        <v>#N/A</v>
      </c>
      <c r="T350" s="78">
        <v>349</v>
      </c>
    </row>
    <row r="351" spans="1:20">
      <c r="A351" s="25" t="s">
        <v>1871</v>
      </c>
      <c r="B351" s="63">
        <f>VLOOKUP(A351,TypeIDs!B:C,2,FALSE)</f>
        <v>3146</v>
      </c>
      <c r="C351" s="36">
        <v>2484000</v>
      </c>
      <c r="D351" s="36">
        <f t="shared" si="51"/>
        <v>2603538</v>
      </c>
      <c r="E351" s="35">
        <f>INDEX(MARKET_INPUT[Column1.price],MATCH(B351,MARKET_INPUT[Column1.type_id]))</f>
        <v>3386000</v>
      </c>
      <c r="F351" s="35">
        <f t="shared" si="52"/>
        <v>3235323</v>
      </c>
      <c r="G351" s="18">
        <f>VLOOKUP(B351,TypeIDs!C:D,2,FALSE)</f>
        <v>10</v>
      </c>
      <c r="I351" s="15">
        <v>6</v>
      </c>
      <c r="J351" s="17">
        <f t="shared" si="55"/>
        <v>3018.7999999999997</v>
      </c>
      <c r="K351" s="20">
        <f t="shared" si="56"/>
        <v>42</v>
      </c>
      <c r="L351" s="19">
        <f t="shared" si="53"/>
        <v>420</v>
      </c>
      <c r="M351" s="8">
        <f t="shared" si="59"/>
        <v>1.2426640210359903</v>
      </c>
      <c r="N351" s="9">
        <f t="shared" si="60"/>
        <v>109348596</v>
      </c>
      <c r="O351" s="10">
        <f t="shared" si="57"/>
        <v>26534970</v>
      </c>
      <c r="P351" s="11">
        <f t="shared" si="58"/>
        <v>63178.5</v>
      </c>
      <c r="Q351" s="23">
        <f t="shared" si="54"/>
        <v>135883566</v>
      </c>
      <c r="R351" s="3" t="e">
        <f>VLOOKUP(B351,Buylist!B:B,1,FALSE)</f>
        <v>#N/A</v>
      </c>
      <c r="S351" s="3" t="e">
        <f>VLOOKUP(B351,Buylist!B:O,13,FALSE)</f>
        <v>#N/A</v>
      </c>
      <c r="T351" s="78">
        <v>350</v>
      </c>
    </row>
    <row r="352" spans="1:20">
      <c r="A352" s="25" t="s">
        <v>1887</v>
      </c>
      <c r="B352" s="63">
        <f>VLOOKUP(A352,TypeIDs!B:C,2,FALSE)</f>
        <v>3162</v>
      </c>
      <c r="C352" s="36">
        <v>557900</v>
      </c>
      <c r="D352" s="36">
        <f t="shared" si="51"/>
        <v>587226.55000000005</v>
      </c>
      <c r="E352" s="35">
        <f>INDEX(MARKET_INPUT[Column1.price],MATCH(B352,MARKET_INPUT[Column1.type_id]))</f>
        <v>850000</v>
      </c>
      <c r="F352" s="35">
        <f t="shared" si="52"/>
        <v>812175</v>
      </c>
      <c r="G352" s="18">
        <f>VLOOKUP(B352,TypeIDs!C:D,2,FALSE)</f>
        <v>5</v>
      </c>
      <c r="I352" s="15">
        <v>3</v>
      </c>
      <c r="J352" s="17">
        <f t="shared" si="55"/>
        <v>353.74</v>
      </c>
      <c r="K352" s="20">
        <f t="shared" si="56"/>
        <v>21</v>
      </c>
      <c r="L352" s="19">
        <f t="shared" si="53"/>
        <v>105</v>
      </c>
      <c r="M352" s="8">
        <f t="shared" si="59"/>
        <v>1.3830692770958668</v>
      </c>
      <c r="N352" s="9">
        <f t="shared" si="60"/>
        <v>12331757.550000001</v>
      </c>
      <c r="O352" s="10">
        <f t="shared" si="57"/>
        <v>4723917.4499999993</v>
      </c>
      <c r="P352" s="11">
        <f t="shared" si="58"/>
        <v>44989.689999999988</v>
      </c>
      <c r="Q352" s="23">
        <f t="shared" si="54"/>
        <v>17055675</v>
      </c>
      <c r="R352" s="3" t="e">
        <f>VLOOKUP(B352,Buylist!B:B,1,FALSE)</f>
        <v>#N/A</v>
      </c>
      <c r="S352" s="3" t="e">
        <f>VLOOKUP(B352,Buylist!B:O,13,FALSE)</f>
        <v>#N/A</v>
      </c>
      <c r="T352" s="78">
        <v>351</v>
      </c>
    </row>
    <row r="353" spans="1:20">
      <c r="A353" s="25" t="s">
        <v>1903</v>
      </c>
      <c r="B353" s="63">
        <f>VLOOKUP(A353,TypeIDs!B:C,2,FALSE)</f>
        <v>3178</v>
      </c>
      <c r="C353" s="36">
        <v>994000</v>
      </c>
      <c r="D353" s="36">
        <f t="shared" si="51"/>
        <v>1042733</v>
      </c>
      <c r="E353" s="35">
        <f>INDEX(MARKET_INPUT[Column1.price],MATCH(B353,MARKET_INPUT[Column1.type_id]))</f>
        <v>1677000</v>
      </c>
      <c r="F353" s="35">
        <f t="shared" si="52"/>
        <v>1602373.5</v>
      </c>
      <c r="G353" s="18">
        <f>VLOOKUP(B353,TypeIDs!C:D,2,FALSE)</f>
        <v>5</v>
      </c>
      <c r="I353" s="15">
        <v>8</v>
      </c>
      <c r="J353" s="17">
        <f t="shared" si="55"/>
        <v>1624.4</v>
      </c>
      <c r="K353" s="20">
        <f t="shared" si="56"/>
        <v>56</v>
      </c>
      <c r="L353" s="19">
        <f t="shared" si="53"/>
        <v>280</v>
      </c>
      <c r="M353" s="8">
        <f t="shared" si="59"/>
        <v>1.5367054653492314</v>
      </c>
      <c r="N353" s="9">
        <f t="shared" si="60"/>
        <v>58393048</v>
      </c>
      <c r="O353" s="10">
        <f t="shared" si="57"/>
        <v>31339868</v>
      </c>
      <c r="P353" s="11">
        <f t="shared" si="58"/>
        <v>111928.1</v>
      </c>
      <c r="Q353" s="23">
        <f t="shared" si="54"/>
        <v>89732916</v>
      </c>
      <c r="R353" s="3" t="e">
        <f>VLOOKUP(B353,Buylist!B:B,1,FALSE)</f>
        <v>#N/A</v>
      </c>
      <c r="S353" s="3" t="e">
        <f>VLOOKUP(B353,Buylist!B:O,13,FALSE)</f>
        <v>#N/A</v>
      </c>
      <c r="T353" s="78">
        <v>352</v>
      </c>
    </row>
    <row r="354" spans="1:20">
      <c r="A354" s="25" t="s">
        <v>1807</v>
      </c>
      <c r="B354" s="63">
        <f>VLOOKUP(A354,TypeIDs!B:C,2,FALSE)</f>
        <v>3082</v>
      </c>
      <c r="C354" s="36">
        <v>2739000</v>
      </c>
      <c r="D354" s="36">
        <f t="shared" si="51"/>
        <v>2869885.5</v>
      </c>
      <c r="E354" s="35">
        <f>INDEX(MARKET_INPUT[Column1.price],MATCH(B354,MARKET_INPUT[Column1.type_id]))</f>
        <v>3219000</v>
      </c>
      <c r="F354" s="35">
        <f t="shared" si="52"/>
        <v>3075754.5</v>
      </c>
      <c r="G354" s="18">
        <f>VLOOKUP(B354,TypeIDs!C:D,2,FALSE)</f>
        <v>10</v>
      </c>
      <c r="I354" s="15">
        <v>6</v>
      </c>
      <c r="J354" s="17">
        <f t="shared" si="55"/>
        <v>3324.7999999999997</v>
      </c>
      <c r="K354" s="20">
        <f t="shared" si="56"/>
        <v>42</v>
      </c>
      <c r="L354" s="19">
        <f t="shared" si="53"/>
        <v>420</v>
      </c>
      <c r="M354" s="8">
        <f t="shared" si="59"/>
        <v>1.071734220755497</v>
      </c>
      <c r="N354" s="9">
        <f t="shared" si="60"/>
        <v>120535191</v>
      </c>
      <c r="O354" s="10">
        <f t="shared" si="57"/>
        <v>8646498</v>
      </c>
      <c r="P354" s="11">
        <f t="shared" si="58"/>
        <v>20586.900000000001</v>
      </c>
      <c r="Q354" s="23">
        <f t="shared" si="54"/>
        <v>129181689</v>
      </c>
      <c r="R354" s="3" t="e">
        <f>VLOOKUP(B354,Buylist!B:B,1,FALSE)</f>
        <v>#N/A</v>
      </c>
      <c r="S354" s="3" t="e">
        <f>VLOOKUP(B354,Buylist!B:O,13,FALSE)</f>
        <v>#N/A</v>
      </c>
      <c r="T354" s="78">
        <v>353</v>
      </c>
    </row>
    <row r="355" spans="1:20">
      <c r="A355" s="45" t="s">
        <v>9088</v>
      </c>
      <c r="B355" s="63">
        <f>VLOOKUP(A355,TypeIDs!B:C,2,FALSE)</f>
        <v>19739</v>
      </c>
      <c r="C355" s="36">
        <v>2516000</v>
      </c>
      <c r="D355" s="36">
        <f t="shared" si="51"/>
        <v>2645962</v>
      </c>
      <c r="E355" s="35">
        <f>INDEX(MARKET_INPUT[Column1.price],MATCH(B355,MARKET_INPUT[Column1.type_id]))</f>
        <v>4195000</v>
      </c>
      <c r="F355" s="35">
        <f t="shared" si="52"/>
        <v>4008322.5</v>
      </c>
      <c r="G355" s="18">
        <f>VLOOKUP(B355,TypeIDs!C:D,2,FALSE)</f>
        <v>20</v>
      </c>
      <c r="I355" s="15">
        <v>2</v>
      </c>
      <c r="J355" s="17">
        <f t="shared" si="55"/>
        <v>1052.4000000000001</v>
      </c>
      <c r="K355" s="20">
        <f t="shared" si="56"/>
        <v>14</v>
      </c>
      <c r="L355" s="19">
        <f t="shared" si="53"/>
        <v>280</v>
      </c>
      <c r="M355" s="8">
        <f t="shared" si="59"/>
        <v>1.5148828667985406</v>
      </c>
      <c r="N355" s="9">
        <f t="shared" si="60"/>
        <v>37043468</v>
      </c>
      <c r="O355" s="10">
        <f t="shared" si="57"/>
        <v>19073047</v>
      </c>
      <c r="P355" s="11">
        <f t="shared" si="58"/>
        <v>68118.024999999994</v>
      </c>
      <c r="Q355" s="23">
        <f t="shared" si="54"/>
        <v>56116515</v>
      </c>
      <c r="R355" s="3" t="e">
        <f>VLOOKUP(B355,Buylist!B:B,1,FALSE)</f>
        <v>#N/A</v>
      </c>
      <c r="S355" s="3" t="e">
        <f>VLOOKUP(B355,Buylist!B:O,13,FALSE)</f>
        <v>#N/A</v>
      </c>
      <c r="T355" s="78">
        <v>354</v>
      </c>
    </row>
    <row r="356" spans="1:20">
      <c r="A356" s="25" t="s">
        <v>13373</v>
      </c>
      <c r="B356" s="63">
        <f>VLOOKUP(A356,TypeIDs!B:C,2,FALSE)</f>
        <v>25715</v>
      </c>
      <c r="C356" s="36">
        <v>1305000</v>
      </c>
      <c r="D356" s="36">
        <f t="shared" si="51"/>
        <v>1372072.5</v>
      </c>
      <c r="E356" s="35">
        <f>INDEX(MARKET_INPUT[Column1.price],MATCH(B356,MARKET_INPUT[Column1.type_id]))</f>
        <v>2974000</v>
      </c>
      <c r="F356" s="35">
        <f t="shared" si="52"/>
        <v>2841657</v>
      </c>
      <c r="G356" s="18">
        <f>VLOOKUP(B356,TypeIDs!C:D,2,FALSE)</f>
        <v>10</v>
      </c>
      <c r="I356" s="15">
        <v>6</v>
      </c>
      <c r="J356" s="17">
        <f t="shared" si="55"/>
        <v>1604</v>
      </c>
      <c r="K356" s="20">
        <f t="shared" si="56"/>
        <v>42</v>
      </c>
      <c r="L356" s="19">
        <f t="shared" si="53"/>
        <v>420</v>
      </c>
      <c r="M356" s="8">
        <f t="shared" si="59"/>
        <v>2.0710691308221687</v>
      </c>
      <c r="N356" s="9">
        <f t="shared" si="60"/>
        <v>57627045</v>
      </c>
      <c r="O356" s="10">
        <f t="shared" si="57"/>
        <v>61722549</v>
      </c>
      <c r="P356" s="11">
        <f t="shared" si="58"/>
        <v>146958.45000000001</v>
      </c>
      <c r="Q356" s="23">
        <f t="shared" si="54"/>
        <v>119349594</v>
      </c>
      <c r="R356" s="3" t="e">
        <f>VLOOKUP(B356,Buylist!B:B,1,FALSE)</f>
        <v>#N/A</v>
      </c>
      <c r="S356" s="3" t="e">
        <f>VLOOKUP(B356,Buylist!B:O,13,FALSE)</f>
        <v>#N/A</v>
      </c>
      <c r="T356" s="78">
        <v>355</v>
      </c>
    </row>
    <row r="357" spans="1:20">
      <c r="A357" s="25" t="s">
        <v>3468</v>
      </c>
      <c r="B357" s="63">
        <f>VLOOKUP(A357,TypeIDs!B:C,2,FALSE)</f>
        <v>8105</v>
      </c>
      <c r="C357" s="36">
        <v>2280000</v>
      </c>
      <c r="D357" s="36">
        <f t="shared" si="51"/>
        <v>2390460</v>
      </c>
      <c r="E357" s="35">
        <f>INDEX(MARKET_INPUT[Column1.price],MATCH(B357,MARKET_INPUT[Column1.type_id]))</f>
        <v>2530000</v>
      </c>
      <c r="F357" s="35">
        <f t="shared" si="52"/>
        <v>2417415</v>
      </c>
      <c r="G357" s="18">
        <f>VLOOKUP(B357,TypeIDs!C:D,2,FALSE)</f>
        <v>10</v>
      </c>
      <c r="I357" s="15">
        <v>3</v>
      </c>
      <c r="J357" s="17">
        <f t="shared" si="55"/>
        <v>1397</v>
      </c>
      <c r="K357" s="20">
        <f t="shared" si="56"/>
        <v>21</v>
      </c>
      <c r="L357" s="19">
        <f t="shared" si="53"/>
        <v>210</v>
      </c>
      <c r="M357" s="8">
        <f t="shared" si="59"/>
        <v>1.0112760723877412</v>
      </c>
      <c r="N357" s="9">
        <f t="shared" si="60"/>
        <v>50199660</v>
      </c>
      <c r="O357" s="10">
        <f t="shared" si="57"/>
        <v>566055</v>
      </c>
      <c r="P357" s="11">
        <f t="shared" si="58"/>
        <v>2695.5</v>
      </c>
      <c r="Q357" s="23">
        <f t="shared" si="54"/>
        <v>50765715</v>
      </c>
      <c r="R357" s="3" t="e">
        <f>VLOOKUP(B357,Buylist!B:B,1,FALSE)</f>
        <v>#N/A</v>
      </c>
      <c r="S357" s="3" t="e">
        <f>VLOOKUP(B357,Buylist!B:O,13,FALSE)</f>
        <v>#N/A</v>
      </c>
      <c r="T357" s="78">
        <v>356</v>
      </c>
    </row>
    <row r="358" spans="1:20">
      <c r="A358" s="25" t="s">
        <v>1191</v>
      </c>
      <c r="B358" s="63">
        <f>VLOOKUP(A358,TypeIDs!B:C,2,FALSE)</f>
        <v>2410</v>
      </c>
      <c r="C358" s="36">
        <v>1259000</v>
      </c>
      <c r="D358" s="36">
        <f t="shared" si="51"/>
        <v>1324025.5</v>
      </c>
      <c r="E358" s="35">
        <f>INDEX(MARKET_INPUT[Column1.price],MATCH(B358,MARKET_INPUT[Column1.type_id]))</f>
        <v>1943000</v>
      </c>
      <c r="F358" s="35">
        <f t="shared" si="52"/>
        <v>1856536.5</v>
      </c>
      <c r="G358" s="18">
        <f>VLOOKUP(B358,TypeIDs!C:D,2,FALSE)</f>
        <v>10</v>
      </c>
      <c r="I358" s="15">
        <v>12</v>
      </c>
      <c r="J358" s="17">
        <f t="shared" si="55"/>
        <v>3077.6</v>
      </c>
      <c r="K358" s="20">
        <f t="shared" si="56"/>
        <v>84</v>
      </c>
      <c r="L358" s="19">
        <f t="shared" si="53"/>
        <v>840</v>
      </c>
      <c r="M358" s="8">
        <f t="shared" si="59"/>
        <v>1.402190894359663</v>
      </c>
      <c r="N358" s="9">
        <f t="shared" si="60"/>
        <v>111218142</v>
      </c>
      <c r="O358" s="10">
        <f t="shared" si="57"/>
        <v>44730924</v>
      </c>
      <c r="P358" s="11">
        <f t="shared" si="58"/>
        <v>53251.1</v>
      </c>
      <c r="Q358" s="23">
        <f t="shared" si="54"/>
        <v>155949066</v>
      </c>
      <c r="R358" s="3" t="e">
        <f>VLOOKUP(B358,Buylist!B:B,1,FALSE)</f>
        <v>#N/A</v>
      </c>
      <c r="S358" s="3" t="e">
        <f>VLOOKUP(B358,Buylist!B:O,13,FALSE)</f>
        <v>#N/A</v>
      </c>
      <c r="T358" s="78">
        <v>357</v>
      </c>
    </row>
    <row r="359" spans="1:20">
      <c r="A359" s="25" t="s">
        <v>1186</v>
      </c>
      <c r="B359" s="63">
        <f>VLOOKUP(A359,TypeIDs!B:C,2,FALSE)</f>
        <v>2404</v>
      </c>
      <c r="C359" s="36">
        <v>1020000</v>
      </c>
      <c r="D359" s="36">
        <f t="shared" si="51"/>
        <v>1069890</v>
      </c>
      <c r="E359" s="35">
        <f>INDEX(MARKET_INPUT[Column1.price],MATCH(B359,MARKET_INPUT[Column1.type_id]))</f>
        <v>1981000</v>
      </c>
      <c r="F359" s="35">
        <f t="shared" si="52"/>
        <v>1892845.5</v>
      </c>
      <c r="G359" s="18">
        <f>VLOOKUP(B359,TypeIDs!C:D,2,FALSE)</f>
        <v>5</v>
      </c>
      <c r="I359" s="15">
        <v>7</v>
      </c>
      <c r="J359" s="17">
        <f t="shared" si="55"/>
        <v>1459</v>
      </c>
      <c r="K359" s="20">
        <f t="shared" si="56"/>
        <v>49</v>
      </c>
      <c r="L359" s="19">
        <f t="shared" si="53"/>
        <v>245</v>
      </c>
      <c r="M359" s="8">
        <f t="shared" si="59"/>
        <v>1.7691963659815495</v>
      </c>
      <c r="N359" s="9">
        <f t="shared" si="60"/>
        <v>52424610</v>
      </c>
      <c r="O359" s="10">
        <f t="shared" si="57"/>
        <v>40324819.5</v>
      </c>
      <c r="P359" s="11">
        <f t="shared" si="58"/>
        <v>164591.1</v>
      </c>
      <c r="Q359" s="23">
        <f t="shared" si="54"/>
        <v>92749429.5</v>
      </c>
      <c r="R359" s="3" t="e">
        <f>VLOOKUP(B359,Buylist!B:B,1,FALSE)</f>
        <v>#N/A</v>
      </c>
      <c r="S359" s="3" t="e">
        <f>VLOOKUP(B359,Buylist!B:O,13,FALSE)</f>
        <v>#N/A</v>
      </c>
      <c r="T359" s="78">
        <v>358</v>
      </c>
    </row>
    <row r="360" spans="1:20">
      <c r="A360" s="25" t="s">
        <v>19169</v>
      </c>
      <c r="B360" s="63">
        <f>VLOOKUP(A360,TypeIDs!B:C,2,FALSE)</f>
        <v>33450</v>
      </c>
      <c r="C360" s="36">
        <v>2502000</v>
      </c>
      <c r="D360" s="36">
        <f t="shared" si="51"/>
        <v>2631339</v>
      </c>
      <c r="E360" s="35">
        <f>INDEX(MARKET_INPUT[Column1.price],MATCH(B360,MARKET_INPUT[Column1.type_id]))</f>
        <v>3690000</v>
      </c>
      <c r="F360" s="35">
        <f t="shared" si="52"/>
        <v>3525795</v>
      </c>
      <c r="G360" s="18">
        <f>VLOOKUP(B360,TypeIDs!C:D,2,FALSE)</f>
        <v>20</v>
      </c>
      <c r="I360" s="15">
        <v>5</v>
      </c>
      <c r="J360" s="17">
        <f t="shared" si="55"/>
        <v>2557</v>
      </c>
      <c r="K360" s="20">
        <f t="shared" si="56"/>
        <v>35</v>
      </c>
      <c r="L360" s="19">
        <f t="shared" si="53"/>
        <v>700</v>
      </c>
      <c r="M360" s="8">
        <f t="shared" si="59"/>
        <v>1.3399242742953303</v>
      </c>
      <c r="N360" s="9">
        <f t="shared" si="60"/>
        <v>92096865</v>
      </c>
      <c r="O360" s="10">
        <f t="shared" si="57"/>
        <v>31305960</v>
      </c>
      <c r="P360" s="11">
        <f t="shared" si="58"/>
        <v>44722.8</v>
      </c>
      <c r="Q360" s="23">
        <f t="shared" si="54"/>
        <v>123402825</v>
      </c>
      <c r="R360" s="3" t="e">
        <f>VLOOKUP(B360,Buylist!B:B,1,FALSE)</f>
        <v>#N/A</v>
      </c>
      <c r="S360" s="3" t="e">
        <f>VLOOKUP(B360,Buylist!B:O,13,FALSE)</f>
        <v>#N/A</v>
      </c>
      <c r="T360" s="78">
        <v>359</v>
      </c>
    </row>
    <row r="361" spans="1:20">
      <c r="A361" s="25" t="s">
        <v>829</v>
      </c>
      <c r="B361" s="63">
        <f>VLOOKUP(A361,TypeIDs!B:C,2,FALSE)</f>
        <v>1877</v>
      </c>
      <c r="C361" s="36">
        <v>934900</v>
      </c>
      <c r="D361" s="36">
        <f t="shared" si="51"/>
        <v>985503.05</v>
      </c>
      <c r="E361" s="35">
        <f>INDEX(MARKET_INPUT[Column1.price],MATCH(B361,MARKET_INPUT[Column1.type_id]))</f>
        <v>893500</v>
      </c>
      <c r="F361" s="35">
        <f t="shared" si="52"/>
        <v>853739.25</v>
      </c>
      <c r="G361" s="18">
        <f>VLOOKUP(B361,TypeIDs!C:D,2,FALSE)</f>
        <v>10</v>
      </c>
      <c r="I361" s="15">
        <v>14</v>
      </c>
      <c r="J361" s="17">
        <f t="shared" si="55"/>
        <v>2679.72</v>
      </c>
      <c r="K361" s="20">
        <f t="shared" si="56"/>
        <v>98</v>
      </c>
      <c r="L361" s="19">
        <f t="shared" si="53"/>
        <v>980</v>
      </c>
      <c r="M361" s="8">
        <f t="shared" si="59"/>
        <v>0.86629792774360259</v>
      </c>
      <c r="N361" s="9">
        <f t="shared" si="60"/>
        <v>96579298.900000006</v>
      </c>
      <c r="O361" s="10">
        <f t="shared" si="57"/>
        <v>-12912852.400000004</v>
      </c>
      <c r="P361" s="11">
        <f t="shared" si="58"/>
        <v>-13176.380000000005</v>
      </c>
      <c r="Q361" s="23">
        <f t="shared" si="54"/>
        <v>83666446.5</v>
      </c>
      <c r="R361" s="3" t="e">
        <f>VLOOKUP(B361,Buylist!B:B,1,FALSE)</f>
        <v>#N/A</v>
      </c>
      <c r="S361" s="3" t="e">
        <f>VLOOKUP(B361,Buylist!B:O,13,FALSE)</f>
        <v>#N/A</v>
      </c>
      <c r="T361" s="78">
        <v>360</v>
      </c>
    </row>
    <row r="362" spans="1:20">
      <c r="A362" s="25" t="s">
        <v>3936</v>
      </c>
      <c r="B362" s="63">
        <f>VLOOKUP(A362,TypeIDs!B:C,2,FALSE)</f>
        <v>10631</v>
      </c>
      <c r="C362" s="36">
        <v>419900</v>
      </c>
      <c r="D362" s="36">
        <f t="shared" si="51"/>
        <v>443085.55</v>
      </c>
      <c r="E362" s="35">
        <f>INDEX(MARKET_INPUT[Column1.price],MATCH(B362,MARKET_INPUT[Column1.type_id]))</f>
        <v>1399000</v>
      </c>
      <c r="F362" s="35">
        <f t="shared" si="52"/>
        <v>1336744.5</v>
      </c>
      <c r="G362" s="18">
        <f>VLOOKUP(B362,TypeIDs!C:D,2,FALSE)</f>
        <v>5</v>
      </c>
      <c r="I362" s="15">
        <v>4</v>
      </c>
      <c r="J362" s="17">
        <f t="shared" si="55"/>
        <v>357.92</v>
      </c>
      <c r="K362" s="20">
        <f t="shared" si="56"/>
        <v>28</v>
      </c>
      <c r="L362" s="19">
        <f t="shared" si="53"/>
        <v>140</v>
      </c>
      <c r="M362" s="8">
        <f t="shared" si="59"/>
        <v>3.0168993324201163</v>
      </c>
      <c r="N362" s="9">
        <f t="shared" si="60"/>
        <v>12406395.4</v>
      </c>
      <c r="O362" s="10">
        <f t="shared" si="57"/>
        <v>25022450.599999998</v>
      </c>
      <c r="P362" s="11">
        <f t="shared" si="58"/>
        <v>178731.78999999998</v>
      </c>
      <c r="Q362" s="23">
        <f t="shared" si="54"/>
        <v>37428846</v>
      </c>
      <c r="R362" s="3" t="e">
        <f>VLOOKUP(B362,Buylist!B:B,1,FALSE)</f>
        <v>#N/A</v>
      </c>
      <c r="S362" s="3" t="e">
        <f>VLOOKUP(B362,Buylist!B:O,13,FALSE)</f>
        <v>#N/A</v>
      </c>
      <c r="T362" s="78">
        <v>361</v>
      </c>
    </row>
    <row r="363" spans="1:20">
      <c r="A363" s="45" t="s">
        <v>3471</v>
      </c>
      <c r="B363" s="63">
        <f>VLOOKUP(A363,TypeIDs!B:C,2,FALSE)</f>
        <v>8117</v>
      </c>
      <c r="C363" s="36">
        <v>96750</v>
      </c>
      <c r="D363" s="36">
        <f t="shared" si="51"/>
        <v>119055.375</v>
      </c>
      <c r="E363" s="35">
        <f>INDEX(MARKET_INPUT[Column1.price],MATCH(B363,MARKET_INPUT[Column1.type_id]))</f>
        <v>185000</v>
      </c>
      <c r="F363" s="35">
        <f t="shared" si="52"/>
        <v>176767.5</v>
      </c>
      <c r="G363" s="18">
        <f>VLOOKUP(B363,TypeIDs!C:D,2,FALSE)</f>
        <v>20</v>
      </c>
      <c r="I363" s="15">
        <v>3</v>
      </c>
      <c r="J363" s="17">
        <f t="shared" si="55"/>
        <v>107.05</v>
      </c>
      <c r="K363" s="20">
        <f t="shared" si="56"/>
        <v>21</v>
      </c>
      <c r="L363" s="19">
        <f t="shared" si="53"/>
        <v>420</v>
      </c>
      <c r="M363" s="8">
        <f t="shared" si="59"/>
        <v>1.484750268520006</v>
      </c>
      <c r="N363" s="9">
        <f t="shared" si="60"/>
        <v>2500162.875</v>
      </c>
      <c r="O363" s="10">
        <f t="shared" si="57"/>
        <v>1211954.625</v>
      </c>
      <c r="P363" s="11">
        <f t="shared" si="58"/>
        <v>2885.6062499999998</v>
      </c>
      <c r="Q363" s="23">
        <f t="shared" si="54"/>
        <v>3712117.5</v>
      </c>
      <c r="R363" s="3" t="e">
        <f>VLOOKUP(B363,Buylist!B:B,1,FALSE)</f>
        <v>#N/A</v>
      </c>
      <c r="S363" s="3" t="e">
        <f>VLOOKUP(B363,Buylist!B:O,13,FALSE)</f>
        <v>#N/A</v>
      </c>
      <c r="T363" s="78">
        <v>362</v>
      </c>
    </row>
    <row r="364" spans="1:20">
      <c r="A364" s="45" t="s">
        <v>1201</v>
      </c>
      <c r="B364" s="63">
        <f>VLOOKUP(A364,TypeIDs!B:C,2,FALSE)</f>
        <v>2420</v>
      </c>
      <c r="C364" s="36">
        <v>5350000</v>
      </c>
      <c r="D364" s="36">
        <f t="shared" si="51"/>
        <v>5606075</v>
      </c>
      <c r="E364" s="35">
        <f>INDEX(MARKET_INPUT[Column1.price],MATCH(B364,MARKET_INPUT[Column1.type_id]))</f>
        <v>6880000</v>
      </c>
      <c r="F364" s="35">
        <f t="shared" si="52"/>
        <v>6573840</v>
      </c>
      <c r="G364" s="18">
        <f>VLOOKUP(B364,TypeIDs!C:D,2,FALSE)</f>
        <v>20</v>
      </c>
      <c r="I364" s="15">
        <v>6</v>
      </c>
      <c r="J364" s="17">
        <f t="shared" si="55"/>
        <v>6478</v>
      </c>
      <c r="K364" s="20">
        <f t="shared" si="56"/>
        <v>42</v>
      </c>
      <c r="L364" s="19">
        <f t="shared" si="53"/>
        <v>840</v>
      </c>
      <c r="M364" s="8">
        <f t="shared" si="59"/>
        <v>1.1726279081175333</v>
      </c>
      <c r="N364" s="9">
        <f t="shared" si="60"/>
        <v>235455150</v>
      </c>
      <c r="O364" s="10">
        <f t="shared" si="57"/>
        <v>40646130</v>
      </c>
      <c r="P364" s="11">
        <f t="shared" si="58"/>
        <v>48388.25</v>
      </c>
      <c r="Q364" s="23">
        <f t="shared" si="54"/>
        <v>276101280</v>
      </c>
      <c r="R364" s="3" t="e">
        <f>VLOOKUP(B364,Buylist!B:B,1,FALSE)</f>
        <v>#N/A</v>
      </c>
      <c r="S364" s="3" t="e">
        <f>VLOOKUP(B364,Buylist!B:O,13,FALSE)</f>
        <v>#N/A</v>
      </c>
      <c r="T364" s="78">
        <v>363</v>
      </c>
    </row>
    <row r="365" spans="1:20">
      <c r="A365" s="34" t="s">
        <v>31409</v>
      </c>
      <c r="B365" s="63">
        <f>VLOOKUP(A365,TypeIDs!B:C,2,FALSE)</f>
        <v>47914</v>
      </c>
      <c r="C365" s="36">
        <v>22180000</v>
      </c>
      <c r="D365" s="36">
        <f t="shared" si="51"/>
        <v>23171510</v>
      </c>
      <c r="E365" s="35">
        <f>INDEX(MARKET_INPUT[Column1.price],MATCH(B365,MARKET_INPUT[Column1.type_id]))</f>
        <v>23990000</v>
      </c>
      <c r="F365" s="35">
        <f t="shared" si="52"/>
        <v>22922445</v>
      </c>
      <c r="G365" s="18">
        <f>VLOOKUP(B365,TypeIDs!C:D,2,FALSE)</f>
        <v>5</v>
      </c>
      <c r="I365" s="15">
        <v>1</v>
      </c>
      <c r="J365" s="17">
        <f t="shared" si="55"/>
        <v>4449</v>
      </c>
      <c r="K365" s="20">
        <f t="shared" si="56"/>
        <v>7</v>
      </c>
      <c r="L365" s="19">
        <f t="shared" si="53"/>
        <v>35</v>
      </c>
      <c r="M365" s="8">
        <f t="shared" si="59"/>
        <v>0.98925123999255982</v>
      </c>
      <c r="N365" s="9">
        <f t="shared" si="60"/>
        <v>162200570</v>
      </c>
      <c r="O365" s="10">
        <f t="shared" si="57"/>
        <v>-1743455</v>
      </c>
      <c r="P365" s="11">
        <f t="shared" si="58"/>
        <v>-49813</v>
      </c>
      <c r="Q365" s="23">
        <f t="shared" si="54"/>
        <v>160457115</v>
      </c>
      <c r="R365" s="3" t="e">
        <f>VLOOKUP(B365,Buylist!B:B,1,FALSE)</f>
        <v>#N/A</v>
      </c>
      <c r="S365" s="3" t="e">
        <f>VLOOKUP(B365,Buylist!B:O,13,FALSE)</f>
        <v>#N/A</v>
      </c>
      <c r="T365" s="78">
        <v>364</v>
      </c>
    </row>
    <row r="366" spans="1:20">
      <c r="A366" s="25" t="s">
        <v>1705</v>
      </c>
      <c r="B366" s="63">
        <f>VLOOKUP(A366,TypeIDs!B:C,2,FALSE)</f>
        <v>2969</v>
      </c>
      <c r="C366" s="36">
        <v>2921000</v>
      </c>
      <c r="D366" s="36">
        <f t="shared" si="51"/>
        <v>3059984.5</v>
      </c>
      <c r="E366" s="35">
        <f>INDEX(MARKET_INPUT[Column1.price],MATCH(B366,MARKET_INPUT[Column1.type_id]))</f>
        <v>2995000</v>
      </c>
      <c r="F366" s="35">
        <f t="shared" si="52"/>
        <v>2861722.5</v>
      </c>
      <c r="G366" s="18">
        <f>VLOOKUP(B366,TypeIDs!C:D,2,FALSE)</f>
        <v>10</v>
      </c>
      <c r="I366" s="15">
        <v>12</v>
      </c>
      <c r="J366" s="17">
        <f t="shared" si="55"/>
        <v>7066.4</v>
      </c>
      <c r="K366" s="20">
        <f t="shared" si="56"/>
        <v>84</v>
      </c>
      <c r="L366" s="19">
        <f t="shared" si="53"/>
        <v>840</v>
      </c>
      <c r="M366" s="8">
        <f t="shared" si="59"/>
        <v>0.93520816853810862</v>
      </c>
      <c r="N366" s="9">
        <f t="shared" si="60"/>
        <v>257038698</v>
      </c>
      <c r="O366" s="10">
        <f t="shared" si="57"/>
        <v>-16654008</v>
      </c>
      <c r="P366" s="11">
        <f t="shared" si="58"/>
        <v>-19826.2</v>
      </c>
      <c r="Q366" s="23">
        <f t="shared" si="54"/>
        <v>240384690</v>
      </c>
      <c r="R366" s="3" t="e">
        <f>VLOOKUP(B366,Buylist!B:B,1,FALSE)</f>
        <v>#N/A</v>
      </c>
      <c r="S366" s="3" t="e">
        <f>VLOOKUP(B366,Buylist!B:O,13,FALSE)</f>
        <v>#N/A</v>
      </c>
      <c r="T366" s="78">
        <v>365</v>
      </c>
    </row>
    <row r="367" spans="1:20">
      <c r="A367" s="25" t="s">
        <v>1713</v>
      </c>
      <c r="B367" s="63">
        <f>VLOOKUP(A367,TypeIDs!B:C,2,FALSE)</f>
        <v>2977</v>
      </c>
      <c r="C367" s="36">
        <v>1093000</v>
      </c>
      <c r="D367" s="36">
        <f t="shared" si="51"/>
        <v>1146138.5</v>
      </c>
      <c r="E367" s="35">
        <f>INDEX(MARKET_INPUT[Column1.price],MATCH(B367,MARKET_INPUT[Column1.type_id]))</f>
        <v>1400000</v>
      </c>
      <c r="F367" s="35">
        <f t="shared" si="52"/>
        <v>1337700</v>
      </c>
      <c r="G367" s="18">
        <f>VLOOKUP(B367,TypeIDs!C:D,2,FALSE)</f>
        <v>5</v>
      </c>
      <c r="I367" s="15">
        <v>2</v>
      </c>
      <c r="J367" s="17">
        <f t="shared" si="55"/>
        <v>453.2</v>
      </c>
      <c r="K367" s="20">
        <f t="shared" si="56"/>
        <v>14</v>
      </c>
      <c r="L367" s="19">
        <f t="shared" si="53"/>
        <v>70</v>
      </c>
      <c r="M367" s="8">
        <f t="shared" si="59"/>
        <v>1.1671364324643139</v>
      </c>
      <c r="N367" s="9">
        <f t="shared" si="60"/>
        <v>16045939</v>
      </c>
      <c r="O367" s="10">
        <f t="shared" si="57"/>
        <v>2681861</v>
      </c>
      <c r="P367" s="11">
        <f t="shared" si="58"/>
        <v>38312.300000000003</v>
      </c>
      <c r="Q367" s="23">
        <f t="shared" si="54"/>
        <v>18727800</v>
      </c>
      <c r="R367" s="3" t="e">
        <f>VLOOKUP(B367,Buylist!B:B,1,FALSE)</f>
        <v>#N/A</v>
      </c>
      <c r="S367" s="3" t="e">
        <f>VLOOKUP(B367,Buylist!B:O,13,FALSE)</f>
        <v>#N/A</v>
      </c>
      <c r="T367" s="78">
        <v>366</v>
      </c>
    </row>
    <row r="368" spans="1:20">
      <c r="A368" s="25" t="s">
        <v>1640</v>
      </c>
      <c r="B368" s="63">
        <f>VLOOKUP(A368,TypeIDs!B:C,2,FALSE)</f>
        <v>2897</v>
      </c>
      <c r="C368" s="36">
        <v>2237000</v>
      </c>
      <c r="D368" s="36">
        <f t="shared" si="51"/>
        <v>2345546.5</v>
      </c>
      <c r="E368" s="35">
        <f>INDEX(MARKET_INPUT[Column1.price],MATCH(B368,MARKET_INPUT[Column1.type_id]))</f>
        <v>3225000</v>
      </c>
      <c r="F368" s="35">
        <f t="shared" si="52"/>
        <v>3081487.5</v>
      </c>
      <c r="G368" s="18">
        <f>VLOOKUP(B368,TypeIDs!C:D,2,FALSE)</f>
        <v>10</v>
      </c>
      <c r="I368" s="15">
        <v>4</v>
      </c>
      <c r="J368" s="17">
        <f t="shared" si="55"/>
        <v>1821.6</v>
      </c>
      <c r="K368" s="20">
        <f t="shared" si="56"/>
        <v>28</v>
      </c>
      <c r="L368" s="19">
        <f t="shared" si="53"/>
        <v>280</v>
      </c>
      <c r="M368" s="8">
        <f t="shared" si="59"/>
        <v>1.3137609934401215</v>
      </c>
      <c r="N368" s="9">
        <f t="shared" si="60"/>
        <v>65675302</v>
      </c>
      <c r="O368" s="10">
        <f t="shared" si="57"/>
        <v>20606348</v>
      </c>
      <c r="P368" s="11">
        <f t="shared" si="58"/>
        <v>73594.100000000006</v>
      </c>
      <c r="Q368" s="23">
        <f t="shared" si="54"/>
        <v>86281650</v>
      </c>
      <c r="R368" s="3" t="e">
        <f>VLOOKUP(B368,Buylist!B:B,1,FALSE)</f>
        <v>#N/A</v>
      </c>
      <c r="S368" s="3" t="e">
        <f>VLOOKUP(B368,Buylist!B:O,13,FALSE)</f>
        <v>#N/A</v>
      </c>
      <c r="T368" s="78">
        <v>367</v>
      </c>
    </row>
    <row r="369" spans="1:20">
      <c r="A369" s="25" t="s">
        <v>1655</v>
      </c>
      <c r="B369" s="63">
        <f>VLOOKUP(A369,TypeIDs!B:C,2,FALSE)</f>
        <v>2913</v>
      </c>
      <c r="C369" s="36">
        <v>2300000</v>
      </c>
      <c r="D369" s="36">
        <f t="shared" si="51"/>
        <v>2411350</v>
      </c>
      <c r="E369" s="35">
        <f>INDEX(MARKET_INPUT[Column1.price],MATCH(B369,MARKET_INPUT[Column1.type_id]))</f>
        <v>3370000</v>
      </c>
      <c r="F369" s="35">
        <f t="shared" si="52"/>
        <v>3220035</v>
      </c>
      <c r="G369" s="18">
        <f>VLOOKUP(B369,TypeIDs!C:D,2,FALSE)</f>
        <v>10</v>
      </c>
      <c r="I369" s="15">
        <v>7</v>
      </c>
      <c r="J369" s="17">
        <f t="shared" si="55"/>
        <v>3261</v>
      </c>
      <c r="K369" s="20">
        <f t="shared" si="56"/>
        <v>49</v>
      </c>
      <c r="L369" s="19">
        <f t="shared" si="53"/>
        <v>490</v>
      </c>
      <c r="M369" s="8">
        <f t="shared" si="59"/>
        <v>1.3353660812407988</v>
      </c>
      <c r="N369" s="9">
        <f t="shared" si="60"/>
        <v>118156150</v>
      </c>
      <c r="O369" s="10">
        <f t="shared" si="57"/>
        <v>39625565</v>
      </c>
      <c r="P369" s="11">
        <f t="shared" si="58"/>
        <v>80868.5</v>
      </c>
      <c r="Q369" s="23">
        <f t="shared" si="54"/>
        <v>157781715</v>
      </c>
      <c r="R369" s="3" t="e">
        <f>VLOOKUP(B369,Buylist!B:B,1,FALSE)</f>
        <v>#N/A</v>
      </c>
      <c r="S369" s="3" t="e">
        <f>VLOOKUP(B369,Buylist!B:O,13,FALSE)</f>
        <v>#N/A</v>
      </c>
      <c r="T369" s="78">
        <v>368</v>
      </c>
    </row>
    <row r="370" spans="1:20">
      <c r="A370" s="34" t="s">
        <v>3572</v>
      </c>
      <c r="B370" s="63">
        <f>VLOOKUP(A370,TypeIDs!B:C,2,FALSE)</f>
        <v>8863</v>
      </c>
      <c r="C370" s="36">
        <v>459900</v>
      </c>
      <c r="D370" s="36">
        <f t="shared" si="51"/>
        <v>484865.55</v>
      </c>
      <c r="E370" s="35">
        <f>INDEX(MARKET_INPUT[Column1.price],MATCH(B370,MARKET_INPUT[Column1.type_id]))</f>
        <v>750000</v>
      </c>
      <c r="F370" s="35">
        <f t="shared" si="52"/>
        <v>716625</v>
      </c>
      <c r="G370" s="18">
        <f>VLOOKUP(B370,TypeIDs!C:D,2,FALSE)</f>
        <v>5</v>
      </c>
      <c r="I370" s="15">
        <v>2</v>
      </c>
      <c r="J370" s="17">
        <f t="shared" si="55"/>
        <v>199.96</v>
      </c>
      <c r="K370" s="20">
        <f t="shared" si="56"/>
        <v>14</v>
      </c>
      <c r="L370" s="19">
        <f t="shared" si="53"/>
        <v>70</v>
      </c>
      <c r="M370" s="8">
        <f t="shared" si="59"/>
        <v>1.477987041974832</v>
      </c>
      <c r="N370" s="9">
        <f t="shared" si="60"/>
        <v>6788117.7000000002</v>
      </c>
      <c r="O370" s="10">
        <f t="shared" si="57"/>
        <v>3244632.3000000003</v>
      </c>
      <c r="P370" s="11">
        <f t="shared" si="58"/>
        <v>46351.89</v>
      </c>
      <c r="Q370" s="23">
        <f t="shared" si="54"/>
        <v>10032750</v>
      </c>
      <c r="R370" s="3" t="e">
        <f>VLOOKUP(B370,Buylist!B:B,1,FALSE)</f>
        <v>#N/A</v>
      </c>
      <c r="S370" s="3" t="e">
        <f>VLOOKUP(B370,Buylist!B:O,13,FALSE)</f>
        <v>#N/A</v>
      </c>
      <c r="T370" s="78">
        <v>369</v>
      </c>
    </row>
    <row r="371" spans="1:20">
      <c r="A371" s="25" t="s">
        <v>1616</v>
      </c>
      <c r="B371" s="63">
        <f>VLOOKUP(A371,TypeIDs!B:C,2,FALSE)</f>
        <v>2873</v>
      </c>
      <c r="C371" s="36">
        <v>455000</v>
      </c>
      <c r="D371" s="36">
        <f t="shared" si="51"/>
        <v>479747.5</v>
      </c>
      <c r="E371" s="35">
        <f>INDEX(MARKET_INPUT[Column1.price],MATCH(B371,MARKET_INPUT[Column1.type_id]))</f>
        <v>417000</v>
      </c>
      <c r="F371" s="35">
        <f t="shared" si="52"/>
        <v>398443.5</v>
      </c>
      <c r="G371" s="18">
        <f>VLOOKUP(B371,TypeIDs!C:D,2,FALSE)</f>
        <v>5</v>
      </c>
      <c r="I371" s="15">
        <v>5</v>
      </c>
      <c r="J371" s="17">
        <f t="shared" si="55"/>
        <v>480</v>
      </c>
      <c r="K371" s="20">
        <f t="shared" si="56"/>
        <v>35</v>
      </c>
      <c r="L371" s="19">
        <f t="shared" si="53"/>
        <v>175</v>
      </c>
      <c r="M371" s="8">
        <f t="shared" si="59"/>
        <v>0.83052751707929695</v>
      </c>
      <c r="N371" s="9">
        <f t="shared" si="60"/>
        <v>16791162.5</v>
      </c>
      <c r="O371" s="10">
        <f t="shared" si="57"/>
        <v>-2845640</v>
      </c>
      <c r="P371" s="11">
        <f t="shared" si="58"/>
        <v>-16260.8</v>
      </c>
      <c r="Q371" s="23">
        <f t="shared" si="54"/>
        <v>13945522.5</v>
      </c>
      <c r="R371" s="3" t="e">
        <f>VLOOKUP(B371,Buylist!B:B,1,FALSE)</f>
        <v>#N/A</v>
      </c>
      <c r="S371" s="3" t="e">
        <f>VLOOKUP(B371,Buylist!B:O,13,FALSE)</f>
        <v>#N/A</v>
      </c>
      <c r="T371" s="78">
        <v>370</v>
      </c>
    </row>
    <row r="372" spans="1:20">
      <c r="A372" s="25" t="s">
        <v>1624</v>
      </c>
      <c r="B372" s="63">
        <f>VLOOKUP(A372,TypeIDs!B:C,2,FALSE)</f>
        <v>2881</v>
      </c>
      <c r="C372" s="36">
        <v>562700</v>
      </c>
      <c r="D372" s="36">
        <f t="shared" si="51"/>
        <v>592240.15</v>
      </c>
      <c r="E372" s="35">
        <f>INDEX(MARKET_INPUT[Column1.price],MATCH(B372,MARKET_INPUT[Column1.type_id]))</f>
        <v>974800</v>
      </c>
      <c r="F372" s="35">
        <f t="shared" si="52"/>
        <v>931421.4</v>
      </c>
      <c r="G372" s="18">
        <f>VLOOKUP(B372,TypeIDs!C:D,2,FALSE)</f>
        <v>5</v>
      </c>
      <c r="I372" s="15">
        <v>2</v>
      </c>
      <c r="J372" s="17">
        <f t="shared" si="55"/>
        <v>241.08</v>
      </c>
      <c r="K372" s="20">
        <f t="shared" si="56"/>
        <v>14</v>
      </c>
      <c r="L372" s="19">
        <f t="shared" si="53"/>
        <v>70</v>
      </c>
      <c r="M372" s="8">
        <f t="shared" si="59"/>
        <v>1.5727089762489084</v>
      </c>
      <c r="N372" s="9">
        <f t="shared" si="60"/>
        <v>8291362.1000000006</v>
      </c>
      <c r="O372" s="10">
        <f t="shared" si="57"/>
        <v>4748537.5</v>
      </c>
      <c r="P372" s="11">
        <f t="shared" si="58"/>
        <v>67836.25</v>
      </c>
      <c r="Q372" s="23">
        <f t="shared" si="54"/>
        <v>13039899.600000001</v>
      </c>
      <c r="R372" s="3" t="e">
        <f>VLOOKUP(B372,Buylist!B:B,1,FALSE)</f>
        <v>#N/A</v>
      </c>
      <c r="S372" s="3" t="e">
        <f>VLOOKUP(B372,Buylist!B:O,13,FALSE)</f>
        <v>#N/A</v>
      </c>
      <c r="T372" s="78">
        <v>371</v>
      </c>
    </row>
    <row r="373" spans="1:20">
      <c r="A373" s="25" t="s">
        <v>1632</v>
      </c>
      <c r="B373" s="63">
        <f>VLOOKUP(A373,TypeIDs!B:C,2,FALSE)</f>
        <v>2889</v>
      </c>
      <c r="C373" s="36">
        <v>734300</v>
      </c>
      <c r="D373" s="36">
        <f t="shared" si="51"/>
        <v>771476.35</v>
      </c>
      <c r="E373" s="35">
        <f>INDEX(MARKET_INPUT[Column1.price],MATCH(B373,MARKET_INPUT[Column1.type_id]))</f>
        <v>1119000</v>
      </c>
      <c r="F373" s="35">
        <f t="shared" si="52"/>
        <v>1069204.5</v>
      </c>
      <c r="G373" s="18">
        <f>VLOOKUP(B373,TypeIDs!C:D,2,FALSE)</f>
        <v>5</v>
      </c>
      <c r="I373" s="15">
        <v>5</v>
      </c>
      <c r="J373" s="17">
        <f t="shared" si="55"/>
        <v>759.3</v>
      </c>
      <c r="K373" s="20">
        <f t="shared" si="56"/>
        <v>35</v>
      </c>
      <c r="L373" s="19">
        <f t="shared" si="53"/>
        <v>175</v>
      </c>
      <c r="M373" s="8">
        <f t="shared" si="59"/>
        <v>1.3859199961217217</v>
      </c>
      <c r="N373" s="9">
        <f t="shared" si="60"/>
        <v>27001672.25</v>
      </c>
      <c r="O373" s="10">
        <f t="shared" si="57"/>
        <v>10420485.25</v>
      </c>
      <c r="P373" s="11">
        <f t="shared" si="58"/>
        <v>59545.630000000005</v>
      </c>
      <c r="Q373" s="23">
        <f t="shared" si="54"/>
        <v>37422157.5</v>
      </c>
      <c r="R373" s="3" t="e">
        <f>VLOOKUP(B373,Buylist!B:B,1,FALSE)</f>
        <v>#N/A</v>
      </c>
      <c r="S373" s="3" t="e">
        <f>VLOOKUP(B373,Buylist!B:O,13,FALSE)</f>
        <v>#N/A</v>
      </c>
      <c r="T373" s="78">
        <v>372</v>
      </c>
    </row>
    <row r="374" spans="1:20">
      <c r="A374" s="25" t="s">
        <v>10814</v>
      </c>
      <c r="B374" s="63">
        <f>VLOOKUP(A374,TypeIDs!B:C,2,FALSE)</f>
        <v>22291</v>
      </c>
      <c r="C374" s="36">
        <v>1120000</v>
      </c>
      <c r="D374" s="36">
        <f t="shared" si="51"/>
        <v>1174340</v>
      </c>
      <c r="E374" s="35">
        <f>INDEX(MARKET_INPUT[Column1.price],MATCH(B374,MARKET_INPUT[Column1.type_id]))</f>
        <v>2250000</v>
      </c>
      <c r="F374" s="35">
        <f t="shared" si="52"/>
        <v>2149875</v>
      </c>
      <c r="G374" s="18">
        <f>VLOOKUP(B374,TypeIDs!C:D,2,FALSE)</f>
        <v>5</v>
      </c>
      <c r="I374" s="15">
        <v>16</v>
      </c>
      <c r="J374" s="17">
        <f t="shared" si="55"/>
        <v>3642</v>
      </c>
      <c r="K374" s="20">
        <f t="shared" si="56"/>
        <v>112</v>
      </c>
      <c r="L374" s="19">
        <f t="shared" si="53"/>
        <v>560</v>
      </c>
      <c r="M374" s="8">
        <f t="shared" si="59"/>
        <v>1.830709164296541</v>
      </c>
      <c r="N374" s="9">
        <f t="shared" si="60"/>
        <v>131526080</v>
      </c>
      <c r="O374" s="10">
        <f t="shared" si="57"/>
        <v>109259920</v>
      </c>
      <c r="P374" s="11">
        <f t="shared" si="58"/>
        <v>195107</v>
      </c>
      <c r="Q374" s="23">
        <f t="shared" si="54"/>
        <v>240786000</v>
      </c>
      <c r="R374" s="3" t="e">
        <f>VLOOKUP(B374,Buylist!B:B,1,FALSE)</f>
        <v>#N/A</v>
      </c>
      <c r="S374" s="3" t="e">
        <f>VLOOKUP(B374,Buylist!B:O,13,FALSE)</f>
        <v>#N/A</v>
      </c>
      <c r="T374" s="78">
        <v>373</v>
      </c>
    </row>
    <row r="375" spans="1:20">
      <c r="A375" s="25" t="s">
        <v>6486</v>
      </c>
      <c r="B375" s="63">
        <f>VLOOKUP(A375,TypeIDs!B:C,2,FALSE)</f>
        <v>15681</v>
      </c>
      <c r="C375" s="36">
        <v>120800000</v>
      </c>
      <c r="D375" s="36">
        <f t="shared" si="51"/>
        <v>126180100</v>
      </c>
      <c r="E375" s="35">
        <f>INDEX(MARKET_INPUT[Column1.price],MATCH(B375,MARKET_INPUT[Column1.type_id]))</f>
        <v>149900000</v>
      </c>
      <c r="F375" s="35">
        <f t="shared" si="52"/>
        <v>143229450</v>
      </c>
      <c r="G375" s="18">
        <f>VLOOKUP(B375,TypeIDs!C:D,2,FALSE)</f>
        <v>5</v>
      </c>
      <c r="I375" s="15">
        <v>1</v>
      </c>
      <c r="J375" s="17">
        <f t="shared" si="55"/>
        <v>24173</v>
      </c>
      <c r="K375" s="20">
        <f t="shared" si="56"/>
        <v>7</v>
      </c>
      <c r="L375" s="19">
        <f t="shared" si="53"/>
        <v>35</v>
      </c>
      <c r="M375" s="8">
        <f t="shared" si="59"/>
        <v>1.1351191669684839</v>
      </c>
      <c r="N375" s="9">
        <f t="shared" si="60"/>
        <v>883260700</v>
      </c>
      <c r="O375" s="10">
        <f t="shared" si="57"/>
        <v>119345450</v>
      </c>
      <c r="P375" s="11">
        <f t="shared" si="58"/>
        <v>3409870</v>
      </c>
      <c r="Q375" s="23">
        <f t="shared" si="54"/>
        <v>1002606150</v>
      </c>
      <c r="R375" s="3" t="e">
        <f>VLOOKUP(B375,Buylist!B:B,1,FALSE)</f>
        <v>#N/A</v>
      </c>
      <c r="S375" s="3" t="e">
        <f>VLOOKUP(B375,Buylist!B:O,13,FALSE)</f>
        <v>#N/A</v>
      </c>
      <c r="T375" s="78">
        <v>374</v>
      </c>
    </row>
    <row r="376" spans="1:20">
      <c r="A376" s="25" t="s">
        <v>31406</v>
      </c>
      <c r="B376" s="63">
        <f>VLOOKUP(A376,TypeIDs!B:C,2,FALSE)</f>
        <v>47911</v>
      </c>
      <c r="C376" s="36">
        <v>2853000</v>
      </c>
      <c r="D376" s="36">
        <f t="shared" si="51"/>
        <v>2984458.5</v>
      </c>
      <c r="E376" s="35">
        <f>INDEX(MARKET_INPUT[Column1.price],MATCH(B376,MARKET_INPUT[Column1.type_id]))</f>
        <v>5848000</v>
      </c>
      <c r="F376" s="35">
        <f t="shared" si="52"/>
        <v>5587764</v>
      </c>
      <c r="G376" s="18">
        <f>VLOOKUP(B376,TypeIDs!C:D,2,FALSE)</f>
        <v>5</v>
      </c>
      <c r="I376" s="15">
        <v>4</v>
      </c>
      <c r="J376" s="17">
        <f t="shared" si="55"/>
        <v>2304.4</v>
      </c>
      <c r="K376" s="20">
        <f t="shared" si="56"/>
        <v>28</v>
      </c>
      <c r="L376" s="19">
        <f t="shared" si="53"/>
        <v>140</v>
      </c>
      <c r="M376" s="8">
        <f t="shared" si="59"/>
        <v>1.8722873847969406</v>
      </c>
      <c r="N376" s="9">
        <f t="shared" si="60"/>
        <v>83564838</v>
      </c>
      <c r="O376" s="10">
        <f t="shared" si="57"/>
        <v>72892554</v>
      </c>
      <c r="P376" s="11">
        <f t="shared" si="58"/>
        <v>520661.1</v>
      </c>
      <c r="Q376" s="23">
        <f t="shared" si="54"/>
        <v>156457392</v>
      </c>
      <c r="R376" s="3" t="e">
        <f>VLOOKUP(B376,Buylist!B:B,1,FALSE)</f>
        <v>#N/A</v>
      </c>
      <c r="S376" s="3" t="e">
        <f>VLOOKUP(B376,Buylist!B:O,13,FALSE)</f>
        <v>#N/A</v>
      </c>
      <c r="T376" s="78">
        <v>375</v>
      </c>
    </row>
    <row r="377" spans="1:20">
      <c r="A377" s="25" t="s">
        <v>251</v>
      </c>
      <c r="B377" s="63">
        <f>VLOOKUP(A377,TypeIDs!B:C,2,FALSE)</f>
        <v>519</v>
      </c>
      <c r="C377" s="36">
        <v>1115000</v>
      </c>
      <c r="D377" s="36">
        <f t="shared" si="51"/>
        <v>1169117.5</v>
      </c>
      <c r="E377" s="35">
        <f>INDEX(MARKET_INPUT[Column1.price],MATCH(B377,MARKET_INPUT[Column1.type_id]))</f>
        <v>1452000</v>
      </c>
      <c r="F377" s="35">
        <f t="shared" si="52"/>
        <v>1387386</v>
      </c>
      <c r="G377" s="18">
        <f>VLOOKUP(B377,TypeIDs!C:D,2,FALSE)</f>
        <v>5</v>
      </c>
      <c r="I377" s="15">
        <v>10</v>
      </c>
      <c r="J377" s="17">
        <f t="shared" si="55"/>
        <v>2270</v>
      </c>
      <c r="K377" s="20">
        <f t="shared" si="56"/>
        <v>70</v>
      </c>
      <c r="L377" s="19">
        <f t="shared" si="53"/>
        <v>350</v>
      </c>
      <c r="M377" s="8">
        <f t="shared" si="59"/>
        <v>1.1866950926660493</v>
      </c>
      <c r="N377" s="9">
        <f t="shared" si="60"/>
        <v>81838225</v>
      </c>
      <c r="O377" s="10">
        <f t="shared" si="57"/>
        <v>15278795</v>
      </c>
      <c r="P377" s="11">
        <f t="shared" si="58"/>
        <v>43653.7</v>
      </c>
      <c r="Q377" s="23">
        <f t="shared" si="54"/>
        <v>97117020</v>
      </c>
      <c r="R377" s="3" t="e">
        <f>VLOOKUP(B377,Buylist!B:B,1,FALSE)</f>
        <v>#N/A</v>
      </c>
      <c r="S377" s="3" t="e">
        <f>VLOOKUP(B377,Buylist!B:O,13,FALSE)</f>
        <v>#N/A</v>
      </c>
      <c r="T377" s="78">
        <v>376</v>
      </c>
    </row>
    <row r="378" spans="1:20">
      <c r="A378" s="45" t="s">
        <v>6609</v>
      </c>
      <c r="B378" s="63">
        <f>VLOOKUP(A378,TypeIDs!B:C,2,FALSE)</f>
        <v>15806</v>
      </c>
      <c r="C378" s="36">
        <v>93480000</v>
      </c>
      <c r="D378" s="36">
        <f t="shared" si="51"/>
        <v>97644360</v>
      </c>
      <c r="E378" s="35">
        <f>INDEX(MARKET_INPUT[Column1.price],MATCH(B378,MARKET_INPUT[Column1.type_id]))</f>
        <v>113600000</v>
      </c>
      <c r="F378" s="35">
        <f t="shared" si="52"/>
        <v>108544800</v>
      </c>
      <c r="G378" s="18">
        <f>VLOOKUP(B378,TypeIDs!C:D,2,FALSE)</f>
        <v>5</v>
      </c>
      <c r="I378" s="15">
        <v>0.2</v>
      </c>
      <c r="J378" s="17">
        <f t="shared" si="55"/>
        <v>3749.7999999999997</v>
      </c>
      <c r="K378" s="20">
        <f t="shared" si="56"/>
        <v>1.4000000000000001</v>
      </c>
      <c r="L378" s="19">
        <f t="shared" si="53"/>
        <v>7</v>
      </c>
      <c r="M378" s="8">
        <f t="shared" si="59"/>
        <v>1.1116340974532477</v>
      </c>
      <c r="N378" s="9">
        <f t="shared" si="60"/>
        <v>136702104</v>
      </c>
      <c r="O378" s="10">
        <f t="shared" si="57"/>
        <v>15260616.000000002</v>
      </c>
      <c r="P378" s="11">
        <f t="shared" si="58"/>
        <v>2180088</v>
      </c>
      <c r="Q378" s="23">
        <f t="shared" si="54"/>
        <v>151962720</v>
      </c>
      <c r="R378" s="3" t="e">
        <f>VLOOKUP(B378,Buylist!B:B,1,FALSE)</f>
        <v>#N/A</v>
      </c>
      <c r="S378" s="3" t="e">
        <f>VLOOKUP(B378,Buylist!B:O,13,FALSE)</f>
        <v>#N/A</v>
      </c>
      <c r="T378" s="78">
        <v>377</v>
      </c>
    </row>
    <row r="379" spans="1:20">
      <c r="A379" s="25" t="s">
        <v>1152</v>
      </c>
      <c r="B379" s="63">
        <f>VLOOKUP(A379,TypeIDs!B:C,2,FALSE)</f>
        <v>2364</v>
      </c>
      <c r="C379" s="36">
        <v>1179000</v>
      </c>
      <c r="D379" s="36">
        <f t="shared" si="51"/>
        <v>1235965.5</v>
      </c>
      <c r="E379" s="35">
        <f>INDEX(MARKET_INPUT[Column1.price],MATCH(B379,MARKET_INPUT[Column1.type_id]))</f>
        <v>1164000</v>
      </c>
      <c r="F379" s="35">
        <f t="shared" si="52"/>
        <v>1112202</v>
      </c>
      <c r="G379" s="18">
        <f>VLOOKUP(B379,TypeIDs!C:D,2,FALSE)</f>
        <v>5</v>
      </c>
      <c r="I379" s="15">
        <v>4</v>
      </c>
      <c r="J379" s="17">
        <f t="shared" si="55"/>
        <v>965.2</v>
      </c>
      <c r="K379" s="20">
        <f t="shared" si="56"/>
        <v>28</v>
      </c>
      <c r="L379" s="19">
        <f t="shared" si="53"/>
        <v>140</v>
      </c>
      <c r="M379" s="8">
        <f t="shared" si="59"/>
        <v>0.89986492341412438</v>
      </c>
      <c r="N379" s="9">
        <f t="shared" si="60"/>
        <v>34607034</v>
      </c>
      <c r="O379" s="10">
        <f t="shared" si="57"/>
        <v>-3465378</v>
      </c>
      <c r="P379" s="11">
        <f t="shared" si="58"/>
        <v>-24752.7</v>
      </c>
      <c r="Q379" s="23">
        <f t="shared" si="54"/>
        <v>31141656</v>
      </c>
      <c r="R379" s="3" t="e">
        <f>VLOOKUP(B379,Buylist!B:B,1,FALSE)</f>
        <v>#N/A</v>
      </c>
      <c r="S379" s="3" t="e">
        <f>VLOOKUP(B379,Buylist!B:O,13,FALSE)</f>
        <v>#N/A</v>
      </c>
      <c r="T379" s="78">
        <v>378</v>
      </c>
    </row>
    <row r="380" spans="1:20">
      <c r="A380" s="25" t="s">
        <v>3861</v>
      </c>
      <c r="B380" s="63">
        <f>VLOOKUP(A380,TypeIDs!B:C,2,FALSE)</f>
        <v>10190</v>
      </c>
      <c r="C380" s="36">
        <v>1367000</v>
      </c>
      <c r="D380" s="36">
        <f t="shared" si="51"/>
        <v>1432331.5</v>
      </c>
      <c r="E380" s="35">
        <f>INDEX(MARKET_INPUT[Column1.price],MATCH(B380,MARKET_INPUT[Column1.type_id]))</f>
        <v>1641000</v>
      </c>
      <c r="F380" s="35">
        <f t="shared" si="52"/>
        <v>1567975.5</v>
      </c>
      <c r="G380" s="18">
        <f>VLOOKUP(B380,TypeIDs!C:D,2,FALSE)</f>
        <v>5</v>
      </c>
      <c r="I380" s="15">
        <v>12</v>
      </c>
      <c r="J380" s="17">
        <f t="shared" si="55"/>
        <v>3326.7999999999997</v>
      </c>
      <c r="K380" s="20">
        <f t="shared" si="56"/>
        <v>84</v>
      </c>
      <c r="L380" s="19">
        <f t="shared" si="53"/>
        <v>420</v>
      </c>
      <c r="M380" s="8">
        <f t="shared" si="59"/>
        <v>1.0947015408095124</v>
      </c>
      <c r="N380" s="9">
        <f t="shared" si="60"/>
        <v>120315846</v>
      </c>
      <c r="O380" s="10">
        <f t="shared" si="57"/>
        <v>11394096</v>
      </c>
      <c r="P380" s="11">
        <f t="shared" si="58"/>
        <v>27128.799999999999</v>
      </c>
      <c r="Q380" s="23">
        <f t="shared" si="54"/>
        <v>131709942</v>
      </c>
      <c r="R380" s="3" t="e">
        <f>VLOOKUP(B380,Buylist!B:B,1,FALSE)</f>
        <v>#N/A</v>
      </c>
      <c r="S380" s="3" t="e">
        <f>VLOOKUP(B380,Buylist!B:O,13,FALSE)</f>
        <v>#N/A</v>
      </c>
      <c r="T380" s="78">
        <v>379</v>
      </c>
    </row>
    <row r="381" spans="1:20">
      <c r="A381" s="25" t="s">
        <v>21246</v>
      </c>
      <c r="B381" s="63">
        <f>VLOOKUP(A381,TypeIDs!B:C,2,FALSE)</f>
        <v>35790</v>
      </c>
      <c r="C381" s="36">
        <v>1841000</v>
      </c>
      <c r="D381" s="36">
        <f t="shared" si="51"/>
        <v>1927424.5</v>
      </c>
      <c r="E381" s="35">
        <f>INDEX(MARKET_INPUT[Column1.price],MATCH(B381,MARKET_INPUT[Column1.type_id]))</f>
        <v>2647000</v>
      </c>
      <c r="F381" s="35">
        <f t="shared" si="52"/>
        <v>2529208.5</v>
      </c>
      <c r="G381" s="18">
        <f>VLOOKUP(B381,TypeIDs!C:D,2,FALSE)</f>
        <v>5</v>
      </c>
      <c r="I381" s="15">
        <v>5</v>
      </c>
      <c r="J381" s="17">
        <f t="shared" si="55"/>
        <v>1866</v>
      </c>
      <c r="K381" s="20">
        <f t="shared" si="56"/>
        <v>35</v>
      </c>
      <c r="L381" s="19">
        <f t="shared" si="53"/>
        <v>175</v>
      </c>
      <c r="M381" s="8">
        <f t="shared" si="59"/>
        <v>1.3122218276254141</v>
      </c>
      <c r="N381" s="9">
        <f t="shared" si="60"/>
        <v>67459857.5</v>
      </c>
      <c r="O381" s="10">
        <f t="shared" si="57"/>
        <v>21062440</v>
      </c>
      <c r="P381" s="11">
        <f t="shared" si="58"/>
        <v>120356.8</v>
      </c>
      <c r="Q381" s="23">
        <f t="shared" si="54"/>
        <v>88522297.5</v>
      </c>
      <c r="R381" s="3" t="e">
        <f>VLOOKUP(B381,Buylist!B:B,1,FALSE)</f>
        <v>#N/A</v>
      </c>
      <c r="S381" s="3" t="e">
        <f>VLOOKUP(B381,Buylist!B:O,13,FALSE)</f>
        <v>#N/A</v>
      </c>
      <c r="T381" s="78">
        <v>380</v>
      </c>
    </row>
    <row r="382" spans="1:20">
      <c r="A382" s="25" t="s">
        <v>868</v>
      </c>
      <c r="B382" s="63">
        <f>VLOOKUP(A382,TypeIDs!B:C,2,FALSE)</f>
        <v>1978</v>
      </c>
      <c r="C382" s="36">
        <v>1469000</v>
      </c>
      <c r="D382" s="36">
        <f t="shared" si="51"/>
        <v>1538870.5</v>
      </c>
      <c r="E382" s="35">
        <f>INDEX(MARKET_INPUT[Column1.price],MATCH(B382,MARKET_INPUT[Column1.type_id]))</f>
        <v>1933000</v>
      </c>
      <c r="F382" s="35">
        <f t="shared" si="52"/>
        <v>1846981.5</v>
      </c>
      <c r="G382" s="18">
        <f>VLOOKUP(B382,TypeIDs!C:D,2,FALSE)</f>
        <v>5</v>
      </c>
      <c r="I382" s="15">
        <v>5</v>
      </c>
      <c r="J382" s="17">
        <f t="shared" si="55"/>
        <v>1494</v>
      </c>
      <c r="K382" s="20">
        <f t="shared" si="56"/>
        <v>35</v>
      </c>
      <c r="L382" s="19">
        <f t="shared" si="53"/>
        <v>175</v>
      </c>
      <c r="M382" s="8">
        <f t="shared" si="59"/>
        <v>1.2002189268037824</v>
      </c>
      <c r="N382" s="9">
        <f t="shared" si="60"/>
        <v>53860467.5</v>
      </c>
      <c r="O382" s="10">
        <f t="shared" si="57"/>
        <v>10783885</v>
      </c>
      <c r="P382" s="11">
        <f t="shared" si="58"/>
        <v>61622.2</v>
      </c>
      <c r="Q382" s="23">
        <f t="shared" si="54"/>
        <v>64644352.5</v>
      </c>
      <c r="R382" s="3" t="e">
        <f>VLOOKUP(B382,Buylist!B:B,1,FALSE)</f>
        <v>#N/A</v>
      </c>
      <c r="S382" s="3" t="e">
        <f>VLOOKUP(B382,Buylist!B:O,13,FALSE)</f>
        <v>#N/A</v>
      </c>
      <c r="T382" s="78">
        <v>381</v>
      </c>
    </row>
    <row r="383" spans="1:20">
      <c r="A383" s="25" t="s">
        <v>876</v>
      </c>
      <c r="B383" s="63">
        <f>VLOOKUP(A383,TypeIDs!B:C,2,FALSE)</f>
        <v>1999</v>
      </c>
      <c r="C383" s="36">
        <v>885600</v>
      </c>
      <c r="D383" s="36">
        <f t="shared" si="51"/>
        <v>929509.2</v>
      </c>
      <c r="E383" s="35">
        <f>INDEX(MARKET_INPUT[Column1.price],MATCH(B383,MARKET_INPUT[Column1.type_id]))</f>
        <v>1749000</v>
      </c>
      <c r="F383" s="35">
        <f t="shared" si="52"/>
        <v>1671169.5</v>
      </c>
      <c r="G383" s="18">
        <f>VLOOKUP(B383,TypeIDs!C:D,2,FALSE)</f>
        <v>5</v>
      </c>
      <c r="I383" s="15">
        <v>4</v>
      </c>
      <c r="J383" s="17">
        <f t="shared" si="55"/>
        <v>730.48</v>
      </c>
      <c r="K383" s="20">
        <f t="shared" si="56"/>
        <v>28</v>
      </c>
      <c r="L383" s="19">
        <f t="shared" si="53"/>
        <v>140</v>
      </c>
      <c r="M383" s="8">
        <f t="shared" si="59"/>
        <v>1.7979052816260452</v>
      </c>
      <c r="N383" s="9">
        <f t="shared" si="60"/>
        <v>26026257.599999998</v>
      </c>
      <c r="O383" s="10">
        <f t="shared" si="57"/>
        <v>20766488.400000002</v>
      </c>
      <c r="P383" s="11">
        <f t="shared" si="58"/>
        <v>148332.06</v>
      </c>
      <c r="Q383" s="23">
        <f t="shared" si="54"/>
        <v>46792746</v>
      </c>
      <c r="R383" s="3" t="e">
        <f>VLOOKUP(B383,Buylist!B:B,1,FALSE)</f>
        <v>#N/A</v>
      </c>
      <c r="S383" s="3" t="e">
        <f>VLOOKUP(B383,Buylist!B:O,13,FALSE)</f>
        <v>#N/A</v>
      </c>
      <c r="T383" s="78">
        <v>382</v>
      </c>
    </row>
    <row r="384" spans="1:20">
      <c r="A384" s="13" t="s">
        <v>3729</v>
      </c>
      <c r="B384" s="63">
        <f>VLOOKUP(A384,TypeIDs!B:C,2,FALSE)</f>
        <v>9950</v>
      </c>
      <c r="C384" s="36">
        <v>2267000</v>
      </c>
      <c r="D384" s="36">
        <f t="shared" si="51"/>
        <v>2368781.5</v>
      </c>
      <c r="E384" s="35">
        <f>INDEX(MARKET_INPUT[Column1.price],MATCH(B384,MARKET_INPUT[Column1.type_id]))</f>
        <v>10000000</v>
      </c>
      <c r="F384" s="35">
        <f t="shared" si="52"/>
        <v>9555000</v>
      </c>
      <c r="G384" s="18">
        <f>VLOOKUP(B384,TypeIDs!C:D,2,FALSE)</f>
        <v>1</v>
      </c>
      <c r="I384" s="15">
        <v>2</v>
      </c>
      <c r="J384" s="17">
        <f t="shared" si="55"/>
        <v>914.8</v>
      </c>
      <c r="K384" s="20">
        <f t="shared" si="56"/>
        <v>14</v>
      </c>
      <c r="L384" s="19">
        <f t="shared" si="53"/>
        <v>14</v>
      </c>
      <c r="M384" s="8">
        <f t="shared" si="59"/>
        <v>4.033719446052749</v>
      </c>
      <c r="N384" s="9">
        <f t="shared" si="60"/>
        <v>33162941</v>
      </c>
      <c r="O384" s="10">
        <f t="shared" si="57"/>
        <v>100607059</v>
      </c>
      <c r="P384" s="11">
        <f t="shared" si="58"/>
        <v>7186218.5</v>
      </c>
      <c r="Q384" s="23">
        <f t="shared" si="54"/>
        <v>133770000</v>
      </c>
      <c r="R384" s="3" t="e">
        <f>VLOOKUP(B384,Buylist!B:B,1,FALSE)</f>
        <v>#N/A</v>
      </c>
      <c r="S384" s="3" t="e">
        <f>VLOOKUP(B384,Buylist!B:O,13,FALSE)</f>
        <v>#N/A</v>
      </c>
      <c r="T384" s="78">
        <v>383</v>
      </c>
    </row>
    <row r="385" spans="1:20">
      <c r="A385" s="13" t="s">
        <v>6385</v>
      </c>
      <c r="B385" s="63">
        <f>VLOOKUP(A385,TypeIDs!B:C,2,FALSE)</f>
        <v>15479</v>
      </c>
      <c r="C385" s="36">
        <v>1447000</v>
      </c>
      <c r="D385" s="36">
        <f t="shared" si="51"/>
        <v>1512291.5</v>
      </c>
      <c r="E385" s="35">
        <f>INDEX(MARKET_INPUT[Column1.price],MATCH(B385,MARKET_INPUT[Column1.type_id]))</f>
        <v>2600000</v>
      </c>
      <c r="F385" s="35">
        <f t="shared" si="52"/>
        <v>2484300</v>
      </c>
      <c r="G385" s="18">
        <f>VLOOKUP(B385,TypeIDs!C:D,2,FALSE)</f>
        <v>1</v>
      </c>
      <c r="I385" s="15">
        <v>2</v>
      </c>
      <c r="J385" s="17">
        <f t="shared" si="55"/>
        <v>586.79999999999995</v>
      </c>
      <c r="K385" s="20">
        <f t="shared" si="56"/>
        <v>14</v>
      </c>
      <c r="L385" s="19">
        <f t="shared" si="53"/>
        <v>14</v>
      </c>
      <c r="M385" s="8">
        <f t="shared" si="59"/>
        <v>1.6427388502811793</v>
      </c>
      <c r="N385" s="9">
        <f t="shared" si="60"/>
        <v>21172081</v>
      </c>
      <c r="O385" s="10">
        <f t="shared" si="57"/>
        <v>13608119</v>
      </c>
      <c r="P385" s="11">
        <f t="shared" si="58"/>
        <v>972008.5</v>
      </c>
      <c r="Q385" s="23">
        <f t="shared" si="54"/>
        <v>34780200</v>
      </c>
      <c r="R385" s="3" t="e">
        <f>VLOOKUP(B385,Buylist!B:B,1,FALSE)</f>
        <v>#N/A</v>
      </c>
      <c r="S385" s="3" t="e">
        <f>VLOOKUP(B385,Buylist!B:O,13,FALSE)</f>
        <v>#N/A</v>
      </c>
      <c r="T385" s="78">
        <v>384</v>
      </c>
    </row>
    <row r="386" spans="1:20">
      <c r="A386" s="13" t="s">
        <v>6379</v>
      </c>
      <c r="B386" s="63">
        <f>VLOOKUP(A386,TypeIDs!B:C,2,FALSE)</f>
        <v>15463</v>
      </c>
      <c r="C386" s="36">
        <v>1605000</v>
      </c>
      <c r="D386" s="36">
        <f t="shared" ref="D386:D400" si="61">(C386+(C386*TaxRate))+(G386*ShippingCost)</f>
        <v>1677322.5</v>
      </c>
      <c r="E386" s="35">
        <f>INDEX(MARKET_INPUT[Column1.price],MATCH(B386,MARKET_INPUT[Column1.type_id]))</f>
        <v>2796000</v>
      </c>
      <c r="F386" s="35">
        <f t="shared" ref="F386:F400" si="62">E386-(E386*TaxRate)</f>
        <v>2671578</v>
      </c>
      <c r="G386" s="18">
        <f>VLOOKUP(B386,TypeIDs!C:D,2,FALSE)</f>
        <v>1</v>
      </c>
      <c r="I386" s="15">
        <v>3</v>
      </c>
      <c r="J386" s="17">
        <f t="shared" si="55"/>
        <v>974</v>
      </c>
      <c r="K386" s="20">
        <f t="shared" si="56"/>
        <v>21</v>
      </c>
      <c r="L386" s="19">
        <f t="shared" ref="L386:L400" si="63">(G386*I386)*7</f>
        <v>21</v>
      </c>
      <c r="M386" s="8">
        <f t="shared" si="59"/>
        <v>1.5927634667751729</v>
      </c>
      <c r="N386" s="9">
        <f t="shared" si="60"/>
        <v>35223772.5</v>
      </c>
      <c r="O386" s="10">
        <f t="shared" si="57"/>
        <v>20879365.5</v>
      </c>
      <c r="P386" s="11">
        <f t="shared" si="58"/>
        <v>994255.5</v>
      </c>
      <c r="Q386" s="23">
        <f t="shared" ref="Q386:Q400" si="64">N386+O386</f>
        <v>56103138</v>
      </c>
      <c r="R386" s="3" t="e">
        <f>VLOOKUP(B386,Buylist!B:B,1,FALSE)</f>
        <v>#N/A</v>
      </c>
      <c r="S386" s="3" t="e">
        <f>VLOOKUP(B386,Buylist!B:O,13,FALSE)</f>
        <v>#N/A</v>
      </c>
      <c r="T386" s="78">
        <v>385</v>
      </c>
    </row>
    <row r="387" spans="1:20">
      <c r="A387" s="13" t="s">
        <v>2574</v>
      </c>
      <c r="B387" s="63">
        <f>VLOOKUP(A387,TypeIDs!B:C,2,FALSE)</f>
        <v>3898</v>
      </c>
      <c r="C387" s="36">
        <v>19980000</v>
      </c>
      <c r="D387" s="36">
        <f t="shared" si="61"/>
        <v>20870010</v>
      </c>
      <c r="E387" s="35">
        <f>INDEX(MARKET_INPUT[Column1.price],MATCH(B387,MARKET_INPUT[Column1.type_id]))</f>
        <v>20300000</v>
      </c>
      <c r="F387" s="35">
        <f t="shared" si="62"/>
        <v>19396650</v>
      </c>
      <c r="G387" s="18">
        <f>VLOOKUP(B387,TypeIDs!C:D,2,FALSE)</f>
        <v>1</v>
      </c>
      <c r="I387" s="15">
        <v>2</v>
      </c>
      <c r="J387" s="17">
        <f t="shared" ref="J387:J400" si="65">((C387/(5000/I387))+(G387*2)+(I387*3))</f>
        <v>8000</v>
      </c>
      <c r="K387" s="20">
        <f t="shared" ref="K387:K400" si="66">I387*7</f>
        <v>14</v>
      </c>
      <c r="L387" s="19">
        <f t="shared" si="63"/>
        <v>14</v>
      </c>
      <c r="M387" s="8">
        <f t="shared" si="59"/>
        <v>0.92940300459846448</v>
      </c>
      <c r="N387" s="9">
        <f t="shared" si="60"/>
        <v>292180140</v>
      </c>
      <c r="O387" s="10">
        <f t="shared" ref="O387:O400" si="67">(F387-D387)*K387</f>
        <v>-20627040</v>
      </c>
      <c r="P387" s="11">
        <f t="shared" ref="P387:P400" si="68">(F387-D387)/G387</f>
        <v>-1473360</v>
      </c>
      <c r="Q387" s="23">
        <f t="shared" si="64"/>
        <v>271553100</v>
      </c>
      <c r="R387" s="3" t="e">
        <f>VLOOKUP(B387,Buylist!B:B,1,FALSE)</f>
        <v>#N/A</v>
      </c>
      <c r="S387" s="3" t="e">
        <f>VLOOKUP(B387,Buylist!B:O,13,FALSE)</f>
        <v>#N/A</v>
      </c>
      <c r="T387" s="78">
        <v>386</v>
      </c>
    </row>
    <row r="388" spans="1:20">
      <c r="A388" s="13" t="s">
        <v>6382</v>
      </c>
      <c r="B388" s="63">
        <f>VLOOKUP(A388,TypeIDs!B:C,2,FALSE)</f>
        <v>15466</v>
      </c>
      <c r="C388" s="36">
        <v>3600000</v>
      </c>
      <c r="D388" s="36">
        <f t="shared" si="61"/>
        <v>3761100</v>
      </c>
      <c r="E388" s="35">
        <f>INDEX(MARKET_INPUT[Column1.price],MATCH(B388,MARKET_INPUT[Column1.type_id]))</f>
        <v>3960000</v>
      </c>
      <c r="F388" s="35">
        <f t="shared" si="62"/>
        <v>3783780</v>
      </c>
      <c r="G388" s="18">
        <f>VLOOKUP(B388,TypeIDs!C:D,2,FALSE)</f>
        <v>1</v>
      </c>
      <c r="I388" s="15">
        <v>5</v>
      </c>
      <c r="J388" s="17">
        <f t="shared" si="65"/>
        <v>3617</v>
      </c>
      <c r="K388" s="20">
        <f t="shared" si="66"/>
        <v>35</v>
      </c>
      <c r="L388" s="19">
        <f t="shared" si="63"/>
        <v>35</v>
      </c>
      <c r="M388" s="8">
        <f t="shared" ref="M388:M400" si="69">F388/D388</f>
        <v>1.0060301507537688</v>
      </c>
      <c r="N388" s="9">
        <f t="shared" ref="N388:N400" si="70">D388*K388</f>
        <v>131638500</v>
      </c>
      <c r="O388" s="10">
        <f t="shared" si="67"/>
        <v>793800</v>
      </c>
      <c r="P388" s="11">
        <f t="shared" si="68"/>
        <v>22680</v>
      </c>
      <c r="Q388" s="23">
        <f t="shared" si="64"/>
        <v>132432300</v>
      </c>
      <c r="R388" s="3" t="e">
        <f>VLOOKUP(B388,Buylist!B:B,1,FALSE)</f>
        <v>#N/A</v>
      </c>
      <c r="S388" s="3" t="e">
        <f>VLOOKUP(B388,Buylist!B:O,13,FALSE)</f>
        <v>#N/A</v>
      </c>
      <c r="T388" s="78">
        <v>387</v>
      </c>
    </row>
    <row r="389" spans="1:20">
      <c r="A389" s="13" t="s">
        <v>6376</v>
      </c>
      <c r="B389" s="63">
        <f>VLOOKUP(A389,TypeIDs!B:C,2,FALSE)</f>
        <v>15460</v>
      </c>
      <c r="C389" s="36">
        <v>3650000</v>
      </c>
      <c r="D389" s="36">
        <f t="shared" si="61"/>
        <v>3813325</v>
      </c>
      <c r="E389" s="35">
        <f>INDEX(MARKET_INPUT[Column1.price],MATCH(B389,MARKET_INPUT[Column1.type_id]))</f>
        <v>3599000</v>
      </c>
      <c r="F389" s="35">
        <f t="shared" si="62"/>
        <v>3438844.5</v>
      </c>
      <c r="G389" s="18">
        <f>VLOOKUP(B389,TypeIDs!C:D,2,FALSE)</f>
        <v>1</v>
      </c>
      <c r="I389" s="15">
        <v>2</v>
      </c>
      <c r="J389" s="17">
        <f t="shared" si="65"/>
        <v>1468</v>
      </c>
      <c r="K389" s="20">
        <f t="shared" si="66"/>
        <v>14</v>
      </c>
      <c r="L389" s="19">
        <f t="shared" si="63"/>
        <v>14</v>
      </c>
      <c r="M389" s="8">
        <f t="shared" si="69"/>
        <v>0.90179685707355128</v>
      </c>
      <c r="N389" s="9">
        <f t="shared" si="70"/>
        <v>53386550</v>
      </c>
      <c r="O389" s="10">
        <f t="shared" si="67"/>
        <v>-5242727</v>
      </c>
      <c r="P389" s="11">
        <f t="shared" si="68"/>
        <v>-374480.5</v>
      </c>
      <c r="Q389" s="23">
        <f t="shared" si="64"/>
        <v>48143823</v>
      </c>
      <c r="R389" s="3" t="e">
        <f>VLOOKUP(B389,Buylist!B:B,1,FALSE)</f>
        <v>#N/A</v>
      </c>
      <c r="S389" s="3" t="e">
        <f>VLOOKUP(B389,Buylist!B:O,13,FALSE)</f>
        <v>#N/A</v>
      </c>
      <c r="T389" s="78">
        <v>388</v>
      </c>
    </row>
    <row r="390" spans="1:20">
      <c r="A390" s="13" t="s">
        <v>29742</v>
      </c>
      <c r="B390" s="63">
        <f>VLOOKUP(A390,TypeIDs!B:C,2,FALSE)</f>
        <v>46002</v>
      </c>
      <c r="C390" s="36">
        <v>4249000</v>
      </c>
      <c r="D390" s="36">
        <f t="shared" si="61"/>
        <v>4438980.5</v>
      </c>
      <c r="E390" s="35">
        <f>INDEX(MARKET_INPUT[Column1.price],MATCH(B390,MARKET_INPUT[Column1.type_id]))</f>
        <v>5094000</v>
      </c>
      <c r="F390" s="35">
        <f t="shared" si="62"/>
        <v>4867317</v>
      </c>
      <c r="G390" s="18">
        <f>VLOOKUP(B390,TypeIDs!C:D,2,FALSE)</f>
        <v>1</v>
      </c>
      <c r="I390" s="15">
        <v>3</v>
      </c>
      <c r="J390" s="17">
        <f t="shared" si="65"/>
        <v>2560.4</v>
      </c>
      <c r="K390" s="20">
        <f t="shared" si="66"/>
        <v>21</v>
      </c>
      <c r="L390" s="19">
        <f t="shared" si="63"/>
        <v>21</v>
      </c>
      <c r="M390" s="8">
        <f t="shared" si="69"/>
        <v>1.0964943414371835</v>
      </c>
      <c r="N390" s="9">
        <f t="shared" si="70"/>
        <v>93218590.5</v>
      </c>
      <c r="O390" s="10">
        <f t="shared" si="67"/>
        <v>8995066.5</v>
      </c>
      <c r="P390" s="11">
        <f t="shared" si="68"/>
        <v>428336.5</v>
      </c>
      <c r="Q390" s="23">
        <f t="shared" si="64"/>
        <v>102213657</v>
      </c>
      <c r="R390" s="3" t="e">
        <f>VLOOKUP(B390,Buylist!B:B,1,FALSE)</f>
        <v>#N/A</v>
      </c>
      <c r="S390" s="3" t="e">
        <f>VLOOKUP(B390,Buylist!B:O,13,FALSE)</f>
        <v>#N/A</v>
      </c>
      <c r="T390" s="78">
        <v>389</v>
      </c>
    </row>
    <row r="391" spans="1:20">
      <c r="A391" s="13" t="s">
        <v>29744</v>
      </c>
      <c r="B391" s="63">
        <f>VLOOKUP(A391,TypeIDs!B:C,2,FALSE)</f>
        <v>46004</v>
      </c>
      <c r="C391" s="36">
        <v>300000</v>
      </c>
      <c r="D391" s="36">
        <f t="shared" si="61"/>
        <v>314250</v>
      </c>
      <c r="E391" s="35">
        <f>INDEX(MARKET_INPUT[Column1.price],MATCH(B391,MARKET_INPUT[Column1.type_id]))</f>
        <v>270000</v>
      </c>
      <c r="F391" s="35">
        <f t="shared" si="62"/>
        <v>257985</v>
      </c>
      <c r="G391" s="18">
        <f>VLOOKUP(B391,TypeIDs!C:D,2,FALSE)</f>
        <v>1</v>
      </c>
      <c r="I391" s="15">
        <v>2</v>
      </c>
      <c r="J391" s="17">
        <f t="shared" si="65"/>
        <v>128</v>
      </c>
      <c r="K391" s="20">
        <f t="shared" si="66"/>
        <v>14</v>
      </c>
      <c r="L391" s="19">
        <f t="shared" si="63"/>
        <v>14</v>
      </c>
      <c r="M391" s="8">
        <f t="shared" si="69"/>
        <v>0.82095465393794753</v>
      </c>
      <c r="N391" s="9">
        <f t="shared" si="70"/>
        <v>4399500</v>
      </c>
      <c r="O391" s="10">
        <f t="shared" si="67"/>
        <v>-787710</v>
      </c>
      <c r="P391" s="11">
        <f t="shared" si="68"/>
        <v>-56265</v>
      </c>
      <c r="Q391" s="23">
        <f t="shared" si="64"/>
        <v>3611790</v>
      </c>
      <c r="R391" s="3" t="e">
        <f>VLOOKUP(B391,Buylist!B:B,1,FALSE)</f>
        <v>#N/A</v>
      </c>
      <c r="S391" s="3" t="e">
        <f>VLOOKUP(B391,Buylist!B:O,13,FALSE)</f>
        <v>#N/A</v>
      </c>
      <c r="T391" s="78">
        <v>390</v>
      </c>
    </row>
    <row r="392" spans="1:20">
      <c r="A392" s="13" t="s">
        <v>29745</v>
      </c>
      <c r="B392" s="63">
        <f>VLOOKUP(A392,TypeIDs!B:C,2,FALSE)</f>
        <v>46005</v>
      </c>
      <c r="C392" s="36">
        <v>4598000</v>
      </c>
      <c r="D392" s="36">
        <f t="shared" si="61"/>
        <v>4803511</v>
      </c>
      <c r="E392" s="35">
        <f>INDEX(MARKET_INPUT[Column1.price],MATCH(B392,MARKET_INPUT[Column1.type_id]))</f>
        <v>4799000</v>
      </c>
      <c r="F392" s="35">
        <f t="shared" si="62"/>
        <v>4585444.5</v>
      </c>
      <c r="G392" s="18">
        <f>VLOOKUP(B392,TypeIDs!C:D,2,FALSE)</f>
        <v>1</v>
      </c>
      <c r="I392" s="15">
        <v>5</v>
      </c>
      <c r="J392" s="17">
        <f t="shared" si="65"/>
        <v>4615</v>
      </c>
      <c r="K392" s="20">
        <f t="shared" si="66"/>
        <v>35</v>
      </c>
      <c r="L392" s="19">
        <f t="shared" si="63"/>
        <v>35</v>
      </c>
      <c r="M392" s="8">
        <f t="shared" si="69"/>
        <v>0.9546026854107339</v>
      </c>
      <c r="N392" s="9">
        <f t="shared" si="70"/>
        <v>168122885</v>
      </c>
      <c r="O392" s="10">
        <f t="shared" si="67"/>
        <v>-7632327.5</v>
      </c>
      <c r="P392" s="11">
        <f t="shared" si="68"/>
        <v>-218066.5</v>
      </c>
      <c r="Q392" s="23">
        <f t="shared" si="64"/>
        <v>160490557.5</v>
      </c>
      <c r="R392" s="3" t="e">
        <f>VLOOKUP(B392,Buylist!B:B,1,FALSE)</f>
        <v>#N/A</v>
      </c>
      <c r="S392" s="3" t="e">
        <f>VLOOKUP(B392,Buylist!B:O,13,FALSE)</f>
        <v>#N/A</v>
      </c>
      <c r="T392" s="78">
        <v>391</v>
      </c>
    </row>
    <row r="393" spans="1:20">
      <c r="C393" s="36" t="e">
        <v>#N/A</v>
      </c>
      <c r="D393" s="36" t="e">
        <f t="shared" si="61"/>
        <v>#N/A</v>
      </c>
      <c r="E393" s="35" t="e">
        <f>INDEX(MARKET_INPUT[Column1.price],MATCH(B393,MARKET_INPUT[Column1.type_id]))</f>
        <v>#N/A</v>
      </c>
      <c r="F393" s="35" t="e">
        <f t="shared" si="62"/>
        <v>#N/A</v>
      </c>
      <c r="G393" s="18">
        <f>VLOOKUP(B393,TypeIDs!C:D,2,FALSE)</f>
        <v>0</v>
      </c>
      <c r="J393" s="17" t="e">
        <f t="shared" si="65"/>
        <v>#N/A</v>
      </c>
      <c r="K393" s="20">
        <f t="shared" si="66"/>
        <v>0</v>
      </c>
      <c r="L393" s="19">
        <f t="shared" si="63"/>
        <v>0</v>
      </c>
      <c r="M393" s="8" t="e">
        <f t="shared" si="69"/>
        <v>#N/A</v>
      </c>
      <c r="N393" s="9" t="e">
        <f t="shared" si="70"/>
        <v>#N/A</v>
      </c>
      <c r="O393" s="10" t="e">
        <f t="shared" si="67"/>
        <v>#N/A</v>
      </c>
      <c r="P393" s="11" t="e">
        <f t="shared" si="68"/>
        <v>#N/A</v>
      </c>
      <c r="Q393" s="23" t="e">
        <f t="shared" si="64"/>
        <v>#N/A</v>
      </c>
      <c r="R393" s="3" t="e">
        <f>VLOOKUP(B393,Buylist!B:B,1,FALSE)</f>
        <v>#N/A</v>
      </c>
      <c r="S393" s="3" t="e">
        <f>VLOOKUP(B393,Buylist!B:O,13,FALSE)</f>
        <v>#N/A</v>
      </c>
      <c r="T393" s="78">
        <v>392</v>
      </c>
    </row>
    <row r="394" spans="1:20">
      <c r="C394" s="36" t="e">
        <v>#N/A</v>
      </c>
      <c r="D394" s="36" t="e">
        <f t="shared" si="61"/>
        <v>#N/A</v>
      </c>
      <c r="E394" s="35" t="e">
        <f>INDEX(MARKET_INPUT[Column1.price],MATCH(B394,MARKET_INPUT[Column1.type_id]))</f>
        <v>#N/A</v>
      </c>
      <c r="F394" s="35" t="e">
        <f t="shared" si="62"/>
        <v>#N/A</v>
      </c>
      <c r="G394" s="18">
        <f>VLOOKUP(B394,TypeIDs!C:D,2,FALSE)</f>
        <v>0</v>
      </c>
      <c r="J394" s="17" t="e">
        <f t="shared" si="65"/>
        <v>#N/A</v>
      </c>
      <c r="K394" s="20">
        <f t="shared" si="66"/>
        <v>0</v>
      </c>
      <c r="L394" s="19">
        <f t="shared" si="63"/>
        <v>0</v>
      </c>
      <c r="M394" s="8" t="e">
        <f t="shared" si="69"/>
        <v>#N/A</v>
      </c>
      <c r="N394" s="9" t="e">
        <f t="shared" si="70"/>
        <v>#N/A</v>
      </c>
      <c r="O394" s="10" t="e">
        <f t="shared" si="67"/>
        <v>#N/A</v>
      </c>
      <c r="P394" s="11" t="e">
        <f t="shared" si="68"/>
        <v>#N/A</v>
      </c>
      <c r="Q394" s="23" t="e">
        <f t="shared" si="64"/>
        <v>#N/A</v>
      </c>
      <c r="R394" s="3" t="e">
        <f>VLOOKUP(B394,Buylist!B:B,1,FALSE)</f>
        <v>#N/A</v>
      </c>
      <c r="S394" s="3" t="e">
        <f>VLOOKUP(B394,Buylist!B:O,13,FALSE)</f>
        <v>#N/A</v>
      </c>
      <c r="T394" s="78">
        <v>393</v>
      </c>
    </row>
    <row r="395" spans="1:20">
      <c r="C395" s="36" t="e">
        <v>#N/A</v>
      </c>
      <c r="D395" s="36" t="e">
        <f t="shared" si="61"/>
        <v>#N/A</v>
      </c>
      <c r="E395" s="35" t="e">
        <f>INDEX(MARKET_INPUT[Column1.price],MATCH(B395,MARKET_INPUT[Column1.type_id]))</f>
        <v>#N/A</v>
      </c>
      <c r="F395" s="35" t="e">
        <f t="shared" si="62"/>
        <v>#N/A</v>
      </c>
      <c r="G395" s="18">
        <f>VLOOKUP(B395,TypeIDs!C:D,2,FALSE)</f>
        <v>0</v>
      </c>
      <c r="J395" s="17" t="e">
        <f t="shared" si="65"/>
        <v>#N/A</v>
      </c>
      <c r="K395" s="20">
        <f t="shared" si="66"/>
        <v>0</v>
      </c>
      <c r="L395" s="19">
        <f t="shared" si="63"/>
        <v>0</v>
      </c>
      <c r="M395" s="8" t="e">
        <f t="shared" si="69"/>
        <v>#N/A</v>
      </c>
      <c r="N395" s="9" t="e">
        <f t="shared" si="70"/>
        <v>#N/A</v>
      </c>
      <c r="O395" s="10" t="e">
        <f t="shared" si="67"/>
        <v>#N/A</v>
      </c>
      <c r="P395" s="11" t="e">
        <f t="shared" si="68"/>
        <v>#N/A</v>
      </c>
      <c r="Q395" s="23" t="e">
        <f t="shared" si="64"/>
        <v>#N/A</v>
      </c>
      <c r="R395" s="3" t="e">
        <f>VLOOKUP(B395,Buylist!B:B,1,FALSE)</f>
        <v>#N/A</v>
      </c>
      <c r="S395" s="3" t="e">
        <f>VLOOKUP(B395,Buylist!B:O,13,FALSE)</f>
        <v>#N/A</v>
      </c>
      <c r="T395" s="78">
        <v>394</v>
      </c>
    </row>
    <row r="396" spans="1:20">
      <c r="C396" s="36" t="e">
        <v>#N/A</v>
      </c>
      <c r="D396" s="36" t="e">
        <f t="shared" si="61"/>
        <v>#N/A</v>
      </c>
      <c r="E396" s="35" t="e">
        <f>INDEX(MARKET_INPUT[Column1.price],MATCH(B396,MARKET_INPUT[Column1.type_id]))</f>
        <v>#N/A</v>
      </c>
      <c r="F396" s="35" t="e">
        <f t="shared" si="62"/>
        <v>#N/A</v>
      </c>
      <c r="G396" s="18">
        <f>VLOOKUP(B396,TypeIDs!C:D,2,FALSE)</f>
        <v>0</v>
      </c>
      <c r="J396" s="17" t="e">
        <f t="shared" si="65"/>
        <v>#N/A</v>
      </c>
      <c r="K396" s="20">
        <f t="shared" si="66"/>
        <v>0</v>
      </c>
      <c r="L396" s="19">
        <f t="shared" si="63"/>
        <v>0</v>
      </c>
      <c r="M396" s="8" t="e">
        <f t="shared" si="69"/>
        <v>#N/A</v>
      </c>
      <c r="N396" s="9" t="e">
        <f t="shared" si="70"/>
        <v>#N/A</v>
      </c>
      <c r="O396" s="10" t="e">
        <f t="shared" si="67"/>
        <v>#N/A</v>
      </c>
      <c r="P396" s="11" t="e">
        <f t="shared" si="68"/>
        <v>#N/A</v>
      </c>
      <c r="Q396" s="23" t="e">
        <f t="shared" si="64"/>
        <v>#N/A</v>
      </c>
      <c r="R396" s="3" t="e">
        <f>VLOOKUP(B396,Buylist!B:B,1,FALSE)</f>
        <v>#N/A</v>
      </c>
      <c r="S396" s="3" t="e">
        <f>VLOOKUP(B396,Buylist!B:O,13,FALSE)</f>
        <v>#N/A</v>
      </c>
      <c r="T396" s="78">
        <v>395</v>
      </c>
    </row>
    <row r="397" spans="1:20">
      <c r="C397" s="36" t="e">
        <v>#N/A</v>
      </c>
      <c r="D397" s="36" t="e">
        <f t="shared" si="61"/>
        <v>#N/A</v>
      </c>
      <c r="E397" s="35" t="e">
        <f>INDEX(MARKET_INPUT[Column1.price],MATCH(B397,MARKET_INPUT[Column1.type_id]))</f>
        <v>#N/A</v>
      </c>
      <c r="F397" s="35" t="e">
        <f t="shared" si="62"/>
        <v>#N/A</v>
      </c>
      <c r="G397" s="18">
        <f>VLOOKUP(B397,TypeIDs!C:D,2,FALSE)</f>
        <v>0</v>
      </c>
      <c r="J397" s="17" t="e">
        <f t="shared" si="65"/>
        <v>#N/A</v>
      </c>
      <c r="K397" s="20">
        <f t="shared" si="66"/>
        <v>0</v>
      </c>
      <c r="L397" s="19">
        <f t="shared" si="63"/>
        <v>0</v>
      </c>
      <c r="M397" s="8" t="e">
        <f t="shared" si="69"/>
        <v>#N/A</v>
      </c>
      <c r="N397" s="9" t="e">
        <f t="shared" si="70"/>
        <v>#N/A</v>
      </c>
      <c r="O397" s="10" t="e">
        <f t="shared" si="67"/>
        <v>#N/A</v>
      </c>
      <c r="P397" s="11" t="e">
        <f t="shared" si="68"/>
        <v>#N/A</v>
      </c>
      <c r="Q397" s="23" t="e">
        <f t="shared" si="64"/>
        <v>#N/A</v>
      </c>
      <c r="R397" s="3" t="e">
        <f>VLOOKUP(B397,Buylist!B:B,1,FALSE)</f>
        <v>#N/A</v>
      </c>
      <c r="S397" s="3" t="e">
        <f>VLOOKUP(B397,Buylist!B:O,13,FALSE)</f>
        <v>#N/A</v>
      </c>
      <c r="T397" s="78">
        <v>396</v>
      </c>
    </row>
    <row r="398" spans="1:20">
      <c r="C398" s="36" t="e">
        <v>#N/A</v>
      </c>
      <c r="D398" s="36" t="e">
        <f t="shared" si="61"/>
        <v>#N/A</v>
      </c>
      <c r="E398" s="35" t="e">
        <f>INDEX(MARKET_INPUT[Column1.price],MATCH(B398,MARKET_INPUT[Column1.type_id]))</f>
        <v>#N/A</v>
      </c>
      <c r="F398" s="35" t="e">
        <f t="shared" si="62"/>
        <v>#N/A</v>
      </c>
      <c r="G398" s="18">
        <f>VLOOKUP(B398,TypeIDs!C:D,2,FALSE)</f>
        <v>0</v>
      </c>
      <c r="J398" s="17" t="e">
        <f t="shared" si="65"/>
        <v>#N/A</v>
      </c>
      <c r="K398" s="20">
        <f t="shared" si="66"/>
        <v>0</v>
      </c>
      <c r="L398" s="19">
        <f t="shared" si="63"/>
        <v>0</v>
      </c>
      <c r="M398" s="8" t="e">
        <f t="shared" si="69"/>
        <v>#N/A</v>
      </c>
      <c r="N398" s="9" t="e">
        <f t="shared" si="70"/>
        <v>#N/A</v>
      </c>
      <c r="O398" s="10" t="e">
        <f t="shared" si="67"/>
        <v>#N/A</v>
      </c>
      <c r="P398" s="11" t="e">
        <f t="shared" si="68"/>
        <v>#N/A</v>
      </c>
      <c r="Q398" s="23" t="e">
        <f t="shared" si="64"/>
        <v>#N/A</v>
      </c>
      <c r="R398" s="3" t="e">
        <f>VLOOKUP(B398,Buylist!B:B,1,FALSE)</f>
        <v>#N/A</v>
      </c>
      <c r="S398" s="3" t="e">
        <f>VLOOKUP(B398,Buylist!B:O,13,FALSE)</f>
        <v>#N/A</v>
      </c>
      <c r="T398" s="78">
        <v>397</v>
      </c>
    </row>
    <row r="399" spans="1:20">
      <c r="C399" s="36" t="e">
        <v>#N/A</v>
      </c>
      <c r="D399" s="36" t="e">
        <f t="shared" si="61"/>
        <v>#N/A</v>
      </c>
      <c r="E399" s="35" t="e">
        <f>INDEX(MARKET_INPUT[Column1.price],MATCH(B399,MARKET_INPUT[Column1.type_id]))</f>
        <v>#N/A</v>
      </c>
      <c r="F399" s="35" t="e">
        <f t="shared" si="62"/>
        <v>#N/A</v>
      </c>
      <c r="G399" s="18">
        <f>VLOOKUP(B399,TypeIDs!C:D,2,FALSE)</f>
        <v>0</v>
      </c>
      <c r="J399" s="17" t="e">
        <f t="shared" si="65"/>
        <v>#N/A</v>
      </c>
      <c r="K399" s="20">
        <f t="shared" si="66"/>
        <v>0</v>
      </c>
      <c r="L399" s="19">
        <f t="shared" si="63"/>
        <v>0</v>
      </c>
      <c r="M399" s="8" t="e">
        <f t="shared" si="69"/>
        <v>#N/A</v>
      </c>
      <c r="N399" s="9" t="e">
        <f t="shared" si="70"/>
        <v>#N/A</v>
      </c>
      <c r="O399" s="10" t="e">
        <f t="shared" si="67"/>
        <v>#N/A</v>
      </c>
      <c r="P399" s="11" t="e">
        <f t="shared" si="68"/>
        <v>#N/A</v>
      </c>
      <c r="Q399" s="23" t="e">
        <f t="shared" si="64"/>
        <v>#N/A</v>
      </c>
      <c r="R399" s="3" t="e">
        <f>VLOOKUP(B399,Buylist!B:B,1,FALSE)</f>
        <v>#N/A</v>
      </c>
      <c r="S399" s="3" t="e">
        <f>VLOOKUP(B399,Buylist!B:O,13,FALSE)</f>
        <v>#N/A</v>
      </c>
      <c r="T399" s="78">
        <v>398</v>
      </c>
    </row>
    <row r="400" spans="1:20">
      <c r="C400" s="36" t="e">
        <v>#N/A</v>
      </c>
      <c r="D400" s="36" t="e">
        <f t="shared" si="61"/>
        <v>#N/A</v>
      </c>
      <c r="E400" s="35" t="e">
        <f>INDEX(MARKET_INPUT[Column1.price],MATCH(B400,MARKET_INPUT[Column1.type_id]))</f>
        <v>#N/A</v>
      </c>
      <c r="F400" s="35" t="e">
        <f t="shared" si="62"/>
        <v>#N/A</v>
      </c>
      <c r="G400" s="18">
        <f>VLOOKUP(B400,TypeIDs!C:D,2,FALSE)</f>
        <v>0</v>
      </c>
      <c r="J400" s="17" t="e">
        <f t="shared" si="65"/>
        <v>#N/A</v>
      </c>
      <c r="K400" s="20">
        <f t="shared" si="66"/>
        <v>0</v>
      </c>
      <c r="L400" s="19">
        <f t="shared" si="63"/>
        <v>0</v>
      </c>
      <c r="M400" s="8" t="e">
        <f t="shared" si="69"/>
        <v>#N/A</v>
      </c>
      <c r="N400" s="9" t="e">
        <f t="shared" si="70"/>
        <v>#N/A</v>
      </c>
      <c r="O400" s="10" t="e">
        <f t="shared" si="67"/>
        <v>#N/A</v>
      </c>
      <c r="P400" s="11" t="e">
        <f t="shared" si="68"/>
        <v>#N/A</v>
      </c>
      <c r="Q400" s="23" t="e">
        <f t="shared" si="64"/>
        <v>#N/A</v>
      </c>
      <c r="R400" s="3" t="e">
        <f>VLOOKUP(B400,Buylist!B:B,1,FALSE)</f>
        <v>#N/A</v>
      </c>
      <c r="S400" s="3" t="e">
        <f>VLOOKUP(B400,Buylist!B:O,13,FALSE)</f>
        <v>#N/A</v>
      </c>
      <c r="T400" s="78">
        <v>399</v>
      </c>
    </row>
    <row r="410" spans="1:13">
      <c r="M410" s="21"/>
    </row>
    <row r="411" spans="1:13">
      <c r="M411" s="21"/>
    </row>
    <row r="415" spans="1:13">
      <c r="A415" s="24" t="s">
        <v>30045</v>
      </c>
      <c r="I415" s="15">
        <v>5</v>
      </c>
    </row>
    <row r="416" spans="1:13">
      <c r="A416" s="24" t="s">
        <v>30049</v>
      </c>
      <c r="I416" s="15">
        <v>10</v>
      </c>
    </row>
    <row r="417" spans="1:9">
      <c r="A417" s="24" t="s">
        <v>30047</v>
      </c>
      <c r="I417" s="15">
        <v>12</v>
      </c>
    </row>
    <row r="418" spans="1:9">
      <c r="A418" s="24" t="s">
        <v>30046</v>
      </c>
      <c r="I418" s="15">
        <v>8</v>
      </c>
    </row>
    <row r="419" spans="1:9">
      <c r="A419" s="24" t="s">
        <v>30052</v>
      </c>
      <c r="I419" s="15">
        <v>3</v>
      </c>
    </row>
    <row r="420" spans="1:9">
      <c r="A420" s="24" t="s">
        <v>8540</v>
      </c>
      <c r="I420" s="15">
        <v>20</v>
      </c>
    </row>
    <row r="421" spans="1:9">
      <c r="A421" s="24" t="s">
        <v>30050</v>
      </c>
      <c r="I421" s="15">
        <v>4</v>
      </c>
    </row>
    <row r="422" spans="1:9">
      <c r="A422" s="24" t="s">
        <v>30036</v>
      </c>
      <c r="I422" s="15">
        <v>6</v>
      </c>
    </row>
    <row r="423" spans="1:9">
      <c r="A423" s="24" t="s">
        <v>30048</v>
      </c>
      <c r="I423" s="15">
        <v>7</v>
      </c>
    </row>
    <row r="424" spans="1:9">
      <c r="A424" s="24" t="s">
        <v>27931</v>
      </c>
      <c r="I424" s="15">
        <v>5</v>
      </c>
    </row>
    <row r="425" spans="1:9">
      <c r="A425" s="24" t="s">
        <v>10764</v>
      </c>
      <c r="I425" s="15">
        <v>4</v>
      </c>
    </row>
    <row r="426" spans="1:9">
      <c r="A426" s="24" t="s">
        <v>15594</v>
      </c>
      <c r="I426" s="15">
        <v>15</v>
      </c>
    </row>
    <row r="427" spans="1:9">
      <c r="A427" s="24" t="s">
        <v>15592</v>
      </c>
      <c r="I427" s="15">
        <v>25</v>
      </c>
    </row>
    <row r="428" spans="1:9">
      <c r="A428" s="24" t="s">
        <v>7969</v>
      </c>
      <c r="I428" s="15">
        <v>10</v>
      </c>
    </row>
    <row r="429" spans="1:9">
      <c r="A429" s="24" t="s">
        <v>8343</v>
      </c>
      <c r="I429" s="15">
        <v>5</v>
      </c>
    </row>
    <row r="430" spans="1:9">
      <c r="A430" s="24" t="s">
        <v>3317</v>
      </c>
      <c r="I430" s="15">
        <v>5</v>
      </c>
    </row>
    <row r="431" spans="1:9">
      <c r="A431" s="24" t="s">
        <v>1133</v>
      </c>
      <c r="I431" s="15">
        <v>6</v>
      </c>
    </row>
    <row r="434" spans="1:1">
      <c r="A434" s="27"/>
    </row>
    <row r="435" spans="1:1">
      <c r="A435" s="27"/>
    </row>
    <row r="436" spans="1:1">
      <c r="A436" s="27"/>
    </row>
    <row r="437" spans="1:1">
      <c r="A437" s="27"/>
    </row>
    <row r="438" spans="1:1">
      <c r="A438" s="27"/>
    </row>
    <row r="439" spans="1:1">
      <c r="A439" s="27"/>
    </row>
    <row r="440" spans="1:1">
      <c r="A440" s="27"/>
    </row>
    <row r="441" spans="1:1">
      <c r="A441" s="27"/>
    </row>
    <row r="442" spans="1:1">
      <c r="A442" s="27"/>
    </row>
    <row r="443" spans="1:1">
      <c r="A443" s="27"/>
    </row>
    <row r="444" spans="1:1">
      <c r="A444" s="27"/>
    </row>
    <row r="445" spans="1:1">
      <c r="A445" s="27"/>
    </row>
    <row r="446" spans="1:1">
      <c r="A446" s="27"/>
    </row>
    <row r="447" spans="1:1">
      <c r="A447" s="27"/>
    </row>
    <row r="448" spans="1:1">
      <c r="A448" s="27"/>
    </row>
    <row r="449" spans="1:1">
      <c r="A449" s="27"/>
    </row>
    <row r="450" spans="1:1">
      <c r="A450" s="27"/>
    </row>
    <row r="451" spans="1:1">
      <c r="A451" s="27"/>
    </row>
    <row r="452" spans="1:1">
      <c r="A452" s="27"/>
    </row>
    <row r="453" spans="1:1">
      <c r="A453" s="27"/>
    </row>
    <row r="454" spans="1:1">
      <c r="A454" s="27"/>
    </row>
    <row r="455" spans="1:1">
      <c r="A455" s="27"/>
    </row>
  </sheetData>
  <mergeCells count="10">
    <mergeCell ref="BE35:BG35"/>
    <mergeCell ref="BH7:BI7"/>
    <mergeCell ref="BH8:BI8"/>
    <mergeCell ref="BH9:BI9"/>
    <mergeCell ref="BH10:BI10"/>
    <mergeCell ref="C1:D1"/>
    <mergeCell ref="E1:F1"/>
    <mergeCell ref="BH1:BI1"/>
    <mergeCell ref="BE1:BG1"/>
    <mergeCell ref="BE7:BG7"/>
  </mergeCells>
  <phoneticPr fontId="19" type="noConversion"/>
  <conditionalFormatting sqref="O2:O1048576">
    <cfRule type="colorScale" priority="36">
      <colorScale>
        <cfvo type="min"/>
        <cfvo type="num" val="0"/>
        <cfvo type="max"/>
        <color rgb="FFF8696B"/>
        <color theme="0"/>
        <color rgb="FF63BE7B"/>
      </colorScale>
    </cfRule>
    <cfRule type="colorScale" priority="37">
      <colorScale>
        <cfvo type="num" val="0"/>
        <cfvo type="max"/>
        <color theme="0"/>
        <color theme="9"/>
      </colorScale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P2:P1048576">
    <cfRule type="colorScale" priority="17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35">
      <colorScale>
        <cfvo type="min"/>
        <cfvo type="num" val="0"/>
        <cfvo type="max"/>
        <color rgb="FFF8696B"/>
        <color theme="0"/>
        <color rgb="FF63BE7B"/>
      </colorScale>
    </cfRule>
    <cfRule type="colorScale" priority="38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9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20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23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2:P1048576">
    <cfRule type="colorScale" priority="18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N2:N1048576">
    <cfRule type="colorScale" priority="16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J2:J1048576">
    <cfRule type="dataBar" priority="9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M2:Q1048576">
    <cfRule type="expression" dxfId="297" priority="6">
      <formula>$O2&lt;0</formula>
    </cfRule>
  </conditionalFormatting>
  <conditionalFormatting sqref="B2:C500">
    <cfRule type="expression" dxfId="296" priority="5">
      <formula>$B2=$R2</formula>
    </cfRule>
  </conditionalFormatting>
  <conditionalFormatting sqref="B2:C600">
    <cfRule type="expression" dxfId="295" priority="4">
      <formula>$S2="x"</formula>
    </cfRule>
  </conditionalFormatting>
  <conditionalFormatting sqref="H2:I405">
    <cfRule type="expression" dxfId="294" priority="1">
      <formula>$I2=0</formula>
    </cfRule>
    <cfRule type="expression" dxfId="293" priority="2">
      <formula>$H2&gt;0</formula>
    </cfRule>
    <cfRule type="expression" dxfId="292" priority="3">
      <formula>$I2="Look Up"</formula>
    </cfRule>
  </conditionalFormatting>
  <hyperlinks>
    <hyperlink ref="BF2" r:id="rId1" xr:uid="{ABC8896E-0DFA-4186-9F17-9F37ED08C942}"/>
    <hyperlink ref="BG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J2:J1048576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D76E-E021-4131-BCAE-EEF63D64EB0C}">
  <dimension ref="A1:U80"/>
  <sheetViews>
    <sheetView zoomScale="160" zoomScaleNormal="160" workbookViewId="0">
      <selection activeCell="O8" sqref="O8"/>
    </sheetView>
  </sheetViews>
  <sheetFormatPr defaultRowHeight="15"/>
  <cols>
    <col min="1" max="1" width="39.85546875" style="49" customWidth="1"/>
    <col min="2" max="2" width="2.140625" style="54" customWidth="1"/>
    <col min="3" max="3" width="4.7109375" style="54" customWidth="1"/>
    <col min="4" max="4" width="12.28515625" style="49" customWidth="1"/>
    <col min="5" max="5" width="11.42578125" style="89" customWidth="1"/>
    <col min="6" max="6" width="8.28515625" style="89" customWidth="1"/>
    <col min="7" max="7" width="6" style="50" customWidth="1"/>
    <col min="8" max="8" width="10.85546875" style="91" customWidth="1"/>
    <col min="9" max="9" width="20.5703125" style="53" customWidth="1"/>
    <col min="10" max="10" width="3.28515625" style="46" customWidth="1"/>
    <col min="11" max="11" width="3" style="100" customWidth="1"/>
    <col min="12" max="12" width="2.85546875" style="98" customWidth="1"/>
    <col min="13" max="13" width="12.85546875" style="49" customWidth="1"/>
    <col min="14" max="14" width="7" style="61" customWidth="1"/>
    <col min="15" max="15" width="8.85546875" style="61" customWidth="1"/>
    <col min="17" max="17" width="19.28515625" customWidth="1"/>
    <col min="18" max="18" width="43.85546875" bestFit="1" customWidth="1"/>
    <col min="20" max="20" width="13.140625" bestFit="1" customWidth="1"/>
    <col min="21" max="21" width="14.28515625" bestFit="1" customWidth="1"/>
  </cols>
  <sheetData>
    <row r="1" spans="1:21">
      <c r="A1" t="s">
        <v>40256</v>
      </c>
      <c r="B1" t="s">
        <v>42873</v>
      </c>
      <c r="C1" t="s">
        <v>46572</v>
      </c>
      <c r="D1" t="s">
        <v>42878</v>
      </c>
      <c r="E1" s="37" t="s">
        <v>42877</v>
      </c>
      <c r="F1" s="37" t="s">
        <v>43983</v>
      </c>
      <c r="G1" s="38" t="s">
        <v>42882</v>
      </c>
      <c r="H1" s="38" t="s">
        <v>40258</v>
      </c>
      <c r="I1" t="s">
        <v>42876</v>
      </c>
      <c r="J1" t="s">
        <v>43992</v>
      </c>
      <c r="K1" t="s">
        <v>43991</v>
      </c>
      <c r="L1" t="s">
        <v>42875</v>
      </c>
      <c r="M1" t="s">
        <v>42883</v>
      </c>
      <c r="N1" t="s">
        <v>43993</v>
      </c>
      <c r="O1" t="s">
        <v>43994</v>
      </c>
      <c r="P1" s="114" t="s">
        <v>43985</v>
      </c>
      <c r="Q1" s="114"/>
    </row>
    <row r="2" spans="1:21">
      <c r="A2" s="55" t="s">
        <v>21194</v>
      </c>
      <c r="B2" s="56">
        <f>VLOOKUP(A2,TypeIDs!B:C,2,FALSE)</f>
        <v>35660</v>
      </c>
      <c r="C2" s="103">
        <f>VLOOKUP(B2,TradeSheet!B:T,19,FALSE)</f>
        <v>303</v>
      </c>
      <c r="D2" s="55" t="s">
        <v>43989</v>
      </c>
      <c r="E2" s="90">
        <f>MAX(VLOOKUP(B2,TradeSheet!B:K,10,FALSE)-O2,0)</f>
        <v>42</v>
      </c>
      <c r="F2" s="90"/>
      <c r="G2" s="60">
        <f>VLOOKUP(B2,TypeIDs!C:D,2,FALSE)</f>
        <v>10</v>
      </c>
      <c r="H2" s="92">
        <f t="shared" ref="H2:H33" si="0">MAX(G2*(E2+F2),0)</f>
        <v>420</v>
      </c>
      <c r="I2" s="53">
        <f>VLOOKUP(B2,TradeSheet!B:E,3,FALSE)</f>
        <v>52712.324999999997</v>
      </c>
      <c r="J2" s="97">
        <f>MAX(VLOOKUP(B2,TradeSheet!B:F,5,FALSE)*(IF(F2&gt;0,E2,E2+F2)+O2),0)</f>
        <v>2006550</v>
      </c>
      <c r="K2" s="101">
        <f t="shared" ref="K2:K33" si="1">MAX(I2*(E2+F2),0)</f>
        <v>2213917.65</v>
      </c>
      <c r="L2" s="99">
        <f t="shared" ref="L2:L33" si="2">(J2-K2)</f>
        <v>-207367.64999999991</v>
      </c>
      <c r="M2" s="59">
        <v>44557</v>
      </c>
      <c r="N2" s="62"/>
      <c r="O2" s="62"/>
      <c r="P2" s="16" t="s">
        <v>40258</v>
      </c>
      <c r="Q2" s="47">
        <f>SUM(H2:H944)</f>
        <v>56340.10819688614</v>
      </c>
      <c r="T2" s="75"/>
      <c r="U2" s="75"/>
    </row>
    <row r="3" spans="1:21">
      <c r="A3" s="55" t="s">
        <v>21193</v>
      </c>
      <c r="B3" s="56">
        <f>VLOOKUP(A3,TypeIDs!B:C,2,FALSE)</f>
        <v>35659</v>
      </c>
      <c r="C3" s="103">
        <f>VLOOKUP(B3,TradeSheet!B:T,19,FALSE)</f>
        <v>304</v>
      </c>
      <c r="D3" s="55" t="s">
        <v>43989</v>
      </c>
      <c r="E3" s="90">
        <f>MAX(VLOOKUP(B3,TradeSheet!B:K,10,FALSE)-O3,0)</f>
        <v>49</v>
      </c>
      <c r="F3" s="90">
        <v>1</v>
      </c>
      <c r="G3" s="60">
        <f>VLOOKUP(B3,TypeIDs!C:D,2,FALSE)</f>
        <v>10</v>
      </c>
      <c r="H3" s="92">
        <f t="shared" si="0"/>
        <v>500</v>
      </c>
      <c r="I3" s="53">
        <f>VLOOKUP(B3,TradeSheet!B:E,3,FALSE)</f>
        <v>58383.96</v>
      </c>
      <c r="J3" s="97">
        <f>MAX(VLOOKUP(B3,TradeSheet!B:F,5,FALSE)*(IF(F3&gt;0,E3,E3+F3)+O3),0)</f>
        <v>4213755</v>
      </c>
      <c r="K3" s="101">
        <f t="shared" si="1"/>
        <v>2919198</v>
      </c>
      <c r="L3" s="99">
        <f t="shared" si="2"/>
        <v>1294557</v>
      </c>
      <c r="M3" s="59">
        <v>44557</v>
      </c>
      <c r="N3" s="62"/>
      <c r="O3" s="62"/>
      <c r="P3" s="16" t="s">
        <v>43986</v>
      </c>
      <c r="Q3" s="48">
        <f>SUM(K2:K944)</f>
        <v>3059567815.4698081</v>
      </c>
      <c r="T3" s="75"/>
      <c r="U3" s="75"/>
    </row>
    <row r="4" spans="1:21">
      <c r="A4" s="55" t="s">
        <v>1049</v>
      </c>
      <c r="B4" s="56">
        <f>VLOOKUP(A4,TypeIDs!B:C,2,FALSE)</f>
        <v>2203</v>
      </c>
      <c r="C4" s="103">
        <f>VLOOKUP(B4,TradeSheet!B:T,19,FALSE)</f>
        <v>136</v>
      </c>
      <c r="D4" s="55" t="s">
        <v>42880</v>
      </c>
      <c r="E4" s="90">
        <f>MAX(VLOOKUP(B4,TradeSheet!B:K,10,FALSE)-O4,0)</f>
        <v>105</v>
      </c>
      <c r="F4" s="90"/>
      <c r="G4" s="60">
        <f>VLOOKUP(B4,TypeIDs!C:D,2,FALSE)</f>
        <v>5</v>
      </c>
      <c r="H4" s="92">
        <f t="shared" si="0"/>
        <v>525</v>
      </c>
      <c r="I4" s="53">
        <f>VLOOKUP(B4,TradeSheet!B:E,3,FALSE)</f>
        <v>10207.148000000001</v>
      </c>
      <c r="J4" s="97">
        <f>MAX(VLOOKUP(B4,TradeSheet!B:F,5,FALSE)*(IF(F4&gt;0,E4,E4+F4)+O4),0)</f>
        <v>2857327.1999999997</v>
      </c>
      <c r="K4" s="101">
        <f t="shared" si="1"/>
        <v>1071750.54</v>
      </c>
      <c r="L4" s="99">
        <f t="shared" si="2"/>
        <v>1785576.6599999997</v>
      </c>
      <c r="M4" s="59">
        <v>44557</v>
      </c>
      <c r="N4" s="62" t="s">
        <v>46574</v>
      </c>
      <c r="O4" s="62"/>
      <c r="P4" s="16" t="s">
        <v>42875</v>
      </c>
      <c r="Q4" s="46">
        <f>SUM(L2:L944)</f>
        <v>3010139240.6008949</v>
      </c>
    </row>
    <row r="5" spans="1:21">
      <c r="A5" s="49" t="s">
        <v>1051</v>
      </c>
      <c r="B5" s="54">
        <f>VLOOKUP(A5,TypeIDs!B:C,2,FALSE)</f>
        <v>2205</v>
      </c>
      <c r="C5" s="102">
        <f>VLOOKUP(B5,TradeSheet!B:T,19,FALSE)</f>
        <v>139</v>
      </c>
      <c r="D5" s="55" t="s">
        <v>42880</v>
      </c>
      <c r="E5" s="89">
        <f>MAX(VLOOKUP(B5,TradeSheet!B:K,10,FALSE)-O5,0)</f>
        <v>420</v>
      </c>
      <c r="F5" s="89">
        <v>30</v>
      </c>
      <c r="G5" s="52">
        <f>VLOOKUP(B5,TypeIDs!C:D,2,FALSE)</f>
        <v>5</v>
      </c>
      <c r="H5" s="91">
        <f t="shared" si="0"/>
        <v>2250</v>
      </c>
      <c r="I5" s="53">
        <f>VLOOKUP(B5,TradeSheet!B:E,3,FALSE)</f>
        <v>328190.55</v>
      </c>
      <c r="J5" s="46">
        <f>MAX(VLOOKUP(B5,TradeSheet!B:F,5,FALSE)*(IF(F5&gt;0,E5,E5+F5)+O5),0)</f>
        <v>270643464</v>
      </c>
      <c r="K5" s="100">
        <f t="shared" si="1"/>
        <v>147685747.5</v>
      </c>
      <c r="L5" s="98">
        <f t="shared" si="2"/>
        <v>122957716.5</v>
      </c>
      <c r="M5" s="59">
        <v>44557</v>
      </c>
      <c r="T5" s="75"/>
      <c r="U5" s="75"/>
    </row>
    <row r="6" spans="1:21">
      <c r="A6" s="49" t="s">
        <v>27206</v>
      </c>
      <c r="B6" s="54">
        <f>VLOOKUP(A6,TypeIDs!B:C,2,FALSE)</f>
        <v>42694</v>
      </c>
      <c r="C6" s="54">
        <f>VLOOKUP(B6,TradeSheet!B:T,19,FALSE)</f>
        <v>16</v>
      </c>
      <c r="D6" s="49" t="s">
        <v>43984</v>
      </c>
      <c r="E6" s="89">
        <f>MAX(VLOOKUP(B6,TradeSheet!B:K,10,FALSE)-O6,0)</f>
        <v>5898.1416666666664</v>
      </c>
      <c r="F6" s="89">
        <v>3500</v>
      </c>
      <c r="G6" s="96">
        <f>VLOOKUP(B6,TypeIDs!C:D,2,FALSE)</f>
        <v>0.01</v>
      </c>
      <c r="H6" s="92">
        <f t="shared" si="0"/>
        <v>93.981416666666661</v>
      </c>
      <c r="I6" s="53">
        <f>VLOOKUP(B6,TradeSheet!B:E,3,FALSE)</f>
        <v>420.42854999999997</v>
      </c>
      <c r="J6" s="46">
        <f>MAX(VLOOKUP(B6,TradeSheet!B:F,5,FALSE)*(IF(F6&gt;0,E6,E6+F6)+O6),0)</f>
        <v>16625239.369374998</v>
      </c>
      <c r="K6" s="100">
        <f t="shared" si="1"/>
        <v>3951247.0736112497</v>
      </c>
      <c r="L6" s="98">
        <f t="shared" si="2"/>
        <v>12673992.295763748</v>
      </c>
      <c r="M6" s="59">
        <v>44557</v>
      </c>
      <c r="T6" s="75"/>
      <c r="U6" s="75"/>
    </row>
    <row r="7" spans="1:21">
      <c r="A7" s="49" t="s">
        <v>584</v>
      </c>
      <c r="B7" s="54">
        <f>VLOOKUP(A7,TypeIDs!B:C,2,FALSE)</f>
        <v>1182</v>
      </c>
      <c r="C7" s="54">
        <f>VLOOKUP(B7,TradeSheet!B:T,19,FALSE)</f>
        <v>242</v>
      </c>
      <c r="D7" s="49" t="s">
        <v>43989</v>
      </c>
      <c r="E7" s="89">
        <f>MAX(VLOOKUP(B7,TradeSheet!B:K,10,FALSE)-O7,0)</f>
        <v>35</v>
      </c>
      <c r="F7" s="89">
        <v>36</v>
      </c>
      <c r="G7" s="60">
        <f>VLOOKUP(B7,TypeIDs!C:D,2,FALSE)</f>
        <v>5</v>
      </c>
      <c r="H7" s="92">
        <f t="shared" si="0"/>
        <v>355</v>
      </c>
      <c r="I7" s="53">
        <f>VLOOKUP(B7,TradeSheet!B:E,3,FALSE)</f>
        <v>16062.615</v>
      </c>
      <c r="J7" s="46">
        <f>MAX(VLOOKUP(B7,TradeSheet!B:F,5,FALSE)*(IF(F7&gt;0,E7,E7+F7)+O7),0)</f>
        <v>13373655.75</v>
      </c>
      <c r="K7" s="100">
        <f t="shared" si="1"/>
        <v>1140445.665</v>
      </c>
      <c r="L7" s="98">
        <f t="shared" si="2"/>
        <v>12233210.085000001</v>
      </c>
      <c r="M7" s="59">
        <v>44557</v>
      </c>
      <c r="T7" s="75"/>
      <c r="U7" s="75"/>
    </row>
    <row r="8" spans="1:21">
      <c r="A8" s="55" t="s">
        <v>5068</v>
      </c>
      <c r="B8" s="56">
        <f>VLOOKUP(A8,TypeIDs!B:C,2,FALSE)</f>
        <v>12773</v>
      </c>
      <c r="C8" s="103">
        <f>VLOOKUP(B8,TradeSheet!B:T,19,FALSE)</f>
        <v>101</v>
      </c>
      <c r="D8" s="55" t="s">
        <v>42879</v>
      </c>
      <c r="E8" s="90">
        <f>MAX(VLOOKUP(B8,TradeSheet!B:K,10,FALSE)-O8,0)</f>
        <v>34921.48333333333</v>
      </c>
      <c r="F8" s="90">
        <v>2500</v>
      </c>
      <c r="G8" s="60">
        <f>VLOOKUP(B8,TypeIDs!C:D,2,FALSE)</f>
        <v>1.2500000000000001E-2</v>
      </c>
      <c r="H8" s="92">
        <f t="shared" si="0"/>
        <v>467.76854166666664</v>
      </c>
      <c r="I8" s="53">
        <f>VLOOKUP(B8,TradeSheet!B:E,3,FALSE)</f>
        <v>370.45354999999995</v>
      </c>
      <c r="J8" s="97">
        <f>MAX(VLOOKUP(B8,TradeSheet!B:F,5,FALSE)*(IF(F8&gt;0,E8,E8+F8)+O8),0)</f>
        <v>23357234.127499998</v>
      </c>
      <c r="K8" s="101">
        <f t="shared" si="1"/>
        <v>13862921.347099163</v>
      </c>
      <c r="L8" s="99">
        <f t="shared" si="2"/>
        <v>9494312.780400835</v>
      </c>
      <c r="M8" s="59">
        <v>44557</v>
      </c>
      <c r="N8" s="62"/>
      <c r="O8" s="62"/>
      <c r="T8" s="75"/>
      <c r="U8" s="75"/>
    </row>
    <row r="9" spans="1:21">
      <c r="A9" s="49" t="s">
        <v>5020</v>
      </c>
      <c r="B9" s="54">
        <f>VLOOKUP(A9,TypeIDs!B:C,2,FALSE)</f>
        <v>12625</v>
      </c>
      <c r="C9" s="102">
        <f>VLOOKUP(B9,TradeSheet!B:T,19,FALSE)</f>
        <v>103</v>
      </c>
      <c r="D9" s="55" t="s">
        <v>42879</v>
      </c>
      <c r="E9" s="89">
        <f>MAX(VLOOKUP(B9,TradeSheet!B:K,10,FALSE)-O9,0)</f>
        <v>25764.316666666666</v>
      </c>
      <c r="G9" s="52">
        <f>VLOOKUP(B9,TypeIDs!C:D,2,FALSE)</f>
        <v>2.5000000000000001E-3</v>
      </c>
      <c r="H9" s="91">
        <f t="shared" si="0"/>
        <v>64.410791666666668</v>
      </c>
      <c r="I9" s="53">
        <f>VLOOKUP(B9,TradeSheet!B:E,3,FALSE)</f>
        <v>61.650714999999998</v>
      </c>
      <c r="J9" s="46">
        <f>MAX(VLOOKUP(B9,TradeSheet!B:F,5,FALSE)*(IF(F9&gt;0,E9,E9+F9)+O9),0)</f>
        <v>6149527.582835</v>
      </c>
      <c r="K9" s="100">
        <f t="shared" si="1"/>
        <v>1588388.5439864167</v>
      </c>
      <c r="L9" s="98">
        <f t="shared" si="2"/>
        <v>4561139.0388485836</v>
      </c>
      <c r="M9" s="59">
        <v>44557</v>
      </c>
      <c r="T9" s="75"/>
      <c r="U9" s="75"/>
    </row>
    <row r="10" spans="1:21">
      <c r="A10" s="49" t="s">
        <v>16627</v>
      </c>
      <c r="B10" s="54">
        <f>VLOOKUP(A10,TypeIDs!B:C,2,FALSE)</f>
        <v>30028</v>
      </c>
      <c r="C10" s="54">
        <f>VLOOKUP(B10,TradeSheet!B:T,19,FALSE)</f>
        <v>94</v>
      </c>
      <c r="D10" s="49" t="s">
        <v>43984</v>
      </c>
      <c r="E10" s="89">
        <f>MAX(VLOOKUP(B10,TradeSheet!B:K,10,FALSE)-O10,0)</f>
        <v>124.76470588235294</v>
      </c>
      <c r="G10" s="52">
        <f>VLOOKUP(B10,TypeIDs!C:D,2,FALSE)</f>
        <v>1</v>
      </c>
      <c r="H10" s="91">
        <f t="shared" si="0"/>
        <v>124.76470588235294</v>
      </c>
      <c r="I10" s="53">
        <f>VLOOKUP(B10,TradeSheet!B:E,3,FALSE)</f>
        <v>23847.665000000001</v>
      </c>
      <c r="J10" s="46">
        <f>MAX(VLOOKUP(B10,TradeSheet!B:F,5,FALSE)*(IF(F10&gt;0,E10,E10+F10)+O10),0)</f>
        <v>8274551.87382353</v>
      </c>
      <c r="K10" s="100">
        <f t="shared" si="1"/>
        <v>2975346.9097058824</v>
      </c>
      <c r="L10" s="98">
        <f t="shared" si="2"/>
        <v>5299204.9641176481</v>
      </c>
      <c r="M10" s="51">
        <v>44541</v>
      </c>
      <c r="T10" s="75"/>
      <c r="U10" s="75"/>
    </row>
    <row r="11" spans="1:21">
      <c r="A11" s="55" t="s">
        <v>4997</v>
      </c>
      <c r="B11" s="56">
        <f>VLOOKUP(A11,TypeIDs!B:C,2,FALSE)</f>
        <v>12565</v>
      </c>
      <c r="C11" s="103">
        <f>VLOOKUP(B11,TradeSheet!B:T,19,FALSE)</f>
        <v>30</v>
      </c>
      <c r="D11" s="55" t="s">
        <v>42879</v>
      </c>
      <c r="E11" s="90">
        <f>MAX(VLOOKUP(B11,TradeSheet!B:K,10,FALSE)-O11,0)</f>
        <v>131.92083333333332</v>
      </c>
      <c r="F11" s="90">
        <v>2</v>
      </c>
      <c r="G11" s="60">
        <f>VLOOKUP(B11,TypeIDs!C:D,2,FALSE)</f>
        <v>1</v>
      </c>
      <c r="H11" s="92">
        <f t="shared" si="0"/>
        <v>133.92083333333332</v>
      </c>
      <c r="I11" s="53">
        <f>VLOOKUP(B11,TradeSheet!B:E,3,FALSE)</f>
        <v>98310.07</v>
      </c>
      <c r="J11" s="97">
        <f>MAX(VLOOKUP(B11,TradeSheet!B:F,5,FALSE)*(IF(F11&gt;0,E11,E11+F11)+O11),0)</f>
        <v>50268882.072499998</v>
      </c>
      <c r="K11" s="101">
        <f t="shared" si="1"/>
        <v>13165766.499458333</v>
      </c>
      <c r="L11" s="99">
        <f t="shared" si="2"/>
        <v>37103115.573041663</v>
      </c>
      <c r="M11" s="59">
        <v>44557</v>
      </c>
      <c r="N11" s="62"/>
      <c r="O11" s="62"/>
      <c r="T11" s="75"/>
      <c r="U11" s="75"/>
    </row>
    <row r="12" spans="1:21">
      <c r="A12" s="49" t="s">
        <v>16614</v>
      </c>
      <c r="B12" s="54">
        <f>VLOOKUP(A12,TypeIDs!B:C,2,FALSE)</f>
        <v>30013</v>
      </c>
      <c r="C12" s="54">
        <f>VLOOKUP(B12,TradeSheet!B:T,19,FALSE)</f>
        <v>95</v>
      </c>
      <c r="D12" s="49" t="s">
        <v>43984</v>
      </c>
      <c r="E12" s="89">
        <f>MAX(VLOOKUP(B12,TradeSheet!B:K,10,FALSE)-O12,0)</f>
        <v>189.70000000000002</v>
      </c>
      <c r="F12" s="89">
        <v>9</v>
      </c>
      <c r="G12" s="52">
        <f>VLOOKUP(B12,TypeIDs!C:D,2,FALSE)</f>
        <v>0.1</v>
      </c>
      <c r="H12" s="91">
        <f t="shared" si="0"/>
        <v>19.870000000000005</v>
      </c>
      <c r="I12" s="53">
        <f>VLOOKUP(B12,TradeSheet!B:E,3,FALSE)</f>
        <v>12279.315000000001</v>
      </c>
      <c r="J12" s="46">
        <f>MAX(VLOOKUP(B12,TradeSheet!B:F,5,FALSE)*(IF(F12&gt;0,E12,E12+F12)+O12),0)</f>
        <v>6978446.4750000006</v>
      </c>
      <c r="K12" s="100">
        <f t="shared" si="1"/>
        <v>2439899.8905000002</v>
      </c>
      <c r="L12" s="98">
        <f t="shared" si="2"/>
        <v>4538546.5844999999</v>
      </c>
      <c r="M12" s="59">
        <v>44557</v>
      </c>
      <c r="T12" s="75"/>
      <c r="U12" s="75"/>
    </row>
    <row r="13" spans="1:21">
      <c r="A13" s="55" t="s">
        <v>8564</v>
      </c>
      <c r="B13" s="56">
        <f>VLOOKUP(A13,TypeIDs!B:C,2,FALSE)</f>
        <v>18639</v>
      </c>
      <c r="C13" s="56">
        <f>VLOOKUP(B13,TradeSheet!B:T,19,FALSE)</f>
        <v>317</v>
      </c>
      <c r="D13" s="55" t="s">
        <v>43989</v>
      </c>
      <c r="E13" s="90">
        <f>MAX(VLOOKUP(B13,TradeSheet!B:K,10,FALSE)-O13,0)</f>
        <v>14</v>
      </c>
      <c r="F13" s="90">
        <v>7</v>
      </c>
      <c r="G13" s="60">
        <f>VLOOKUP(B13,TypeIDs!C:D,2,FALSE)</f>
        <v>5</v>
      </c>
      <c r="H13" s="92">
        <f t="shared" si="0"/>
        <v>105</v>
      </c>
      <c r="I13" s="53">
        <f>VLOOKUP(B13,TradeSheet!B:E,3,FALSE)</f>
        <v>31124.305</v>
      </c>
      <c r="J13" s="97">
        <f>MAX(VLOOKUP(B13,TradeSheet!B:F,5,FALSE)*(IF(F13&gt;0,E13,E13+F13)+O13),0)</f>
        <v>1672125</v>
      </c>
      <c r="K13" s="101">
        <f t="shared" si="1"/>
        <v>653610.40500000003</v>
      </c>
      <c r="L13" s="99">
        <f t="shared" si="2"/>
        <v>1018514.595</v>
      </c>
      <c r="M13" s="59">
        <v>44557</v>
      </c>
      <c r="N13" s="62"/>
      <c r="O13" s="62"/>
      <c r="T13" s="75"/>
      <c r="U13" s="75"/>
    </row>
    <row r="14" spans="1:21">
      <c r="A14" s="55" t="s">
        <v>4989</v>
      </c>
      <c r="B14" s="56">
        <f>VLOOKUP(A14,TypeIDs!B:C,2,FALSE)</f>
        <v>12557</v>
      </c>
      <c r="C14" s="56">
        <f>VLOOKUP(B14,TradeSheet!B:T,19,FALSE)</f>
        <v>26</v>
      </c>
      <c r="D14" s="55" t="s">
        <v>42879</v>
      </c>
      <c r="E14" s="90">
        <f>MAX(VLOOKUP(B14,TradeSheet!B:K,10,FALSE)-O14,0)</f>
        <v>93.654166666666669</v>
      </c>
      <c r="F14" s="90">
        <v>10</v>
      </c>
      <c r="G14" s="60">
        <f>VLOOKUP(B14,TypeIDs!C:D,2,FALSE)</f>
        <v>1</v>
      </c>
      <c r="H14" s="92">
        <f t="shared" si="0"/>
        <v>103.65416666666667</v>
      </c>
      <c r="I14" s="53">
        <f>VLOOKUP(B14,TradeSheet!B:E,3,FALSE)</f>
        <v>104545.735</v>
      </c>
      <c r="J14" s="97">
        <f>MAX(VLOOKUP(B14,TradeSheet!B:F,5,FALSE)*(IF(F14&gt;0,E14,E14+F14)+O14),0)</f>
        <v>42506114.21875</v>
      </c>
      <c r="K14" s="101">
        <f t="shared" si="1"/>
        <v>10836601.039979167</v>
      </c>
      <c r="L14" s="99">
        <f t="shared" si="2"/>
        <v>31669513.178770833</v>
      </c>
      <c r="M14" s="59">
        <v>44557</v>
      </c>
      <c r="N14" s="62"/>
      <c r="O14" s="62"/>
      <c r="T14" s="75"/>
      <c r="U14" s="75"/>
    </row>
    <row r="15" spans="1:21">
      <c r="A15" s="55" t="s">
        <v>5006</v>
      </c>
      <c r="B15" s="56">
        <f>VLOOKUP(A15,TypeIDs!B:C,2,FALSE)</f>
        <v>12608</v>
      </c>
      <c r="C15" s="103">
        <f>VLOOKUP(B15,TradeSheet!B:T,19,FALSE)</f>
        <v>104</v>
      </c>
      <c r="D15" s="55" t="s">
        <v>42879</v>
      </c>
      <c r="E15" s="90">
        <f>MAX(VLOOKUP(B15,TradeSheet!B:K,10,FALSE)-O15,0)</f>
        <v>39607.575000000004</v>
      </c>
      <c r="F15" s="90">
        <v>3500</v>
      </c>
      <c r="G15" s="60">
        <f>VLOOKUP(B15,TypeIDs!C:D,2,FALSE)</f>
        <v>2.5000000000000001E-3</v>
      </c>
      <c r="H15" s="92">
        <f t="shared" si="0"/>
        <v>107.76893750000001</v>
      </c>
      <c r="I15" s="53">
        <f>VLOOKUP(B15,TradeSheet!B:E,3,FALSE)</f>
        <v>70.006715</v>
      </c>
      <c r="J15" s="97">
        <f>MAX(VLOOKUP(B15,TradeSheet!B:F,5,FALSE)*(IF(F15&gt;0,E15,E15+F15)+O15),0)</f>
        <v>13018693.041900001</v>
      </c>
      <c r="K15" s="101">
        <f t="shared" si="1"/>
        <v>3017819.7173661254</v>
      </c>
      <c r="L15" s="99">
        <f t="shared" si="2"/>
        <v>10000873.324533876</v>
      </c>
      <c r="M15" s="59">
        <v>44557</v>
      </c>
      <c r="N15" s="62"/>
      <c r="O15" s="62"/>
      <c r="T15" s="75"/>
      <c r="U15" s="75"/>
    </row>
    <row r="16" spans="1:21">
      <c r="A16" s="49" t="s">
        <v>1237</v>
      </c>
      <c r="B16" s="54">
        <f>VLOOKUP(A16,TypeIDs!B:C,2,FALSE)</f>
        <v>2456</v>
      </c>
      <c r="C16" s="102">
        <f>VLOOKUP(B16,TradeSheet!B:T,19,FALSE)</f>
        <v>140</v>
      </c>
      <c r="D16" s="55" t="s">
        <v>42880</v>
      </c>
      <c r="E16" s="89">
        <f>MAX(VLOOKUP(B16,TradeSheet!B:K,10,FALSE)-O16,0)</f>
        <v>210</v>
      </c>
      <c r="F16" s="89">
        <v>15</v>
      </c>
      <c r="G16" s="52">
        <f>VLOOKUP(B16,TypeIDs!C:D,2,FALSE)</f>
        <v>5</v>
      </c>
      <c r="H16" s="91">
        <f t="shared" si="0"/>
        <v>1125</v>
      </c>
      <c r="I16" s="53">
        <f>VLOOKUP(B16,TradeSheet!B:E,3,FALSE)</f>
        <v>331010.7</v>
      </c>
      <c r="J16" s="46">
        <f>MAX(VLOOKUP(B16,TradeSheet!B:F,5,FALSE)*(IF(F16&gt;0,E16,E16+F16)+O16),0)</f>
        <v>134218129.5</v>
      </c>
      <c r="K16" s="100">
        <f t="shared" si="1"/>
        <v>74477407.5</v>
      </c>
      <c r="L16" s="98">
        <f t="shared" si="2"/>
        <v>59740722</v>
      </c>
      <c r="M16" s="59">
        <v>44557</v>
      </c>
      <c r="T16" s="75"/>
      <c r="U16" s="75"/>
    </row>
    <row r="17" spans="1:21">
      <c r="A17" s="49" t="s">
        <v>4427</v>
      </c>
      <c r="B17" s="56">
        <f>VLOOKUP(A17,TypeIDs!B:C,2,FALSE)</f>
        <v>11577</v>
      </c>
      <c r="C17" s="103">
        <f>VLOOKUP(B17,TradeSheet!B:T,19,FALSE)</f>
        <v>245</v>
      </c>
      <c r="D17" s="55" t="s">
        <v>43989</v>
      </c>
      <c r="E17" s="90">
        <f>MAX(VLOOKUP(B17,TradeSheet!B:K,10,FALSE)-O17,0)</f>
        <v>35</v>
      </c>
      <c r="F17" s="90">
        <v>-10</v>
      </c>
      <c r="G17" s="60">
        <f>VLOOKUP(B17,TypeIDs!C:D,2,FALSE)</f>
        <v>100</v>
      </c>
      <c r="H17" s="92">
        <f t="shared" si="0"/>
        <v>2500</v>
      </c>
      <c r="I17" s="53">
        <f>VLOOKUP(B17,TradeSheet!B:E,3,FALSE)</f>
        <v>4491523</v>
      </c>
      <c r="J17" s="97">
        <f>MAX(VLOOKUP(B17,TradeSheet!B:F,5,FALSE)*(IF(F17&gt;0,E17,E17+F17)+O17),0)</f>
        <v>229343887.5</v>
      </c>
      <c r="K17" s="101">
        <f t="shared" si="1"/>
        <v>112288075</v>
      </c>
      <c r="L17" s="99">
        <f t="shared" si="2"/>
        <v>117055812.5</v>
      </c>
      <c r="M17" s="59">
        <v>44557</v>
      </c>
      <c r="N17" s="62"/>
      <c r="O17" s="62"/>
      <c r="T17" s="75"/>
      <c r="U17" s="75"/>
    </row>
    <row r="18" spans="1:21">
      <c r="A18" s="55" t="s">
        <v>692</v>
      </c>
      <c r="B18" s="56">
        <f>VLOOKUP(A18,TypeIDs!B:C,2,FALSE)</f>
        <v>1405</v>
      </c>
      <c r="C18" s="103">
        <f>VLOOKUP(B18,TradeSheet!B:T,19,FALSE)</f>
        <v>309</v>
      </c>
      <c r="D18" s="55" t="s">
        <v>43989</v>
      </c>
      <c r="E18" s="90">
        <f>MAX(VLOOKUP(B18,TradeSheet!B:K,10,FALSE)-O18,0)</f>
        <v>245</v>
      </c>
      <c r="F18" s="90">
        <v>5</v>
      </c>
      <c r="G18" s="60">
        <f>VLOOKUP(B18,TypeIDs!C:D,2,FALSE)</f>
        <v>5</v>
      </c>
      <c r="H18" s="92">
        <f t="shared" si="0"/>
        <v>1250</v>
      </c>
      <c r="I18" s="53">
        <f>VLOOKUP(B18,TradeSheet!B:E,3,FALSE)</f>
        <v>488625.75</v>
      </c>
      <c r="J18" s="97">
        <f>MAX(VLOOKUP(B18,TradeSheet!B:F,5,FALSE)*(IF(F18&gt;0,E18,E18+F18)+O18),0)</f>
        <v>219817552.5</v>
      </c>
      <c r="K18" s="101">
        <f t="shared" si="1"/>
        <v>122156437.5</v>
      </c>
      <c r="L18" s="99">
        <f t="shared" si="2"/>
        <v>97661115</v>
      </c>
      <c r="M18" s="59">
        <v>44557</v>
      </c>
      <c r="N18" s="62"/>
      <c r="O18" s="62"/>
    </row>
    <row r="19" spans="1:21">
      <c r="A19" s="55" t="s">
        <v>12523</v>
      </c>
      <c r="B19" s="56">
        <f>VLOOKUP(A19,TypeIDs!B:C,2,FALSE)</f>
        <v>24499</v>
      </c>
      <c r="C19" s="103">
        <f>VLOOKUP(B19,TradeSheet!B:T,19,FALSE)</f>
        <v>73</v>
      </c>
      <c r="D19" s="55" t="s">
        <v>42879</v>
      </c>
      <c r="E19" s="90">
        <f>MAX(VLOOKUP(B19,TradeSheet!B:K,10,FALSE)-O19,0)</f>
        <v>63220.90833333334</v>
      </c>
      <c r="F19" s="90"/>
      <c r="G19" s="60">
        <f>VLOOKUP(B19,TypeIDs!C:D,2,FALSE)</f>
        <v>1.4999999999999999E-2</v>
      </c>
      <c r="H19" s="92">
        <f t="shared" si="0"/>
        <v>948.31362500000012</v>
      </c>
      <c r="I19" s="53">
        <f>VLOOKUP(B19,TradeSheet!B:E,3,FALSE)</f>
        <v>124.11255</v>
      </c>
      <c r="J19" s="97">
        <f>MAX(VLOOKUP(B19,TradeSheet!B:F,5,FALSE)*(IF(F19&gt;0,E19,E19+F19)+O19),0)</f>
        <v>11761355.41956375</v>
      </c>
      <c r="K19" s="101">
        <f t="shared" si="1"/>
        <v>7846508.1465662504</v>
      </c>
      <c r="L19" s="99">
        <f t="shared" si="2"/>
        <v>3914847.2729974994</v>
      </c>
      <c r="M19" s="59">
        <v>44557</v>
      </c>
      <c r="N19" s="62"/>
      <c r="O19" s="62"/>
      <c r="T19" s="75"/>
      <c r="U19" s="75"/>
    </row>
    <row r="20" spans="1:21">
      <c r="A20" s="55" t="s">
        <v>1022</v>
      </c>
      <c r="B20" s="56">
        <f>VLOOKUP(A20,TypeIDs!B:C,2,FALSE)</f>
        <v>2175</v>
      </c>
      <c r="C20" s="103">
        <f>VLOOKUP(B20,TradeSheet!B:T,19,FALSE)</f>
        <v>147</v>
      </c>
      <c r="D20" s="55" t="s">
        <v>42880</v>
      </c>
      <c r="E20" s="90">
        <f>MAX(VLOOKUP(B20,TradeSheet!B:K,10,FALSE)-O20,0)</f>
        <v>350</v>
      </c>
      <c r="F20" s="90"/>
      <c r="G20" s="60">
        <f>VLOOKUP(B20,TypeIDs!C:D,2,FALSE)</f>
        <v>10</v>
      </c>
      <c r="H20" s="92">
        <f t="shared" si="0"/>
        <v>3500</v>
      </c>
      <c r="I20" s="53">
        <f>VLOOKUP(B20,TradeSheet!B:E,3,FALSE)</f>
        <v>895780.5</v>
      </c>
      <c r="J20" s="97">
        <f>MAX(VLOOKUP(B20,TradeSheet!B:F,5,FALSE)*(IF(F20&gt;0,E20,E20+F20)+O20),0)</f>
        <v>999596325</v>
      </c>
      <c r="K20" s="101">
        <f t="shared" si="1"/>
        <v>313523175</v>
      </c>
      <c r="L20" s="99">
        <f t="shared" si="2"/>
        <v>686073150</v>
      </c>
      <c r="M20" s="59">
        <v>44557</v>
      </c>
      <c r="N20" s="62"/>
      <c r="O20" s="62"/>
    </row>
    <row r="21" spans="1:21">
      <c r="A21" s="55" t="s">
        <v>36942</v>
      </c>
      <c r="B21" s="56">
        <f>VLOOKUP(A21,TypeIDs!B:C,2,FALSE)</f>
        <v>58972</v>
      </c>
      <c r="C21" s="103">
        <f>VLOOKUP(B21,TradeSheet!B:T,19,FALSE)</f>
        <v>311</v>
      </c>
      <c r="D21" s="55" t="s">
        <v>43989</v>
      </c>
      <c r="E21" s="90">
        <f>MAX(VLOOKUP(B21,TradeSheet!B:K,10,FALSE)-O21,0)</f>
        <v>21</v>
      </c>
      <c r="F21" s="90">
        <v>4</v>
      </c>
      <c r="G21" s="60">
        <f>VLOOKUP(B21,TypeIDs!C:D,2,FALSE)</f>
        <v>5</v>
      </c>
      <c r="H21" s="92">
        <f t="shared" si="0"/>
        <v>125</v>
      </c>
      <c r="I21" s="53">
        <f>VLOOKUP(B21,TradeSheet!B:E,3,FALSE)</f>
        <v>1019754</v>
      </c>
      <c r="J21" s="97">
        <f>MAX(VLOOKUP(B21,TradeSheet!B:F,5,FALSE)*(IF(F21&gt;0,E21,E21+F21)+O21),0)</f>
        <v>58952439</v>
      </c>
      <c r="K21" s="101">
        <f t="shared" si="1"/>
        <v>25493850</v>
      </c>
      <c r="L21" s="99">
        <f t="shared" si="2"/>
        <v>33458589</v>
      </c>
      <c r="M21" s="59">
        <v>44557</v>
      </c>
      <c r="N21" s="62"/>
      <c r="O21" s="62"/>
    </row>
    <row r="22" spans="1:21">
      <c r="A22" s="49" t="s">
        <v>5096</v>
      </c>
      <c r="B22" s="54">
        <f>VLOOKUP(A22,TypeIDs!B:C,2,FALSE)</f>
        <v>12801</v>
      </c>
      <c r="C22" s="54">
        <f>VLOOKUP(B22,TradeSheet!B:T,19,FALSE)</f>
        <v>39</v>
      </c>
      <c r="D22" s="49" t="s">
        <v>42879</v>
      </c>
      <c r="E22" s="89">
        <f>MAX(VLOOKUP(B22,TradeSheet!B:K,10,FALSE)-O22,0)</f>
        <v>41638.75</v>
      </c>
      <c r="F22" s="89">
        <v>-25639</v>
      </c>
      <c r="G22" s="52">
        <f>VLOOKUP(B22,TypeIDs!C:D,2,FALSE)</f>
        <v>1.2500000000000001E-2</v>
      </c>
      <c r="H22" s="91">
        <f t="shared" si="0"/>
        <v>199.99687500000002</v>
      </c>
      <c r="I22" s="53">
        <f>VLOOKUP(B22,TradeSheet!B:E,3,FALSE)</f>
        <v>162.70249999999999</v>
      </c>
      <c r="J22" s="46">
        <f>MAX(VLOOKUP(B22,TradeSheet!B:F,5,FALSE)*(IF(F22&gt;0,E22,E22+F22)+O22),0)</f>
        <v>3057552.2250000001</v>
      </c>
      <c r="K22" s="100">
        <f t="shared" si="1"/>
        <v>2603199.3243749999</v>
      </c>
      <c r="L22" s="98">
        <f t="shared" si="2"/>
        <v>454352.90062500024</v>
      </c>
      <c r="M22" s="51">
        <v>44541</v>
      </c>
      <c r="T22" s="75"/>
      <c r="U22" s="75"/>
    </row>
    <row r="23" spans="1:21">
      <c r="A23" s="49" t="s">
        <v>13516</v>
      </c>
      <c r="B23" s="54">
        <f>VLOOKUP(A23,TypeIDs!B:C,2,FALSE)</f>
        <v>25948</v>
      </c>
      <c r="C23" s="102">
        <f>VLOOKUP(B23,TradeSheet!B:T,19,FALSE)</f>
        <v>186</v>
      </c>
      <c r="D23" s="55" t="s">
        <v>43988</v>
      </c>
      <c r="E23" s="89">
        <f>MAX(VLOOKUP(B23,TradeSheet!B:K,10,FALSE)-O23,0)</f>
        <v>7</v>
      </c>
      <c r="F23" s="89">
        <v>2</v>
      </c>
      <c r="G23" s="52">
        <f>VLOOKUP(B23,TypeIDs!C:D,2,FALSE)</f>
        <v>20</v>
      </c>
      <c r="H23" s="91">
        <f t="shared" si="0"/>
        <v>180</v>
      </c>
      <c r="I23" s="53">
        <f>VLOOKUP(B23,TradeSheet!B:E,3,FALSE)</f>
        <v>2876796.5</v>
      </c>
      <c r="J23" s="46">
        <f>MAX(VLOOKUP(B23,TradeSheet!B:F,5,FALSE)*(IF(F23&gt;0,E23,E23+F23)+O23),0)</f>
        <v>100260615</v>
      </c>
      <c r="K23" s="100">
        <f t="shared" si="1"/>
        <v>25891168.5</v>
      </c>
      <c r="L23" s="98">
        <f t="shared" si="2"/>
        <v>74369446.5</v>
      </c>
      <c r="M23" s="59">
        <v>44557</v>
      </c>
      <c r="T23" s="75"/>
      <c r="U23" s="75"/>
    </row>
    <row r="24" spans="1:21">
      <c r="A24" s="55" t="s">
        <v>13866</v>
      </c>
      <c r="B24" s="56">
        <f>VLOOKUP(A24,TypeIDs!B:C,2,FALSE)</f>
        <v>26374</v>
      </c>
      <c r="C24" s="103">
        <f>VLOOKUP(B24,TradeSheet!B:T,19,FALSE)</f>
        <v>187</v>
      </c>
      <c r="D24" s="55" t="s">
        <v>43988</v>
      </c>
      <c r="E24" s="90">
        <f>MAX(VLOOKUP(B24,TradeSheet!B:K,10,FALSE)-O24,0)</f>
        <v>7</v>
      </c>
      <c r="F24" s="90">
        <v>-1</v>
      </c>
      <c r="G24" s="60">
        <f>VLOOKUP(B24,TypeIDs!C:D,2,FALSE)</f>
        <v>20</v>
      </c>
      <c r="H24" s="92">
        <f t="shared" si="0"/>
        <v>120</v>
      </c>
      <c r="I24" s="53">
        <f>VLOOKUP(B24,TradeSheet!B:E,3,FALSE)</f>
        <v>30298055</v>
      </c>
      <c r="J24" s="97">
        <f>MAX(VLOOKUP(B24,TradeSheet!B:F,5,FALSE)*(IF(F24&gt;0,E24,E24+F24)+O24),0)</f>
        <v>298116000</v>
      </c>
      <c r="K24" s="101">
        <f t="shared" si="1"/>
        <v>181788330</v>
      </c>
      <c r="L24" s="99">
        <f t="shared" si="2"/>
        <v>116327670</v>
      </c>
      <c r="M24" s="59">
        <v>44557</v>
      </c>
      <c r="N24" s="62"/>
      <c r="O24" s="62"/>
    </row>
    <row r="25" spans="1:21">
      <c r="A25" s="55" t="s">
        <v>2531</v>
      </c>
      <c r="B25" s="56">
        <f>VLOOKUP(A25,TypeIDs!B:C,2,FALSE)</f>
        <v>3841</v>
      </c>
      <c r="C25" s="103">
        <f>VLOOKUP(B25,TradeSheet!B:T,19,FALSE)</f>
        <v>327</v>
      </c>
      <c r="D25" s="55" t="s">
        <v>43989</v>
      </c>
      <c r="E25" s="90">
        <f>MAX(VLOOKUP(B25,TradeSheet!B:K,10,FALSE)-O25,0)</f>
        <v>126</v>
      </c>
      <c r="F25" s="90">
        <v>4</v>
      </c>
      <c r="G25" s="60">
        <f>VLOOKUP(B25,TypeIDs!C:D,2,FALSE)</f>
        <v>20</v>
      </c>
      <c r="H25" s="92">
        <f t="shared" si="0"/>
        <v>2600</v>
      </c>
      <c r="I25" s="53">
        <f>VLOOKUP(B25,TradeSheet!B:E,3,FALSE)</f>
        <v>1369583</v>
      </c>
      <c r="J25" s="97">
        <f>MAX(VLOOKUP(B25,TradeSheet!B:F,5,FALSE)*(IF(F25&gt;0,E25,E25+F25)+O25),0)</f>
        <v>215744256</v>
      </c>
      <c r="K25" s="101">
        <f t="shared" si="1"/>
        <v>178045790</v>
      </c>
      <c r="L25" s="99">
        <f t="shared" si="2"/>
        <v>37698466</v>
      </c>
      <c r="M25" s="59">
        <v>44557</v>
      </c>
      <c r="N25" s="62"/>
      <c r="O25" s="62"/>
      <c r="T25" s="75"/>
      <c r="U25" s="75"/>
    </row>
    <row r="26" spans="1:21">
      <c r="A26" s="49" t="s">
        <v>17663</v>
      </c>
      <c r="B26" s="54">
        <f>VLOOKUP(A26,TypeIDs!B:C,2,FALSE)</f>
        <v>31360</v>
      </c>
      <c r="C26" s="102">
        <f>VLOOKUP(B26,TradeSheet!B:T,19,FALSE)</f>
        <v>188</v>
      </c>
      <c r="D26" s="55" t="s">
        <v>43988</v>
      </c>
      <c r="E26" s="89">
        <f>MAX(VLOOKUP(B26,TradeSheet!B:K,10,FALSE)-O26,0)</f>
        <v>35</v>
      </c>
      <c r="G26" s="52">
        <f>VLOOKUP(B26,TypeIDs!C:D,2,FALSE)</f>
        <v>10</v>
      </c>
      <c r="H26" s="91">
        <f t="shared" si="0"/>
        <v>350</v>
      </c>
      <c r="I26" s="53">
        <f>VLOOKUP(B26,TradeSheet!B:E,3,FALSE)</f>
        <v>3339910.5</v>
      </c>
      <c r="J26" s="46">
        <f>MAX(VLOOKUP(B26,TradeSheet!B:F,5,FALSE)*(IF(F26&gt;0,E26,E26+F26)+O26),0)</f>
        <v>159487282.5</v>
      </c>
      <c r="K26" s="100">
        <f t="shared" si="1"/>
        <v>116896867.5</v>
      </c>
      <c r="L26" s="98">
        <f t="shared" si="2"/>
        <v>42590415</v>
      </c>
      <c r="M26" s="59">
        <v>44557</v>
      </c>
    </row>
    <row r="27" spans="1:21">
      <c r="A27" s="49" t="s">
        <v>17360</v>
      </c>
      <c r="B27" s="54">
        <f>VLOOKUP(A27,TypeIDs!B:C,2,FALSE)</f>
        <v>31047</v>
      </c>
      <c r="C27" s="54">
        <f>VLOOKUP(B27,TradeSheet!B:T,19,FALSE)</f>
        <v>160</v>
      </c>
      <c r="D27" s="49" t="s">
        <v>43988</v>
      </c>
      <c r="E27" s="89">
        <f>MAX(VLOOKUP(B27,TradeSheet!B:K,10,FALSE)-O27,0)</f>
        <v>28</v>
      </c>
      <c r="G27" s="52">
        <f>VLOOKUP(B27,TypeIDs!C:D,2,FALSE)</f>
        <v>10</v>
      </c>
      <c r="H27" s="91">
        <f t="shared" si="0"/>
        <v>280</v>
      </c>
      <c r="I27" s="53">
        <f>VLOOKUP(B27,TradeSheet!B:E,3,FALSE)</f>
        <v>1671844</v>
      </c>
      <c r="J27" s="46">
        <f>MAX(VLOOKUP(B27,TradeSheet!B:F,5,FALSE)*(IF(F27&gt;0,E27,E27+F27)+O27),0)</f>
        <v>73198944</v>
      </c>
      <c r="K27" s="100">
        <f t="shared" si="1"/>
        <v>46811632</v>
      </c>
      <c r="L27" s="98">
        <f t="shared" si="2"/>
        <v>26387312</v>
      </c>
      <c r="M27" s="59">
        <v>44557</v>
      </c>
      <c r="T27" s="75"/>
      <c r="U27" s="75"/>
    </row>
    <row r="28" spans="1:21">
      <c r="A28" s="49" t="s">
        <v>17675</v>
      </c>
      <c r="B28" s="54">
        <f>VLOOKUP(A28,TypeIDs!B:C,2,FALSE)</f>
        <v>31372</v>
      </c>
      <c r="C28" s="102">
        <f>VLOOKUP(B28,TradeSheet!B:T,19,FALSE)</f>
        <v>189</v>
      </c>
      <c r="D28" s="55" t="s">
        <v>43988</v>
      </c>
      <c r="E28" s="89">
        <f>MAX(VLOOKUP(B28,TradeSheet!B:K,10,FALSE)-O28,0)</f>
        <v>35</v>
      </c>
      <c r="G28" s="52">
        <f>VLOOKUP(B28,TypeIDs!C:D,2,FALSE)</f>
        <v>10</v>
      </c>
      <c r="H28" s="91">
        <f t="shared" si="0"/>
        <v>350</v>
      </c>
      <c r="I28" s="53">
        <f>VLOOKUP(B28,TradeSheet!B:E,3,FALSE)</f>
        <v>520805</v>
      </c>
      <c r="J28" s="46">
        <f>MAX(VLOOKUP(B28,TradeSheet!B:F,5,FALSE)*(IF(F28&gt;0,E28,E28+F28)+O28),0)</f>
        <v>43308037.5</v>
      </c>
      <c r="K28" s="100">
        <f t="shared" si="1"/>
        <v>18228175</v>
      </c>
      <c r="L28" s="98">
        <f t="shared" si="2"/>
        <v>25079862.5</v>
      </c>
      <c r="M28" s="59">
        <v>44557</v>
      </c>
      <c r="T28" s="75"/>
      <c r="U28" s="75"/>
    </row>
    <row r="29" spans="1:21">
      <c r="A29" s="55" t="s">
        <v>17423</v>
      </c>
      <c r="B29" s="56">
        <f>VLOOKUP(A29,TypeIDs!B:C,2,FALSE)</f>
        <v>31119</v>
      </c>
      <c r="C29" s="103">
        <f>VLOOKUP(B29,TradeSheet!B:T,19,FALSE)</f>
        <v>171</v>
      </c>
      <c r="D29" s="55" t="s">
        <v>43988</v>
      </c>
      <c r="E29" s="90">
        <f>MAX(VLOOKUP(B29,TradeSheet!B:K,10,FALSE)-O29,0)</f>
        <v>42</v>
      </c>
      <c r="F29" s="90">
        <v>3</v>
      </c>
      <c r="G29" s="60">
        <f>VLOOKUP(B29,TypeIDs!C:D,2,FALSE)</f>
        <v>10</v>
      </c>
      <c r="H29" s="92">
        <f t="shared" si="0"/>
        <v>450</v>
      </c>
      <c r="I29" s="53">
        <f>VLOOKUP(B29,TradeSheet!B:E,3,FALSE)</f>
        <v>290492.75</v>
      </c>
      <c r="J29" s="97">
        <f>MAX(VLOOKUP(B29,TradeSheet!B:F,5,FALSE)*(IF(F29&gt;0,E29,E29+F29)+O29),0)</f>
        <v>34103323.800000004</v>
      </c>
      <c r="K29" s="101">
        <f t="shared" si="1"/>
        <v>13072173.75</v>
      </c>
      <c r="L29" s="99">
        <f t="shared" si="2"/>
        <v>21031150.050000004</v>
      </c>
      <c r="M29" s="59">
        <v>44557</v>
      </c>
      <c r="N29" s="62"/>
      <c r="O29" s="62"/>
      <c r="T29" s="75"/>
      <c r="U29" s="75"/>
    </row>
    <row r="30" spans="1:21">
      <c r="A30" s="55" t="s">
        <v>28223</v>
      </c>
      <c r="B30" s="56">
        <f>VLOOKUP(A30,TypeIDs!B:C,2,FALSE)</f>
        <v>43896</v>
      </c>
      <c r="C30" s="103">
        <f>VLOOKUP(B30,TradeSheet!B:T,19,FALSE)</f>
        <v>190</v>
      </c>
      <c r="D30" s="55" t="s">
        <v>43988</v>
      </c>
      <c r="E30" s="90">
        <f>MAX(VLOOKUP(B30,TradeSheet!B:K,10,FALSE)-O30,0)</f>
        <v>21</v>
      </c>
      <c r="F30" s="90"/>
      <c r="G30" s="60">
        <f>VLOOKUP(B30,TypeIDs!C:D,2,FALSE)</f>
        <v>10</v>
      </c>
      <c r="H30" s="92">
        <f t="shared" si="0"/>
        <v>210</v>
      </c>
      <c r="I30" s="53">
        <f>VLOOKUP(B30,TradeSheet!B:E,3,FALSE)</f>
        <v>648547.35</v>
      </c>
      <c r="J30" s="97">
        <f>MAX(VLOOKUP(B30,TradeSheet!B:F,5,FALSE)*(IF(F30&gt;0,E30,E30+F30)+O30),0)</f>
        <v>20065500</v>
      </c>
      <c r="K30" s="101">
        <f t="shared" si="1"/>
        <v>13619494.35</v>
      </c>
      <c r="L30" s="99">
        <f t="shared" si="2"/>
        <v>6446005.6500000004</v>
      </c>
      <c r="M30" s="59">
        <v>44557</v>
      </c>
      <c r="N30" s="62"/>
      <c r="O30" s="62"/>
    </row>
    <row r="31" spans="1:21">
      <c r="A31" s="49" t="s">
        <v>18254</v>
      </c>
      <c r="B31" s="54">
        <f>VLOOKUP(A31,TypeIDs!B:C,2,FALSE)</f>
        <v>32043</v>
      </c>
      <c r="C31" s="102">
        <f>VLOOKUP(B31,TradeSheet!B:T,19,FALSE)</f>
        <v>185</v>
      </c>
      <c r="D31" s="55" t="s">
        <v>43988</v>
      </c>
      <c r="E31" s="89">
        <f>MAX(VLOOKUP(B31,TradeSheet!B:K,10,FALSE)-O31,0)</f>
        <v>7</v>
      </c>
      <c r="F31" s="89">
        <v>2</v>
      </c>
      <c r="G31" s="52">
        <f>VLOOKUP(B31,TypeIDs!C:D,2,FALSE)</f>
        <v>10</v>
      </c>
      <c r="H31" s="91">
        <f t="shared" si="0"/>
        <v>90</v>
      </c>
      <c r="I31" s="53">
        <f>VLOOKUP(B31,TradeSheet!B:E,3,FALSE)</f>
        <v>886275.55</v>
      </c>
      <c r="J31" s="46">
        <f>MAX(VLOOKUP(B31,TradeSheet!B:F,5,FALSE)*(IF(F31&gt;0,E31,E31+F31)+O31),0)</f>
        <v>30747034.5</v>
      </c>
      <c r="K31" s="100">
        <f t="shared" si="1"/>
        <v>7976479.9500000002</v>
      </c>
      <c r="L31" s="98">
        <f t="shared" si="2"/>
        <v>22770554.550000001</v>
      </c>
      <c r="M31" s="59">
        <v>44557</v>
      </c>
      <c r="T31" s="75"/>
      <c r="U31" s="75"/>
    </row>
    <row r="32" spans="1:21">
      <c r="A32" s="49" t="s">
        <v>18021</v>
      </c>
      <c r="B32" s="54">
        <f>VLOOKUP(A32,TypeIDs!B:C,2,FALSE)</f>
        <v>31718</v>
      </c>
      <c r="C32" s="54">
        <f>VLOOKUP(B32,TradeSheet!B:T,19,FALSE)</f>
        <v>209</v>
      </c>
      <c r="D32" s="49" t="s">
        <v>43988</v>
      </c>
      <c r="E32" s="89">
        <f>MAX(VLOOKUP(B32,TradeSheet!B:K,10,FALSE)-O32,0)</f>
        <v>63</v>
      </c>
      <c r="G32" s="60">
        <f>VLOOKUP(B32,TypeIDs!C:D,2,FALSE)</f>
        <v>10</v>
      </c>
      <c r="H32" s="92">
        <f t="shared" si="0"/>
        <v>630</v>
      </c>
      <c r="I32" s="53">
        <f>VLOOKUP(B32,TradeSheet!B:E,3,FALSE)</f>
        <v>89635.4</v>
      </c>
      <c r="J32" s="46">
        <f>MAX(VLOOKUP(B32,TradeSheet!B:F,5,FALSE)*(IF(F32&gt;0,E32,E32+F32)+O32),0)</f>
        <v>21664720.350000001</v>
      </c>
      <c r="K32" s="100">
        <f t="shared" si="1"/>
        <v>5647030.1999999993</v>
      </c>
      <c r="L32" s="98">
        <f t="shared" si="2"/>
        <v>16017690.150000002</v>
      </c>
      <c r="M32" s="59">
        <v>44557</v>
      </c>
    </row>
    <row r="33" spans="1:21">
      <c r="A33" s="49" t="s">
        <v>18027</v>
      </c>
      <c r="B33" s="56">
        <f>VLOOKUP(A33,TypeIDs!B:C,2,FALSE)</f>
        <v>31724</v>
      </c>
      <c r="C33" s="103">
        <f>VLOOKUP(B33,TradeSheet!B:T,19,FALSE)</f>
        <v>213</v>
      </c>
      <c r="D33" s="55" t="s">
        <v>43988</v>
      </c>
      <c r="E33" s="90">
        <f>MAX(VLOOKUP(B33,TradeSheet!B:K,10,FALSE)-O33,0)</f>
        <v>84</v>
      </c>
      <c r="F33" s="90">
        <v>2</v>
      </c>
      <c r="G33" s="57">
        <f>VLOOKUP(B33,TypeIDs!C:D,2,FALSE)</f>
        <v>10</v>
      </c>
      <c r="H33" s="93">
        <f t="shared" si="0"/>
        <v>860</v>
      </c>
      <c r="I33" s="58">
        <f>VLOOKUP(B33,TradeSheet!B:E,3,FALSE)</f>
        <v>3970788.5</v>
      </c>
      <c r="J33" s="97">
        <f>MAX(VLOOKUP(B33,TradeSheet!B:F,5,FALSE)*(IF(F33&gt;0,E33,E33+F33)+O33),0)</f>
        <v>520739856</v>
      </c>
      <c r="K33" s="101">
        <f t="shared" si="1"/>
        <v>341487811</v>
      </c>
      <c r="L33" s="99">
        <f t="shared" si="2"/>
        <v>179252045</v>
      </c>
      <c r="M33" s="59">
        <v>44557</v>
      </c>
      <c r="N33" s="62"/>
      <c r="O33" s="62"/>
    </row>
    <row r="34" spans="1:21">
      <c r="A34" s="49" t="s">
        <v>17324</v>
      </c>
      <c r="B34" s="54">
        <f>VLOOKUP(A34,TypeIDs!B:C,2,FALSE)</f>
        <v>31011</v>
      </c>
      <c r="C34" s="54">
        <f>VLOOKUP(B34,TradeSheet!B:T,19,FALSE)</f>
        <v>161</v>
      </c>
      <c r="D34" s="49" t="s">
        <v>43988</v>
      </c>
      <c r="E34" s="89">
        <f>MAX(VLOOKUP(B34,TradeSheet!B:K,10,FALSE)-O34,0)</f>
        <v>21</v>
      </c>
      <c r="G34" s="57">
        <f>VLOOKUP(B34,TypeIDs!C:D,2,FALSE)</f>
        <v>10</v>
      </c>
      <c r="H34" s="93">
        <f t="shared" ref="H34:H65" si="3">MAX(G34*(E34+F34),0)</f>
        <v>210</v>
      </c>
      <c r="I34" s="58">
        <f>VLOOKUP(B34,TradeSheet!B:E,3,FALSE)</f>
        <v>1245688</v>
      </c>
      <c r="J34" s="46">
        <f>MAX(VLOOKUP(B34,TradeSheet!B:F,5,FALSE)*(IF(F34&gt;0,E34,E34+F34)+O34),0)</f>
        <v>58671522</v>
      </c>
      <c r="K34" s="100">
        <f t="shared" ref="K34:K65" si="4">MAX(I34*(E34+F34),0)</f>
        <v>26159448</v>
      </c>
      <c r="L34" s="98">
        <f t="shared" ref="L34:L65" si="5">(J34-K34)</f>
        <v>32512074</v>
      </c>
      <c r="M34" s="51">
        <v>44541</v>
      </c>
      <c r="T34" s="75"/>
      <c r="U34" s="75"/>
    </row>
    <row r="35" spans="1:21">
      <c r="A35" s="49" t="s">
        <v>17465</v>
      </c>
      <c r="B35" s="54">
        <f>VLOOKUP(A35,TypeIDs!B:C,2,FALSE)</f>
        <v>31161</v>
      </c>
      <c r="C35" s="54">
        <f>VLOOKUP(B35,TradeSheet!B:T,19,FALSE)</f>
        <v>172</v>
      </c>
      <c r="D35" s="49" t="s">
        <v>43988</v>
      </c>
      <c r="E35" s="89">
        <f>MAX(VLOOKUP(B35,TradeSheet!B:K,10,FALSE)-O35,0)</f>
        <v>42</v>
      </c>
      <c r="G35" s="57">
        <f>VLOOKUP(B35,TypeIDs!C:D,2,FALSE)</f>
        <v>10</v>
      </c>
      <c r="H35" s="93">
        <f t="shared" si="3"/>
        <v>420</v>
      </c>
      <c r="I35" s="58">
        <f>VLOOKUP(B35,TradeSheet!B:E,3,FALSE)</f>
        <v>971402.3</v>
      </c>
      <c r="J35" s="46">
        <f>MAX(VLOOKUP(B35,TradeSheet!B:F,5,FALSE)*(IF(F35&gt;0,E35,E35+F35)+O35),0)</f>
        <v>47354580</v>
      </c>
      <c r="K35" s="100">
        <f t="shared" si="4"/>
        <v>40798896.600000001</v>
      </c>
      <c r="L35" s="98">
        <f t="shared" si="5"/>
        <v>6555683.3999999985</v>
      </c>
      <c r="M35" s="59">
        <v>44557</v>
      </c>
      <c r="T35" s="75"/>
      <c r="U35" s="75"/>
    </row>
    <row r="36" spans="1:21">
      <c r="A36" s="55" t="s">
        <v>17471</v>
      </c>
      <c r="B36" s="56">
        <f>VLOOKUP(A36,TypeIDs!B:C,2,FALSE)</f>
        <v>31167</v>
      </c>
      <c r="C36" s="103">
        <f>VLOOKUP(B36,TradeSheet!B:T,19,FALSE)</f>
        <v>176</v>
      </c>
      <c r="D36" s="55" t="s">
        <v>43988</v>
      </c>
      <c r="E36" s="90">
        <f>MAX(VLOOKUP(B36,TradeSheet!B:K,10,FALSE)-O36,0)</f>
        <v>14</v>
      </c>
      <c r="F36" s="90"/>
      <c r="G36" s="57">
        <f>VLOOKUP(B36,TypeIDs!C:D,2,FALSE)</f>
        <v>10</v>
      </c>
      <c r="H36" s="93">
        <f t="shared" si="3"/>
        <v>140</v>
      </c>
      <c r="I36" s="58">
        <f>VLOOKUP(B36,TradeSheet!B:E,3,FALSE)</f>
        <v>7832305</v>
      </c>
      <c r="J36" s="97">
        <f>MAX(VLOOKUP(B36,TradeSheet!B:F,5,FALSE)*(IF(F36&gt;0,E36,E36+F36)+O36),0)</f>
        <v>178984260</v>
      </c>
      <c r="K36" s="101">
        <f t="shared" si="4"/>
        <v>109652270</v>
      </c>
      <c r="L36" s="99">
        <f t="shared" si="5"/>
        <v>69331990</v>
      </c>
      <c r="M36" s="59">
        <v>44557</v>
      </c>
      <c r="N36" s="62"/>
      <c r="O36" s="62"/>
      <c r="T36" s="75"/>
      <c r="U36" s="75"/>
    </row>
    <row r="37" spans="1:21">
      <c r="A37" s="49" t="s">
        <v>18692</v>
      </c>
      <c r="B37" s="54">
        <f>VLOOKUP(A37,TypeIDs!B:C,2,FALSE)</f>
        <v>32819</v>
      </c>
      <c r="C37" s="102">
        <f>VLOOKUP(B37,TradeSheet!B:T,19,FALSE)</f>
        <v>201</v>
      </c>
      <c r="D37" s="55" t="s">
        <v>43988</v>
      </c>
      <c r="E37" s="89">
        <f>MAX(VLOOKUP(B37,TradeSheet!B:K,10,FALSE)-O37,0)</f>
        <v>56</v>
      </c>
      <c r="F37" s="89">
        <v>4</v>
      </c>
      <c r="G37" s="57">
        <f>VLOOKUP(B37,TypeIDs!C:D,2,FALSE)</f>
        <v>10</v>
      </c>
      <c r="H37" s="93">
        <f t="shared" si="3"/>
        <v>600</v>
      </c>
      <c r="I37" s="58">
        <f>VLOOKUP(B37,TradeSheet!B:E,3,FALSE)</f>
        <v>353267.20000000001</v>
      </c>
      <c r="J37" s="46">
        <f>MAX(VLOOKUP(B37,TradeSheet!B:F,5,FALSE)*(IF(F37&gt;0,E37,E37+F37)+O37),0)</f>
        <v>74804184</v>
      </c>
      <c r="K37" s="100">
        <f t="shared" si="4"/>
        <v>21196032</v>
      </c>
      <c r="L37" s="98">
        <f t="shared" si="5"/>
        <v>53608152</v>
      </c>
      <c r="M37" s="59">
        <v>44557</v>
      </c>
      <c r="T37" s="75"/>
      <c r="U37" s="75"/>
    </row>
    <row r="38" spans="1:21">
      <c r="A38" s="49" t="s">
        <v>17459</v>
      </c>
      <c r="B38" s="54">
        <f>VLOOKUP(A38,TypeIDs!B:C,2,FALSE)</f>
        <v>31155</v>
      </c>
      <c r="C38" s="54">
        <f>VLOOKUP(B38,TradeSheet!B:T,19,FALSE)</f>
        <v>173</v>
      </c>
      <c r="D38" s="49" t="s">
        <v>43988</v>
      </c>
      <c r="E38" s="89">
        <f>MAX(VLOOKUP(B38,TradeSheet!B:K,10,FALSE)-O38,0)</f>
        <v>63</v>
      </c>
      <c r="G38" s="57">
        <f>VLOOKUP(B38,TypeIDs!C:D,2,FALSE)</f>
        <v>10</v>
      </c>
      <c r="H38" s="93">
        <f t="shared" si="3"/>
        <v>630</v>
      </c>
      <c r="I38" s="58">
        <f>VLOOKUP(B38,TradeSheet!B:E,3,FALSE)</f>
        <v>683120.3</v>
      </c>
      <c r="J38" s="46">
        <f>MAX(VLOOKUP(B38,TradeSheet!B:F,5,FALSE)*(IF(F38&gt;0,E38,E38+F38)+O38),0)</f>
        <v>74643660</v>
      </c>
      <c r="K38" s="100">
        <f t="shared" si="4"/>
        <v>43036578.900000006</v>
      </c>
      <c r="L38" s="98">
        <f t="shared" si="5"/>
        <v>31607081.099999994</v>
      </c>
      <c r="M38" s="59">
        <v>44557</v>
      </c>
      <c r="T38" s="75"/>
      <c r="U38" s="75"/>
    </row>
    <row r="39" spans="1:21">
      <c r="A39" s="55" t="s">
        <v>18690</v>
      </c>
      <c r="B39" s="56">
        <f>VLOOKUP(A39,TypeIDs!B:C,2,FALSE)</f>
        <v>32817</v>
      </c>
      <c r="C39" s="103">
        <f>VLOOKUP(B39,TradeSheet!B:T,19,FALSE)</f>
        <v>202</v>
      </c>
      <c r="D39" s="55" t="s">
        <v>43988</v>
      </c>
      <c r="E39" s="90">
        <f>MAX(VLOOKUP(B39,TradeSheet!B:K,10,FALSE)-O39,0)</f>
        <v>14</v>
      </c>
      <c r="F39" s="90">
        <v>1</v>
      </c>
      <c r="G39" s="57">
        <f>VLOOKUP(B39,TypeIDs!C:D,2,FALSE)</f>
        <v>10</v>
      </c>
      <c r="H39" s="93">
        <f t="shared" si="3"/>
        <v>150</v>
      </c>
      <c r="I39" s="58">
        <f>VLOOKUP(B39,TradeSheet!B:E,3,FALSE)</f>
        <v>469415.6</v>
      </c>
      <c r="J39" s="97">
        <f>MAX(VLOOKUP(B39,TradeSheet!B:F,5,FALSE)*(IF(F39&gt;0,E39,E39+F39)+O39),0)</f>
        <v>44598918</v>
      </c>
      <c r="K39" s="101">
        <f t="shared" si="4"/>
        <v>7041234</v>
      </c>
      <c r="L39" s="99">
        <f t="shared" si="5"/>
        <v>37557684</v>
      </c>
      <c r="M39" s="59">
        <v>44557</v>
      </c>
      <c r="N39" s="62"/>
      <c r="O39" s="62"/>
      <c r="T39" s="75"/>
      <c r="U39" s="75"/>
    </row>
    <row r="40" spans="1:21">
      <c r="A40" s="55" t="s">
        <v>3012</v>
      </c>
      <c r="B40" s="56">
        <f>VLOOKUP(A40,TypeIDs!B:C,2,FALSE)</f>
        <v>4395</v>
      </c>
      <c r="C40" s="56">
        <f>VLOOKUP(B40,TradeSheet!B:T,19,FALSE)</f>
        <v>191</v>
      </c>
      <c r="D40" s="55" t="s">
        <v>43988</v>
      </c>
      <c r="E40" s="90">
        <f>MAX(VLOOKUP(B40,TradeSheet!B:K,10,FALSE)-O40,0)</f>
        <v>56</v>
      </c>
      <c r="F40" s="90"/>
      <c r="G40" s="57">
        <f>VLOOKUP(B40,TypeIDs!C:D,2,FALSE)</f>
        <v>5</v>
      </c>
      <c r="H40" s="93">
        <f t="shared" si="3"/>
        <v>280</v>
      </c>
      <c r="I40" s="58">
        <f>VLOOKUP(B40,TradeSheet!B:E,3,FALSE)</f>
        <v>198150.3</v>
      </c>
      <c r="J40" s="97">
        <f>MAX(VLOOKUP(B40,TradeSheet!B:F,5,FALSE)*(IF(F40&gt;0,E40,E40+F40)+O40),0)</f>
        <v>79619904</v>
      </c>
      <c r="K40" s="101">
        <f t="shared" si="4"/>
        <v>11096416.799999999</v>
      </c>
      <c r="L40" s="99">
        <f t="shared" si="5"/>
        <v>68523487.200000003</v>
      </c>
      <c r="M40" s="59">
        <v>44557</v>
      </c>
      <c r="N40" s="62"/>
      <c r="T40" s="75"/>
      <c r="U40" s="75"/>
    </row>
    <row r="41" spans="1:21">
      <c r="A41" s="49" t="s">
        <v>17913</v>
      </c>
      <c r="B41" s="54">
        <f>VLOOKUP(A41,TypeIDs!B:C,2,FALSE)</f>
        <v>31610</v>
      </c>
      <c r="C41" s="54">
        <f>VLOOKUP(B41,TradeSheet!B:T,19,FALSE)</f>
        <v>200</v>
      </c>
      <c r="D41" s="49" t="s">
        <v>43988</v>
      </c>
      <c r="E41" s="89">
        <f>MAX(VLOOKUP(B41,TradeSheet!B:K,10,FALSE)-O41,0)</f>
        <v>14</v>
      </c>
      <c r="F41" s="89">
        <v>-3</v>
      </c>
      <c r="G41" s="57">
        <f>VLOOKUP(B41,TypeIDs!C:D,2,FALSE)</f>
        <v>10</v>
      </c>
      <c r="H41" s="93">
        <f t="shared" si="3"/>
        <v>110</v>
      </c>
      <c r="I41" s="58">
        <f>VLOOKUP(B41,TradeSheet!B:E,3,FALSE)</f>
        <v>704428.1</v>
      </c>
      <c r="J41" s="46">
        <f>MAX(VLOOKUP(B41,TradeSheet!B:F,5,FALSE)*(IF(F41&gt;0,E41,E41+F41)+O41),0)</f>
        <v>13127614.5</v>
      </c>
      <c r="K41" s="100">
        <f t="shared" si="4"/>
        <v>7748709.0999999996</v>
      </c>
      <c r="L41" s="98">
        <f t="shared" si="5"/>
        <v>5378905.4000000004</v>
      </c>
      <c r="M41" s="51">
        <v>44541</v>
      </c>
      <c r="T41" s="75"/>
      <c r="U41" s="75"/>
    </row>
    <row r="42" spans="1:21">
      <c r="A42" s="55" t="s">
        <v>18057</v>
      </c>
      <c r="B42" s="56">
        <f>VLOOKUP(A42,TypeIDs!B:C,2,FALSE)</f>
        <v>31754</v>
      </c>
      <c r="C42" s="103">
        <f>VLOOKUP(B42,TradeSheet!B:T,19,FALSE)</f>
        <v>210</v>
      </c>
      <c r="D42" s="55" t="s">
        <v>43988</v>
      </c>
      <c r="E42" s="90">
        <f>MAX(VLOOKUP(B42,TradeSheet!B:K,10,FALSE)-O42,0)</f>
        <v>28</v>
      </c>
      <c r="F42" s="90">
        <v>2</v>
      </c>
      <c r="G42" s="57">
        <f>VLOOKUP(B42,TypeIDs!C:D,2,FALSE)</f>
        <v>10</v>
      </c>
      <c r="H42" s="93">
        <f t="shared" si="3"/>
        <v>300</v>
      </c>
      <c r="I42" s="58">
        <f>VLOOKUP(B42,TradeSheet!B:E,3,FALSE)</f>
        <v>110274.72</v>
      </c>
      <c r="J42" s="97">
        <f>MAX(VLOOKUP(B42,TradeSheet!B:F,5,FALSE)*(IF(F42&gt;0,E42,E42+F42)+O42),0)</f>
        <v>30098250</v>
      </c>
      <c r="K42" s="101">
        <f t="shared" si="4"/>
        <v>3308241.6</v>
      </c>
      <c r="L42" s="99">
        <f t="shared" si="5"/>
        <v>26790008.399999999</v>
      </c>
      <c r="M42" s="59">
        <v>44557</v>
      </c>
      <c r="N42" s="62"/>
      <c r="O42" s="62"/>
      <c r="T42" s="75"/>
      <c r="U42" s="75"/>
    </row>
    <row r="43" spans="1:21">
      <c r="A43" s="49" t="s">
        <v>17368</v>
      </c>
      <c r="B43" s="54">
        <f>VLOOKUP(A43,TypeIDs!B:C,2,FALSE)</f>
        <v>31055</v>
      </c>
      <c r="C43" s="54">
        <f>VLOOKUP(B43,TradeSheet!B:T,19,FALSE)</f>
        <v>163</v>
      </c>
      <c r="D43" s="49" t="s">
        <v>43988</v>
      </c>
      <c r="E43" s="89">
        <f>MAX(VLOOKUP(B43,TradeSheet!B:K,10,FALSE)-O43,0)</f>
        <v>35</v>
      </c>
      <c r="G43" s="57">
        <f>VLOOKUP(B43,TypeIDs!C:D,2,FALSE)</f>
        <v>10</v>
      </c>
      <c r="H43" s="93">
        <f t="shared" si="3"/>
        <v>350</v>
      </c>
      <c r="I43" s="58">
        <f>VLOOKUP(B43,TradeSheet!B:E,3,FALSE)</f>
        <v>1387740</v>
      </c>
      <c r="J43" s="46">
        <f>MAX(VLOOKUP(B43,TradeSheet!B:F,5,FALSE)*(IF(F43&gt;0,E43,E43+F43)+O43),0)</f>
        <v>80228557.5</v>
      </c>
      <c r="K43" s="100">
        <f t="shared" si="4"/>
        <v>48570900</v>
      </c>
      <c r="L43" s="98">
        <f t="shared" si="5"/>
        <v>31657657.5</v>
      </c>
      <c r="M43" s="59">
        <v>44557</v>
      </c>
      <c r="T43" s="75"/>
      <c r="U43" s="75"/>
    </row>
    <row r="44" spans="1:21">
      <c r="A44" s="105" t="s">
        <v>3901</v>
      </c>
      <c r="B44" s="56">
        <f>VLOOKUP(A44,TypeIDs!B:C,2,FALSE)</f>
        <v>10250</v>
      </c>
      <c r="C44" s="103">
        <f>VLOOKUP(B44,TradeSheet!B:T,19,FALSE)</f>
        <v>156</v>
      </c>
      <c r="D44" s="55" t="s">
        <v>42880</v>
      </c>
      <c r="E44" s="90">
        <f>MAX(VLOOKUP(B44,TradeSheet!B:K,10,FALSE)-O44,0)</f>
        <v>105</v>
      </c>
      <c r="F44" s="90"/>
      <c r="G44" s="57">
        <f>VLOOKUP(B44,TypeIDs!C:D,2,FALSE)</f>
        <v>5</v>
      </c>
      <c r="H44" s="93">
        <f t="shared" si="3"/>
        <v>525</v>
      </c>
      <c r="I44" s="58">
        <f>VLOOKUP(B44,TradeSheet!B:E,3,FALSE)</f>
        <v>641540.55000000005</v>
      </c>
      <c r="J44" s="97">
        <f>MAX(VLOOKUP(B44,TradeSheet!B:F,5,FALSE)*(IF(F44&gt;0,E44,E44+F44)+O44),0)</f>
        <v>150290595</v>
      </c>
      <c r="K44" s="101">
        <f t="shared" si="4"/>
        <v>67361757.75</v>
      </c>
      <c r="L44" s="99">
        <f t="shared" si="5"/>
        <v>82928837.25</v>
      </c>
      <c r="M44" s="59">
        <v>44557</v>
      </c>
      <c r="N44" s="62"/>
      <c r="O44" s="62"/>
      <c r="T44" s="75"/>
      <c r="U44" s="75"/>
    </row>
    <row r="45" spans="1:21">
      <c r="A45" s="55" t="s">
        <v>27328</v>
      </c>
      <c r="B45" s="56">
        <f>VLOOKUP(A45,TypeIDs!B:C,2,FALSE)</f>
        <v>42831</v>
      </c>
      <c r="C45" s="56">
        <f>VLOOKUP(B45,TradeSheet!B:T,19,FALSE)</f>
        <v>13</v>
      </c>
      <c r="D45" s="55" t="s">
        <v>42879</v>
      </c>
      <c r="E45" s="90">
        <f>MAX(VLOOKUP(B45,TradeSheet!B:K,10,FALSE)-O45,0)</f>
        <v>26630.012500000001</v>
      </c>
      <c r="F45" s="90"/>
      <c r="G45" s="57">
        <f>VLOOKUP(B45,TypeIDs!C:D,2,FALSE)</f>
        <v>0.01</v>
      </c>
      <c r="H45" s="93">
        <f t="shared" si="3"/>
        <v>266.30012500000004</v>
      </c>
      <c r="I45" s="58">
        <f>VLOOKUP(B45,TradeSheet!B:E,3,FALSE)</f>
        <v>257.48654999999997</v>
      </c>
      <c r="J45" s="97">
        <f>MAX(VLOOKUP(B45,TradeSheet!B:F,5,FALSE)*(IF(F45&gt;0,E45,E45+F45)+O45),0)</f>
        <v>30533972.3325</v>
      </c>
      <c r="K45" s="101">
        <f t="shared" si="4"/>
        <v>6856870.0450818744</v>
      </c>
      <c r="L45" s="99">
        <f t="shared" si="5"/>
        <v>23677102.287418127</v>
      </c>
      <c r="M45" s="59">
        <v>44557</v>
      </c>
      <c r="N45" s="62"/>
      <c r="O45" s="62"/>
      <c r="T45" s="75"/>
      <c r="U45" s="75"/>
    </row>
    <row r="46" spans="1:21">
      <c r="A46" s="104" t="s">
        <v>21250</v>
      </c>
      <c r="B46" s="56">
        <f>VLOOKUP(A46,TypeIDs!B:C,2,FALSE)</f>
        <v>35795</v>
      </c>
      <c r="C46" s="103">
        <f>VLOOKUP(B46,TradeSheet!B:T,19,FALSE)</f>
        <v>121</v>
      </c>
      <c r="D46" s="55" t="s">
        <v>43984</v>
      </c>
      <c r="E46" s="90">
        <f>MAX(VLOOKUP(B46,TradeSheet!B:K,10,FALSE)-O46,0)</f>
        <v>53.841666666666669</v>
      </c>
      <c r="F46" s="90"/>
      <c r="G46" s="57">
        <f>VLOOKUP(B46,TypeIDs!C:D,2,FALSE)</f>
        <v>1</v>
      </c>
      <c r="H46" s="93">
        <f t="shared" si="3"/>
        <v>53.841666666666669</v>
      </c>
      <c r="I46" s="58">
        <f>VLOOKUP(B46,TradeSheet!B:E,3,FALSE)</f>
        <v>15303.655000000001</v>
      </c>
      <c r="J46" s="97">
        <f>MAX(VLOOKUP(B46,TradeSheet!B:F,5,FALSE)*(IF(F46&gt;0,E46,E46+F46)+O46),0)</f>
        <v>6811412.335</v>
      </c>
      <c r="K46" s="101">
        <f t="shared" si="4"/>
        <v>823974.29129166668</v>
      </c>
      <c r="L46" s="99">
        <f t="shared" si="5"/>
        <v>5987438.0437083337</v>
      </c>
      <c r="M46" s="59">
        <v>44557</v>
      </c>
      <c r="N46" s="62"/>
      <c r="O46" s="62"/>
      <c r="T46" s="75"/>
      <c r="U46" s="75"/>
    </row>
    <row r="47" spans="1:21">
      <c r="A47" s="49" t="s">
        <v>21249</v>
      </c>
      <c r="B47" s="54">
        <f>VLOOKUP(A47,TypeIDs!B:C,2,FALSE)</f>
        <v>35794</v>
      </c>
      <c r="C47" s="54">
        <f>VLOOKUP(B47,TradeSheet!B:T,19,FALSE)</f>
        <v>122</v>
      </c>
      <c r="D47" s="49" t="s">
        <v>43984</v>
      </c>
      <c r="E47" s="89">
        <f>MAX(VLOOKUP(B47,TradeSheet!B:K,10,FALSE)-O47,0)</f>
        <v>55.387499999999996</v>
      </c>
      <c r="G47" s="60">
        <f>VLOOKUP(B47,TypeIDs!C:D,2,FALSE)</f>
        <v>1</v>
      </c>
      <c r="H47" s="92">
        <f t="shared" si="3"/>
        <v>55.387499999999996</v>
      </c>
      <c r="I47" s="53">
        <f>VLOOKUP(B47,TradeSheet!B:E,3,FALSE)</f>
        <v>13329.55</v>
      </c>
      <c r="J47" s="46">
        <f>MAX(VLOOKUP(B47,TradeSheet!B:F,5,FALSE)*(IF(F47&gt;0,E47,E47+F47)+O47),0)</f>
        <v>1428914.41875</v>
      </c>
      <c r="K47" s="100">
        <f t="shared" si="4"/>
        <v>738290.45062499994</v>
      </c>
      <c r="L47" s="98">
        <f t="shared" si="5"/>
        <v>690623.96812500001</v>
      </c>
      <c r="M47" s="59">
        <v>44557</v>
      </c>
      <c r="T47" s="75"/>
      <c r="U47" s="75"/>
    </row>
    <row r="48" spans="1:21">
      <c r="A48" s="49" t="s">
        <v>12559</v>
      </c>
      <c r="B48" s="54">
        <f>VLOOKUP(A48,TypeIDs!B:C,2,FALSE)</f>
        <v>24535</v>
      </c>
      <c r="C48" s="54">
        <f>VLOOKUP(B48,TradeSheet!B:T,19,FALSE)</f>
        <v>51</v>
      </c>
      <c r="D48" s="49" t="s">
        <v>42879</v>
      </c>
      <c r="E48" s="89">
        <f>MAX(VLOOKUP(B48,TradeSheet!B:K,10,FALSE)-O48,0)</f>
        <v>152769.42916666667</v>
      </c>
      <c r="G48" s="57">
        <f>VLOOKUP(B48,TypeIDs!C:D,2,FALSE)</f>
        <v>0.05</v>
      </c>
      <c r="H48" s="93">
        <f t="shared" si="3"/>
        <v>7638.4714583333334</v>
      </c>
      <c r="I48" s="58">
        <f>VLOOKUP(B48,TradeSheet!B:E,3,FALSE)</f>
        <v>759.2290999999999</v>
      </c>
      <c r="J48" s="46">
        <f>MAX(VLOOKUP(B48,TradeSheet!B:F,5,FALSE)*(IF(F48&gt;0,E48,E48+F48)+O48),0)</f>
        <v>141592053.88168752</v>
      </c>
      <c r="K48" s="100">
        <f t="shared" si="4"/>
        <v>115986996.21372207</v>
      </c>
      <c r="L48" s="98">
        <f t="shared" si="5"/>
        <v>25605057.667965457</v>
      </c>
      <c r="M48" s="59">
        <v>44557</v>
      </c>
      <c r="T48" s="75"/>
      <c r="U48" s="75"/>
    </row>
    <row r="49" spans="1:21">
      <c r="A49" s="105" t="s">
        <v>12533</v>
      </c>
      <c r="B49" s="54">
        <f>VLOOKUP(A49,TypeIDs!B:C,2,FALSE)</f>
        <v>24509</v>
      </c>
      <c r="C49" s="54">
        <f>VLOOKUP(B49,TradeSheet!B:T,19,FALSE)</f>
        <v>65</v>
      </c>
      <c r="D49" s="49" t="s">
        <v>42879</v>
      </c>
      <c r="E49" s="89">
        <f>MAX(VLOOKUP(B49,TradeSheet!B:K,10,FALSE)-O49,0)</f>
        <v>283754.07083333336</v>
      </c>
      <c r="G49" s="57">
        <f>VLOOKUP(B49,TypeIDs!C:D,2,FALSE)</f>
        <v>0.03</v>
      </c>
      <c r="H49" s="93">
        <f t="shared" si="3"/>
        <v>8512.6221249999999</v>
      </c>
      <c r="I49" s="58">
        <f>VLOOKUP(B49,TradeSheet!B:E,3,FALSE)</f>
        <v>481.35750000000002</v>
      </c>
      <c r="J49" s="46">
        <f>MAX(VLOOKUP(B49,TradeSheet!B:F,5,FALSE)*(IF(F49&gt;0,E49,E49+F49)+O49),0)</f>
        <v>244014313.21312505</v>
      </c>
      <c r="K49" s="100">
        <f t="shared" si="4"/>
        <v>136587150.15115628</v>
      </c>
      <c r="L49" s="98">
        <f t="shared" si="5"/>
        <v>107427163.06196877</v>
      </c>
      <c r="M49" s="59">
        <v>44557</v>
      </c>
      <c r="T49" s="75"/>
      <c r="U49" s="75"/>
    </row>
    <row r="50" spans="1:21">
      <c r="A50" s="105" t="s">
        <v>132</v>
      </c>
      <c r="B50" s="54">
        <f>VLOOKUP(A50,TypeIDs!B:C,2,FALSE)</f>
        <v>207</v>
      </c>
      <c r="C50" s="54">
        <f>VLOOKUP(B50,TradeSheet!B:T,19,FALSE)</f>
        <v>72</v>
      </c>
      <c r="D50" s="49" t="s">
        <v>42879</v>
      </c>
      <c r="E50" s="89">
        <f>MAX(VLOOKUP(B50,TradeSheet!B:K,10,FALSE)-O50,0)</f>
        <v>0</v>
      </c>
      <c r="G50" s="57">
        <f>VLOOKUP(B50,TypeIDs!C:D,2,FALSE)</f>
        <v>0.03</v>
      </c>
      <c r="H50" s="93">
        <f t="shared" si="3"/>
        <v>0</v>
      </c>
      <c r="I50" s="58">
        <f>VLOOKUP(B50,TradeSheet!B:E,3,FALSE)</f>
        <v>132.28559999999999</v>
      </c>
      <c r="J50" s="46">
        <f>MAX(VLOOKUP(B50,TradeSheet!B:F,5,FALSE)*(IF(F50&gt;0,E50,E50+F50)+O50),0)</f>
        <v>0</v>
      </c>
      <c r="K50" s="100">
        <f t="shared" si="4"/>
        <v>0</v>
      </c>
      <c r="L50" s="98">
        <f t="shared" si="5"/>
        <v>0</v>
      </c>
      <c r="M50" s="51">
        <v>44541</v>
      </c>
      <c r="T50" s="75"/>
      <c r="U50" s="75"/>
    </row>
    <row r="51" spans="1:21">
      <c r="A51" s="55" t="s">
        <v>12541</v>
      </c>
      <c r="B51" s="56">
        <f>VLOOKUP(A51,TypeIDs!B:C,2,FALSE)</f>
        <v>24517</v>
      </c>
      <c r="C51" s="103">
        <f>VLOOKUP(B51,TradeSheet!B:T,19,FALSE)</f>
        <v>67</v>
      </c>
      <c r="D51" s="55" t="s">
        <v>42879</v>
      </c>
      <c r="E51" s="90">
        <f>MAX(VLOOKUP(B51,TradeSheet!B:K,10,FALSE)-O51,0)</f>
        <v>60340</v>
      </c>
      <c r="F51" s="90"/>
      <c r="G51" s="57">
        <f>VLOOKUP(B51,TypeIDs!C:D,2,FALSE)</f>
        <v>0.03</v>
      </c>
      <c r="H51" s="93">
        <f t="shared" si="3"/>
        <v>1810.2</v>
      </c>
      <c r="I51" s="58">
        <f>VLOOKUP(B51,TradeSheet!B:E,3,FALSE)</f>
        <v>479.16404999999997</v>
      </c>
      <c r="J51" s="97">
        <f>MAX(VLOOKUP(B51,TradeSheet!B:F,5,FALSE)*(IF(F51&gt;0,E51,E51+F51)+O51),0)</f>
        <v>103721111.13000001</v>
      </c>
      <c r="K51" s="101">
        <f t="shared" si="4"/>
        <v>28912758.776999999</v>
      </c>
      <c r="L51" s="99">
        <f t="shared" si="5"/>
        <v>74808352.353000015</v>
      </c>
      <c r="M51" s="59">
        <v>44557</v>
      </c>
      <c r="N51" s="62"/>
      <c r="O51" s="62"/>
    </row>
    <row r="52" spans="1:21">
      <c r="A52" s="55" t="s">
        <v>31426</v>
      </c>
      <c r="B52" s="56">
        <f>VLOOKUP(A52,TypeIDs!B:C,2,FALSE)</f>
        <v>47931</v>
      </c>
      <c r="C52" s="56">
        <f>VLOOKUP(B52,TradeSheet!B:T,19,FALSE)</f>
        <v>22</v>
      </c>
      <c r="D52" s="55" t="s">
        <v>42879</v>
      </c>
      <c r="E52" s="90">
        <f>MAX(VLOOKUP(B52,TradeSheet!B:K,10,FALSE)-O52,0)</f>
        <v>490</v>
      </c>
      <c r="F52" s="90"/>
      <c r="G52" s="60">
        <f>VLOOKUP(B52,TypeIDs!C:D,2,FALSE)</f>
        <v>0.01</v>
      </c>
      <c r="H52" s="92">
        <f t="shared" si="3"/>
        <v>4.9000000000000004</v>
      </c>
      <c r="I52" s="53">
        <f>VLOOKUP(B52,TradeSheet!B:E,3,FALSE)</f>
        <v>1503.6795</v>
      </c>
      <c r="J52" s="97">
        <f>MAX(VLOOKUP(B52,TradeSheet!B:F,5,FALSE)*(IF(F52&gt;0,E52,E52+F52)+O52),0)</f>
        <v>1778204.61</v>
      </c>
      <c r="K52" s="101">
        <f t="shared" si="4"/>
        <v>736802.95499999996</v>
      </c>
      <c r="L52" s="99">
        <f t="shared" si="5"/>
        <v>1041401.6550000001</v>
      </c>
      <c r="M52" s="59">
        <v>44541</v>
      </c>
      <c r="N52" s="62"/>
      <c r="O52" s="62"/>
      <c r="T52" s="75"/>
      <c r="U52" s="75"/>
    </row>
    <row r="53" spans="1:21">
      <c r="A53" s="49" t="s">
        <v>12512</v>
      </c>
      <c r="B53" s="56">
        <f>VLOOKUP(A53,TypeIDs!B:C,2,FALSE)</f>
        <v>24488</v>
      </c>
      <c r="C53" s="103">
        <f>VLOOKUP(B53,TradeSheet!B:T,19,FALSE)</f>
        <v>56</v>
      </c>
      <c r="D53" s="55" t="s">
        <v>42879</v>
      </c>
      <c r="E53" s="90">
        <f>MAX(VLOOKUP(B53,TradeSheet!B:K,10,FALSE)-O53,0)</f>
        <v>1400</v>
      </c>
      <c r="F53" s="90"/>
      <c r="G53" s="60">
        <f>VLOOKUP(B53,TypeIDs!C:D,2,FALSE)</f>
        <v>1.4999999999999999E-2</v>
      </c>
      <c r="H53" s="92">
        <f t="shared" si="3"/>
        <v>21</v>
      </c>
      <c r="I53" s="53">
        <f>VLOOKUP(B53,TradeSheet!B:E,3,FALSE)</f>
        <v>113.719775</v>
      </c>
      <c r="J53" s="97">
        <f>MAX(VLOOKUP(B53,TradeSheet!B:F,5,FALSE)*(IF(F53&gt;0,E53,E53+F53)+O53),0)</f>
        <v>468195</v>
      </c>
      <c r="K53" s="101">
        <f t="shared" si="4"/>
        <v>159207.685</v>
      </c>
      <c r="L53" s="99">
        <f t="shared" si="5"/>
        <v>308987.315</v>
      </c>
      <c r="M53" s="51">
        <v>44541</v>
      </c>
      <c r="N53" s="62"/>
      <c r="O53" s="62"/>
      <c r="T53" s="75"/>
      <c r="U53" s="75"/>
    </row>
    <row r="54" spans="1:21">
      <c r="A54" s="49" t="s">
        <v>5080</v>
      </c>
      <c r="B54" s="56">
        <f>VLOOKUP(A54,TypeIDs!B:C,2,FALSE)</f>
        <v>12785</v>
      </c>
      <c r="C54" s="103">
        <f>VLOOKUP(B54,TradeSheet!B:T,19,FALSE)</f>
        <v>35</v>
      </c>
      <c r="D54" s="55" t="s">
        <v>42879</v>
      </c>
      <c r="E54" s="90">
        <f>MAX(VLOOKUP(B54,TradeSheet!B:K,10,FALSE)-O54,0)</f>
        <v>40760.5625</v>
      </c>
      <c r="F54" s="90"/>
      <c r="G54" s="57">
        <f>VLOOKUP(B54,TypeIDs!C:D,2,FALSE)</f>
        <v>1.2500000000000001E-2</v>
      </c>
      <c r="H54" s="93">
        <f t="shared" si="3"/>
        <v>509.50703125000001</v>
      </c>
      <c r="I54" s="58">
        <f>VLOOKUP(B54,TradeSheet!B:E,3,FALSE)</f>
        <v>176.80324999999999</v>
      </c>
      <c r="J54" s="97">
        <f>MAX(VLOOKUP(B54,TradeSheet!B:F,5,FALSE)*(IF(F54&gt;0,E54,E54+F54)+O54),0)</f>
        <v>31118427.257531252</v>
      </c>
      <c r="K54" s="101">
        <f t="shared" si="4"/>
        <v>7206599.9218281247</v>
      </c>
      <c r="L54" s="99">
        <f t="shared" si="5"/>
        <v>23911827.335703127</v>
      </c>
      <c r="M54" s="59">
        <v>44557</v>
      </c>
      <c r="N54" s="62"/>
      <c r="O54" s="62"/>
    </row>
    <row r="55" spans="1:21">
      <c r="A55" s="49" t="s">
        <v>5012</v>
      </c>
      <c r="B55" s="56">
        <f>VLOOKUP(A55,TypeIDs!B:C,2,FALSE)</f>
        <v>12614</v>
      </c>
      <c r="C55" s="103">
        <f>VLOOKUP(B55,TradeSheet!B:T,19,FALSE)</f>
        <v>37</v>
      </c>
      <c r="D55" s="55" t="s">
        <v>42879</v>
      </c>
      <c r="E55" s="90">
        <f>MAX(VLOOKUP(B55,TradeSheet!B:K,10,FALSE)-O55,0)</f>
        <v>70844.608333333337</v>
      </c>
      <c r="F55" s="90"/>
      <c r="G55" s="57">
        <f>VLOOKUP(B55,TypeIDs!C:D,2,FALSE)</f>
        <v>2.5000000000000001E-3</v>
      </c>
      <c r="H55" s="93">
        <f t="shared" si="3"/>
        <v>177.11152083333334</v>
      </c>
      <c r="I55" s="58">
        <f>VLOOKUP(B55,TradeSheet!B:E,3,FALSE)</f>
        <v>65.369135</v>
      </c>
      <c r="J55" s="97">
        <f>MAX(VLOOKUP(B55,TradeSheet!B:F,5,FALSE)*(IF(F55&gt;0,E55,E55+F55)+O55),0)</f>
        <v>13484251.033890001</v>
      </c>
      <c r="K55" s="101">
        <f t="shared" si="4"/>
        <v>4631050.7661637915</v>
      </c>
      <c r="L55" s="99">
        <f t="shared" si="5"/>
        <v>8853200.267726209</v>
      </c>
      <c r="M55" s="59">
        <v>44557</v>
      </c>
      <c r="N55" s="62"/>
      <c r="O55" s="62"/>
      <c r="T55" s="75"/>
      <c r="U55" s="75"/>
    </row>
    <row r="56" spans="1:21">
      <c r="A56" s="49" t="s">
        <v>1227</v>
      </c>
      <c r="B56" s="54">
        <f>VLOOKUP(A56,TypeIDs!B:C,2,FALSE)</f>
        <v>2446</v>
      </c>
      <c r="C56" s="54">
        <f>VLOOKUP(B56,TradeSheet!B:T,19,FALSE)</f>
        <v>132</v>
      </c>
      <c r="D56" s="49" t="s">
        <v>42880</v>
      </c>
      <c r="E56" s="89">
        <f>MAX(VLOOKUP(B56,TradeSheet!B:K,10,FALSE)-O56,0)</f>
        <v>63.699999999999996</v>
      </c>
      <c r="F56" s="89">
        <v>-17</v>
      </c>
      <c r="G56" s="57">
        <f>VLOOKUP(B56,TypeIDs!C:D,2,FALSE)</f>
        <v>25</v>
      </c>
      <c r="H56" s="93">
        <f t="shared" si="3"/>
        <v>1167.5</v>
      </c>
      <c r="I56" s="58">
        <f>VLOOKUP(B56,TradeSheet!B:E,3,FALSE)</f>
        <v>1066791.1000000001</v>
      </c>
      <c r="J56" s="46">
        <f>MAX(VLOOKUP(B56,TradeSheet!B:F,5,FALSE)*(IF(F56&gt;0,E56,E56+F56)+O56),0)</f>
        <v>80140842.599999994</v>
      </c>
      <c r="K56" s="100">
        <f t="shared" si="4"/>
        <v>49819144.369999997</v>
      </c>
      <c r="L56" s="98">
        <f t="shared" si="5"/>
        <v>30321698.229999997</v>
      </c>
      <c r="M56" s="51">
        <v>44541</v>
      </c>
      <c r="T56" s="75"/>
      <c r="U56" s="75"/>
    </row>
    <row r="57" spans="1:21">
      <c r="A57" s="49" t="s">
        <v>32710</v>
      </c>
      <c r="B57" s="54">
        <f>VLOOKUP(A57,TypeIDs!B:C,2,FALSE)</f>
        <v>49742</v>
      </c>
      <c r="C57" s="54">
        <f>VLOOKUP(B57,TradeSheet!B:T,19,FALSE)</f>
        <v>5</v>
      </c>
      <c r="D57" s="49" t="s">
        <v>42881</v>
      </c>
      <c r="E57" s="89">
        <f>MAX(VLOOKUP(B57,TradeSheet!B:K,10,FALSE)-O57,0)</f>
        <v>7</v>
      </c>
      <c r="F57" s="89">
        <v>2</v>
      </c>
      <c r="G57" s="57">
        <f>VLOOKUP(B57,TypeIDs!C:D,2,FALSE)</f>
        <v>0.01</v>
      </c>
      <c r="H57" s="93">
        <f t="shared" si="3"/>
        <v>0.09</v>
      </c>
      <c r="I57" s="58">
        <f>VLOOKUP(B57,TradeSheet!B:E,3,FALSE)</f>
        <v>102223.77</v>
      </c>
      <c r="J57" s="46">
        <f>MAX(VLOOKUP(B57,TradeSheet!B:F,5,FALSE)*(IF(F57&gt;0,E57,E57+F57)+O57),0)</f>
        <v>4454541</v>
      </c>
      <c r="K57" s="100">
        <f t="shared" si="4"/>
        <v>920013.93</v>
      </c>
      <c r="L57" s="98">
        <f t="shared" si="5"/>
        <v>3534527.07</v>
      </c>
      <c r="M57" s="59">
        <v>44557</v>
      </c>
      <c r="T57" s="75"/>
      <c r="U57" s="75"/>
    </row>
    <row r="58" spans="1:21">
      <c r="A58" s="49" t="s">
        <v>31363</v>
      </c>
      <c r="B58" s="54">
        <f>VLOOKUP(A58,TypeIDs!B:C,2,FALSE)</f>
        <v>47867</v>
      </c>
      <c r="C58" s="54">
        <f>VLOOKUP(B58,TradeSheet!B:T,19,FALSE)</f>
        <v>4</v>
      </c>
      <c r="D58" s="49" t="s">
        <v>42881</v>
      </c>
      <c r="E58" s="89">
        <f>MAX(VLOOKUP(B58,TradeSheet!B:K,10,FALSE)-O58,0)</f>
        <v>7</v>
      </c>
      <c r="F58" s="89">
        <v>-5</v>
      </c>
      <c r="G58" s="107">
        <f>VLOOKUP(B58,TypeIDs!C:D,2,FALSE)</f>
        <v>0.01</v>
      </c>
      <c r="H58" s="93">
        <f t="shared" si="3"/>
        <v>0.02</v>
      </c>
      <c r="I58" s="58">
        <f>VLOOKUP(B58,TradeSheet!B:E,3,FALSE)</f>
        <v>101837.30499999999</v>
      </c>
      <c r="J58" s="46">
        <f>MAX(VLOOKUP(B58,TradeSheet!B:F,5,FALSE)*(IF(F58&gt;0,E58,E58+F58)+O58),0)</f>
        <v>286650</v>
      </c>
      <c r="K58" s="100">
        <f t="shared" si="4"/>
        <v>203674.61</v>
      </c>
      <c r="L58" s="98">
        <f t="shared" si="5"/>
        <v>82975.390000000014</v>
      </c>
      <c r="M58" s="51">
        <v>44541</v>
      </c>
    </row>
    <row r="59" spans="1:21" ht="14.25" customHeight="1">
      <c r="A59" s="55" t="s">
        <v>5062</v>
      </c>
      <c r="B59" s="56">
        <f>VLOOKUP(A59,TypeIDs!B:C,2,FALSE)</f>
        <v>12767</v>
      </c>
      <c r="C59" s="103">
        <f>VLOOKUP(B59,TradeSheet!B:T,19,FALSE)</f>
        <v>98</v>
      </c>
      <c r="D59" s="55" t="s">
        <v>42879</v>
      </c>
      <c r="E59" s="90">
        <f>MAX(VLOOKUP(B59,TradeSheet!B:K,10,FALSE)-O59,0)</f>
        <v>49827.633333333331</v>
      </c>
      <c r="F59" s="90">
        <v>9000</v>
      </c>
      <c r="G59" s="60">
        <f>VLOOKUP(B59,TypeIDs!C:D,2,FALSE)</f>
        <v>1.2500000000000001E-2</v>
      </c>
      <c r="H59" s="92">
        <f t="shared" si="3"/>
        <v>735.34541666666667</v>
      </c>
      <c r="I59" s="53">
        <f>VLOOKUP(B59,TradeSheet!B:E,3,FALSE)</f>
        <v>469.57659999999998</v>
      </c>
      <c r="J59" s="97">
        <f>MAX(VLOOKUP(B59,TradeSheet!B:F,5,FALSE)*(IF(F59&gt;0,E59,E59+F59)+O59),0)</f>
        <v>39045210.023364998</v>
      </c>
      <c r="K59" s="101">
        <f t="shared" si="4"/>
        <v>27624080.04671333</v>
      </c>
      <c r="L59" s="99">
        <f t="shared" si="5"/>
        <v>11421129.976651669</v>
      </c>
      <c r="M59" s="59">
        <v>44557</v>
      </c>
      <c r="N59" s="62"/>
      <c r="O59" s="62"/>
      <c r="T59" s="75"/>
      <c r="U59" s="75"/>
    </row>
    <row r="60" spans="1:21">
      <c r="A60" s="49" t="s">
        <v>12516</v>
      </c>
      <c r="B60" s="54">
        <f>VLOOKUP(A60,TypeIDs!B:C,2,FALSE)</f>
        <v>24492</v>
      </c>
      <c r="C60" s="54">
        <f>VLOOKUP(B60,TradeSheet!B:T,19,FALSE)</f>
        <v>59</v>
      </c>
      <c r="D60" s="49" t="s">
        <v>42879</v>
      </c>
      <c r="E60" s="89">
        <f>MAX(VLOOKUP(B60,TradeSheet!B:K,10,FALSE)-O60,0)</f>
        <v>18670.983333333334</v>
      </c>
      <c r="G60" s="52">
        <f>VLOOKUP(B60,TypeIDs!C:D,2,FALSE)</f>
        <v>1.4999999999999999E-2</v>
      </c>
      <c r="H60" s="91">
        <f t="shared" si="3"/>
        <v>280.06475</v>
      </c>
      <c r="I60" s="53">
        <f>VLOOKUP(B60,TradeSheet!B:E,3,FALSE)</f>
        <v>125.15705000000001</v>
      </c>
      <c r="J60" s="46">
        <f>MAX(VLOOKUP(B60,TradeSheet!B:F,5,FALSE)*(IF(F60&gt;0,E60,E60+F60)+O60),0)</f>
        <v>6511645.4698750004</v>
      </c>
      <c r="K60" s="100">
        <f t="shared" si="4"/>
        <v>2336805.194599167</v>
      </c>
      <c r="L60" s="98">
        <f t="shared" si="5"/>
        <v>4174840.2752758334</v>
      </c>
      <c r="M60" s="59">
        <v>44557</v>
      </c>
    </row>
    <row r="61" spans="1:21">
      <c r="A61" s="55" t="s">
        <v>1427</v>
      </c>
      <c r="B61" s="56">
        <f>VLOOKUP(A61,TypeIDs!B:C,2,FALSE)</f>
        <v>2679</v>
      </c>
      <c r="C61" s="103">
        <f>VLOOKUP(B61,TradeSheet!B:T,19,FALSE)</f>
        <v>57</v>
      </c>
      <c r="D61" s="55" t="s">
        <v>42879</v>
      </c>
      <c r="E61" s="90">
        <f>MAX(VLOOKUP(B61,TradeSheet!B:K,10,FALSE)-O61,0)</f>
        <v>87984.866666666669</v>
      </c>
      <c r="F61" s="90"/>
      <c r="G61" s="57">
        <f>VLOOKUP(B61,TypeIDs!C:D,2,FALSE)</f>
        <v>1.4999999999999999E-2</v>
      </c>
      <c r="H61" s="93">
        <f t="shared" si="3"/>
        <v>1319.7729999999999</v>
      </c>
      <c r="I61" s="58">
        <f>VLOOKUP(B61,TradeSheet!B:E,3,FALSE)</f>
        <v>144.0625</v>
      </c>
      <c r="J61" s="97">
        <f>MAX(VLOOKUP(B61,TradeSheet!B:F,5,FALSE)*(IF(F61&gt;0,E61,E61+F61)+O61),0)</f>
        <v>58588062.495689996</v>
      </c>
      <c r="K61" s="101">
        <f t="shared" si="4"/>
        <v>12675319.854166666</v>
      </c>
      <c r="L61" s="99">
        <f t="shared" si="5"/>
        <v>45912742.641523331</v>
      </c>
      <c r="M61" s="59">
        <v>44557</v>
      </c>
      <c r="N61" s="62"/>
      <c r="O61" s="62"/>
      <c r="T61" s="75"/>
      <c r="U61" s="75"/>
    </row>
    <row r="62" spans="1:21">
      <c r="A62" s="55" t="s">
        <v>27208</v>
      </c>
      <c r="B62" s="56">
        <f>VLOOKUP(A62,TypeIDs!B:C,2,FALSE)</f>
        <v>42696</v>
      </c>
      <c r="C62" s="56">
        <f>VLOOKUP(B62,TradeSheet!B:T,19,FALSE)</f>
        <v>17</v>
      </c>
      <c r="D62" s="55" t="s">
        <v>42879</v>
      </c>
      <c r="E62" s="90">
        <f>MAX(VLOOKUP(B62,TradeSheet!B:K,10,FALSE)-O62,0)</f>
        <v>16039.916666666668</v>
      </c>
      <c r="F62" s="90"/>
      <c r="G62" s="60">
        <f>VLOOKUP(B62,TypeIDs!C:D,2,FALSE)</f>
        <v>0.01</v>
      </c>
      <c r="H62" s="92">
        <f t="shared" si="3"/>
        <v>160.39916666666667</v>
      </c>
      <c r="I62" s="53">
        <f>VLOOKUP(B62,TradeSheet!B:E,3,FALSE)</f>
        <v>425.65105</v>
      </c>
      <c r="J62" s="97">
        <f>MAX(VLOOKUP(B62,TradeSheet!B:F,5,FALSE)*(IF(F62&gt;0,E62,E62+F62)+O62),0)</f>
        <v>36246321.986875005</v>
      </c>
      <c r="K62" s="101">
        <f t="shared" si="4"/>
        <v>6827407.3710791674</v>
      </c>
      <c r="L62" s="99">
        <f t="shared" si="5"/>
        <v>29418914.615795836</v>
      </c>
      <c r="M62" s="59">
        <v>44557</v>
      </c>
      <c r="N62" s="62"/>
      <c r="O62" s="62"/>
      <c r="T62" s="75"/>
      <c r="U62" s="75"/>
    </row>
    <row r="63" spans="1:21">
      <c r="A63" s="55" t="s">
        <v>27207</v>
      </c>
      <c r="B63" s="56">
        <f>VLOOKUP(A63,TypeIDs!B:C,2,FALSE)</f>
        <v>42695</v>
      </c>
      <c r="C63" s="56">
        <f>VLOOKUP(B63,TradeSheet!B:T,19,FALSE)</f>
        <v>18</v>
      </c>
      <c r="D63" s="55" t="s">
        <v>42879</v>
      </c>
      <c r="E63" s="90">
        <f>MAX(VLOOKUP(B63,TradeSheet!B:K,10,FALSE)-O63,0)</f>
        <v>27983.520833333332</v>
      </c>
      <c r="F63" s="90"/>
      <c r="G63" s="60">
        <f>VLOOKUP(B63,TypeIDs!C:D,2,FALSE)</f>
        <v>0.01</v>
      </c>
      <c r="H63" s="92">
        <f t="shared" si="3"/>
        <v>279.83520833333336</v>
      </c>
      <c r="I63" s="53">
        <f>VLOOKUP(B63,TradeSheet!B:E,3,FALSE)</f>
        <v>492.29014999999998</v>
      </c>
      <c r="J63" s="97">
        <f>MAX(VLOOKUP(B63,TradeSheet!B:F,5,FALSE)*(IF(F63&gt;0,E63,E63+F63)+O63),0)</f>
        <v>40080642.980218746</v>
      </c>
      <c r="K63" s="101">
        <f t="shared" si="4"/>
        <v>13776011.66856979</v>
      </c>
      <c r="L63" s="99">
        <f t="shared" si="5"/>
        <v>26304631.311648957</v>
      </c>
      <c r="M63" s="59">
        <v>44557</v>
      </c>
      <c r="N63" s="62"/>
      <c r="O63" s="62"/>
      <c r="T63" s="75"/>
      <c r="U63" s="75"/>
    </row>
    <row r="64" spans="1:21">
      <c r="A64" s="55" t="s">
        <v>17421</v>
      </c>
      <c r="B64" s="56">
        <f>VLOOKUP(A64,TypeIDs!B:C,2,FALSE)</f>
        <v>31117</v>
      </c>
      <c r="C64" s="103">
        <f>VLOOKUP(B64,TradeSheet!B:T,19,FALSE)</f>
        <v>179</v>
      </c>
      <c r="D64" s="55" t="s">
        <v>43988</v>
      </c>
      <c r="E64" s="90">
        <f>MAX(VLOOKUP(B64,TradeSheet!B:K,10,FALSE)-O64,0)</f>
        <v>35</v>
      </c>
      <c r="F64" s="90"/>
      <c r="G64" s="57">
        <f>VLOOKUP(B64,TypeIDs!C:D,2,FALSE)</f>
        <v>5</v>
      </c>
      <c r="H64" s="93">
        <f t="shared" si="3"/>
        <v>175</v>
      </c>
      <c r="I64" s="58">
        <f>VLOOKUP(B64,TradeSheet!B:E,3,FALSE)</f>
        <v>69384.34</v>
      </c>
      <c r="J64" s="97">
        <f>MAX(VLOOKUP(B64,TradeSheet!B:F,5,FALSE)*(IF(F64&gt;0,E64,E64+F64)+O64),0)</f>
        <v>41468700</v>
      </c>
      <c r="K64" s="101">
        <f t="shared" si="4"/>
        <v>2428451.9</v>
      </c>
      <c r="L64" s="99">
        <f t="shared" si="5"/>
        <v>39040248.100000001</v>
      </c>
      <c r="M64" s="59">
        <v>44557</v>
      </c>
      <c r="N64" s="62"/>
      <c r="O64" s="62"/>
    </row>
    <row r="65" spans="1:21">
      <c r="A65" s="49" t="s">
        <v>18091</v>
      </c>
      <c r="B65" s="56">
        <f>VLOOKUP(A65,TypeIDs!B:C,2,FALSE)</f>
        <v>31788</v>
      </c>
      <c r="C65" s="103">
        <f>VLOOKUP(B65,TradeSheet!B:T,19,FALSE)</f>
        <v>215</v>
      </c>
      <c r="D65" s="55" t="s">
        <v>43988</v>
      </c>
      <c r="E65" s="90">
        <f>MAX(VLOOKUP(B65,TradeSheet!B:K,10,FALSE)-O65,0)</f>
        <v>42</v>
      </c>
      <c r="F65" s="90">
        <v>3</v>
      </c>
      <c r="G65" s="57">
        <f>VLOOKUP(B65,TypeIDs!C:D,2,FALSE)</f>
        <v>5</v>
      </c>
      <c r="H65" s="93">
        <f t="shared" si="3"/>
        <v>225</v>
      </c>
      <c r="I65" s="58">
        <f>VLOOKUP(B65,TradeSheet!B:E,3,FALSE)</f>
        <v>187496.4</v>
      </c>
      <c r="J65" s="97">
        <f>MAX(VLOOKUP(B65,TradeSheet!B:F,5,FALSE)*(IF(F65&gt;0,E65,E65+F65)+O65),0)</f>
        <v>12031273.800000001</v>
      </c>
      <c r="K65" s="101">
        <f t="shared" si="4"/>
        <v>8437338</v>
      </c>
      <c r="L65" s="99">
        <f t="shared" si="5"/>
        <v>3593935.8000000007</v>
      </c>
      <c r="M65" s="59">
        <v>44557</v>
      </c>
      <c r="N65" s="62"/>
      <c r="O65" s="62"/>
      <c r="T65" s="75"/>
      <c r="U65" s="75"/>
    </row>
    <row r="66" spans="1:21">
      <c r="A66" s="55" t="s">
        <v>5147</v>
      </c>
      <c r="B66" s="56">
        <f>VLOOKUP(A66,TypeIDs!B:C,2,FALSE)</f>
        <v>13001</v>
      </c>
      <c r="C66" s="56">
        <f>VLOOKUP(B66,TradeSheet!B:T,19,FALSE)</f>
        <v>267</v>
      </c>
      <c r="D66" s="55" t="s">
        <v>43990</v>
      </c>
      <c r="E66" s="90">
        <f>MAX(VLOOKUP(B66,TradeSheet!B:K,10,FALSE)-O66,0)</f>
        <v>14</v>
      </c>
      <c r="F66" s="90">
        <v>-9</v>
      </c>
      <c r="G66" s="60">
        <f>VLOOKUP(B66,TypeIDs!C:D,2,FALSE)</f>
        <v>5</v>
      </c>
      <c r="H66" s="92">
        <f t="shared" ref="H66:H80" si="6">MAX(G66*(E66+F66),0)</f>
        <v>25</v>
      </c>
      <c r="I66" s="53">
        <f>VLOOKUP(B66,TradeSheet!B:E,3,FALSE)</f>
        <v>1965026.5</v>
      </c>
      <c r="J66" s="97">
        <f>MAX(VLOOKUP(B66,TradeSheet!B:F,5,FALSE)*(IF(F66&gt;0,E66,E66+F66)+O66),0)</f>
        <v>12655597.5</v>
      </c>
      <c r="K66" s="101">
        <f t="shared" ref="K66:K80" si="7">MAX(I66*(E66+F66),0)</f>
        <v>9825132.5</v>
      </c>
      <c r="L66" s="99">
        <f t="shared" ref="L66:L80" si="8">(J66-K66)</f>
        <v>2830465</v>
      </c>
      <c r="M66" s="59">
        <v>44541</v>
      </c>
      <c r="N66" s="62"/>
      <c r="T66" s="75"/>
      <c r="U66" s="75"/>
    </row>
    <row r="67" spans="1:21">
      <c r="A67" s="55" t="s">
        <v>17517</v>
      </c>
      <c r="B67" s="56">
        <f>VLOOKUP(A67,TypeIDs!B:C,2,FALSE)</f>
        <v>31213</v>
      </c>
      <c r="C67" s="103">
        <f>VLOOKUP(B67,TradeSheet!B:T,19,FALSE)</f>
        <v>206</v>
      </c>
      <c r="D67" s="55" t="s">
        <v>43988</v>
      </c>
      <c r="E67" s="90">
        <f>MAX(VLOOKUP(B67,TradeSheet!B:K,10,FALSE)-O67,0)</f>
        <v>21</v>
      </c>
      <c r="F67" s="90"/>
      <c r="G67" s="57">
        <f>VLOOKUP(B67,TypeIDs!C:D,2,FALSE)</f>
        <v>5</v>
      </c>
      <c r="H67" s="93">
        <f t="shared" si="6"/>
        <v>105</v>
      </c>
      <c r="I67" s="58">
        <f>VLOOKUP(B67,TradeSheet!B:E,3,FALSE)</f>
        <v>23280.11</v>
      </c>
      <c r="J67" s="97">
        <f>MAX(VLOOKUP(B67,TradeSheet!B:F,5,FALSE)*(IF(F67&gt;0,E67,E67+F67)+O67),0)</f>
        <v>3928824.9</v>
      </c>
      <c r="K67" s="101">
        <f t="shared" si="7"/>
        <v>488882.31</v>
      </c>
      <c r="L67" s="99">
        <f t="shared" si="8"/>
        <v>3439942.59</v>
      </c>
      <c r="M67" s="59">
        <v>44557</v>
      </c>
      <c r="N67" s="62"/>
      <c r="O67" s="62"/>
      <c r="T67" s="75"/>
      <c r="U67" s="75"/>
    </row>
    <row r="68" spans="1:21">
      <c r="A68" s="49" t="s">
        <v>17457</v>
      </c>
      <c r="B68" s="54">
        <f>VLOOKUP(A68,TypeIDs!B:C,2,FALSE)</f>
        <v>31153</v>
      </c>
      <c r="C68" s="54">
        <f>VLOOKUP(B68,TradeSheet!B:T,19,FALSE)</f>
        <v>180</v>
      </c>
      <c r="D68" s="49" t="s">
        <v>43988</v>
      </c>
      <c r="E68" s="89">
        <f>MAX(VLOOKUP(B68,TradeSheet!B:K,10,FALSE)-O68,0)</f>
        <v>21</v>
      </c>
      <c r="F68" s="89">
        <v>3</v>
      </c>
      <c r="G68" s="57">
        <f>VLOOKUP(B68,TypeIDs!C:D,2,FALSE)</f>
        <v>5</v>
      </c>
      <c r="H68" s="93">
        <f t="shared" si="6"/>
        <v>120</v>
      </c>
      <c r="I68" s="58">
        <f>VLOOKUP(B68,TradeSheet!B:E,3,FALSE)</f>
        <v>120752.85</v>
      </c>
      <c r="J68" s="46">
        <f>MAX(VLOOKUP(B68,TradeSheet!B:F,5,FALSE)*(IF(F68&gt;0,E68,E68+F68)+O68),0)</f>
        <v>11936965.949999999</v>
      </c>
      <c r="K68" s="100">
        <f t="shared" si="7"/>
        <v>2898068.4000000004</v>
      </c>
      <c r="L68" s="98">
        <f t="shared" si="8"/>
        <v>9038897.5499999989</v>
      </c>
      <c r="M68" s="59">
        <v>44557</v>
      </c>
      <c r="T68" s="75"/>
      <c r="U68" s="75"/>
    </row>
    <row r="69" spans="1:21">
      <c r="A69" s="49" t="s">
        <v>17481</v>
      </c>
      <c r="B69" s="54">
        <f>VLOOKUP(A69,TypeIDs!B:C,2,FALSE)</f>
        <v>31177</v>
      </c>
      <c r="C69" s="54">
        <f>VLOOKUP(B69,TradeSheet!B:T,19,FALSE)</f>
        <v>181</v>
      </c>
      <c r="D69" s="49" t="s">
        <v>43988</v>
      </c>
      <c r="E69" s="89">
        <f>MAX(VLOOKUP(B69,TradeSheet!B:K,10,FALSE)-O69,0)</f>
        <v>21</v>
      </c>
      <c r="G69" s="57">
        <f>VLOOKUP(B69,TypeIDs!C:D,2,FALSE)</f>
        <v>5</v>
      </c>
      <c r="H69" s="93">
        <f t="shared" si="6"/>
        <v>105</v>
      </c>
      <c r="I69" s="58">
        <f>VLOOKUP(B69,TradeSheet!B:E,3,FALSE)</f>
        <v>85647.205000000002</v>
      </c>
      <c r="J69" s="46">
        <f>MAX(VLOOKUP(B69,TradeSheet!B:F,5,FALSE)*(IF(F69&gt;0,E69,E69+F69)+O69),0)</f>
        <v>9629433.4500000011</v>
      </c>
      <c r="K69" s="100">
        <f t="shared" si="7"/>
        <v>1798591.3049999999</v>
      </c>
      <c r="L69" s="98">
        <f t="shared" si="8"/>
        <v>7830842.1450000014</v>
      </c>
      <c r="M69" s="51">
        <v>44541</v>
      </c>
      <c r="U69" s="75"/>
    </row>
    <row r="70" spans="1:21">
      <c r="A70" s="55" t="s">
        <v>14309</v>
      </c>
      <c r="B70" s="56">
        <f>VLOOKUP(A70,TypeIDs!B:C,2,FALSE)</f>
        <v>26929</v>
      </c>
      <c r="C70" s="103">
        <f>VLOOKUP(B70,TradeSheet!B:T,19,FALSE)</f>
        <v>197</v>
      </c>
      <c r="D70" s="55" t="s">
        <v>43988</v>
      </c>
      <c r="E70" s="90">
        <f>MAX(VLOOKUP(B70,TradeSheet!B:K,10,FALSE)-O70,0)</f>
        <v>28</v>
      </c>
      <c r="F70" s="90">
        <v>7</v>
      </c>
      <c r="G70" s="57">
        <f>VLOOKUP(B70,TypeIDs!C:D,2,FALSE)</f>
        <v>5</v>
      </c>
      <c r="H70" s="93">
        <f t="shared" si="6"/>
        <v>175</v>
      </c>
      <c r="I70" s="58">
        <f>VLOOKUP(B70,TradeSheet!B:E,3,FALSE)</f>
        <v>56589.214999999997</v>
      </c>
      <c r="J70" s="97">
        <f>MAX(VLOOKUP(B70,TradeSheet!B:F,5,FALSE)*(IF(F70&gt;0,E70,E70+F70)+O70),0)</f>
        <v>16049724.599999998</v>
      </c>
      <c r="K70" s="101">
        <f t="shared" si="7"/>
        <v>1980622.5249999999</v>
      </c>
      <c r="L70" s="99">
        <f t="shared" si="8"/>
        <v>14069102.074999997</v>
      </c>
      <c r="M70" s="59">
        <v>44557</v>
      </c>
      <c r="N70" s="62"/>
      <c r="O70" s="62"/>
    </row>
    <row r="71" spans="1:21">
      <c r="A71" s="49" t="s">
        <v>17396</v>
      </c>
      <c r="B71" s="54">
        <f>VLOOKUP(A71,TypeIDs!B:C,2,FALSE)</f>
        <v>31083</v>
      </c>
      <c r="C71" s="54">
        <f>VLOOKUP(B71,TradeSheet!B:T,19,FALSE)</f>
        <v>205</v>
      </c>
      <c r="D71" s="49" t="s">
        <v>43988</v>
      </c>
      <c r="E71" s="89">
        <f>MAX(VLOOKUP(B71,TradeSheet!B:K,10,FALSE)-O71,0)</f>
        <v>17.5</v>
      </c>
      <c r="G71" s="57">
        <f>VLOOKUP(B71,TypeIDs!C:D,2,FALSE)</f>
        <v>5</v>
      </c>
      <c r="H71" s="93">
        <f t="shared" si="6"/>
        <v>87.5</v>
      </c>
      <c r="I71" s="58">
        <f>VLOOKUP(B71,TradeSheet!B:E,3,FALSE)</f>
        <v>430969.35</v>
      </c>
      <c r="J71" s="46">
        <f>MAX(VLOOKUP(B71,TradeSheet!B:F,5,FALSE)*(IF(F71&gt;0,E71,E71+F71)+O71),0)</f>
        <v>9193343.25</v>
      </c>
      <c r="K71" s="100">
        <f t="shared" si="7"/>
        <v>7541963.625</v>
      </c>
      <c r="L71" s="98">
        <f t="shared" si="8"/>
        <v>1651379.625</v>
      </c>
      <c r="M71" s="59">
        <v>44557</v>
      </c>
    </row>
    <row r="72" spans="1:21">
      <c r="A72" s="55" t="s">
        <v>19553</v>
      </c>
      <c r="B72" s="56">
        <f>VLOOKUP(A72,TypeIDs!B:C,2,FALSE)</f>
        <v>33890</v>
      </c>
      <c r="C72" s="56">
        <f>VLOOKUP(B72,TradeSheet!B:T,19,FALSE)</f>
        <v>167</v>
      </c>
      <c r="D72" s="55" t="s">
        <v>43988</v>
      </c>
      <c r="E72" s="90">
        <f>MAX(VLOOKUP(B72,TradeSheet!B:K,10,FALSE)-O72,0)</f>
        <v>16.099999999999998</v>
      </c>
      <c r="F72" s="90">
        <v>-7</v>
      </c>
      <c r="G72" s="57">
        <f>VLOOKUP(B72,TypeIDs!C:D,2,FALSE)</f>
        <v>5</v>
      </c>
      <c r="H72" s="93">
        <f t="shared" si="6"/>
        <v>45.499999999999986</v>
      </c>
      <c r="I72" s="58">
        <f>VLOOKUP(B72,TradeSheet!B:E,3,FALSE)</f>
        <v>681022.65</v>
      </c>
      <c r="J72" s="97">
        <f>MAX(VLOOKUP(B72,TradeSheet!B:F,5,FALSE)*(IF(F72&gt;0,E72,E72+F72)+O72),0)</f>
        <v>3042397.9949999992</v>
      </c>
      <c r="K72" s="101">
        <f t="shared" si="7"/>
        <v>6197306.1149999984</v>
      </c>
      <c r="L72" s="99">
        <f t="shared" si="8"/>
        <v>-3154908.1199999992</v>
      </c>
      <c r="M72" s="59">
        <v>44541</v>
      </c>
      <c r="N72" s="62" t="s">
        <v>46574</v>
      </c>
    </row>
    <row r="73" spans="1:21">
      <c r="A73" s="106" t="s">
        <v>35891</v>
      </c>
      <c r="B73" s="56">
        <f>VLOOKUP(A73,TypeIDs!B:C,2,FALSE)</f>
        <v>56748</v>
      </c>
      <c r="C73" s="103">
        <f>VLOOKUP(B73,TradeSheet!B:T,19,FALSE)</f>
        <v>92</v>
      </c>
      <c r="D73" s="55" t="s">
        <v>43984</v>
      </c>
      <c r="E73" s="90">
        <f>MAX(VLOOKUP(B73,TradeSheet!B:K,10,FALSE)-O73,0)</f>
        <v>352.0151515151515</v>
      </c>
      <c r="F73" s="90">
        <v>13</v>
      </c>
      <c r="G73" s="57">
        <f>VLOOKUP(B73,TypeIDs!C:D,2,FALSE)</f>
        <v>3</v>
      </c>
      <c r="H73" s="93">
        <f t="shared" si="6"/>
        <v>1095.0454545454545</v>
      </c>
      <c r="I73" s="58">
        <f>VLOOKUP(B73,TradeSheet!B:E,3,FALSE)</f>
        <v>75804.554999999993</v>
      </c>
      <c r="J73" s="97">
        <f>MAX(VLOOKUP(B73,TradeSheet!B:F,5,FALSE)*(IF(F73&gt;0,E73,E73+F73)+O73),0)</f>
        <v>56708690.468181811</v>
      </c>
      <c r="K73" s="101">
        <f t="shared" si="7"/>
        <v>27669811.128863633</v>
      </c>
      <c r="L73" s="99">
        <f t="shared" si="8"/>
        <v>29038879.339318179</v>
      </c>
      <c r="M73" s="59">
        <v>44557</v>
      </c>
      <c r="N73" s="62"/>
      <c r="O73" s="62"/>
    </row>
    <row r="74" spans="1:21">
      <c r="A74" s="49" t="s">
        <v>9116</v>
      </c>
      <c r="B74" s="56">
        <f>VLOOKUP(A74,TypeIDs!B:C,2,FALSE)</f>
        <v>19806</v>
      </c>
      <c r="C74" s="103">
        <f>VLOOKUP(B74,TradeSheet!B:T,19,FALSE)</f>
        <v>236</v>
      </c>
      <c r="D74" s="55" t="s">
        <v>43990</v>
      </c>
      <c r="E74" s="90">
        <f>MAX(VLOOKUP(B74,TradeSheet!B:K,10,FALSE)-O74,0)</f>
        <v>21</v>
      </c>
      <c r="F74" s="90"/>
      <c r="G74" s="57">
        <f>VLOOKUP(B74,TypeIDs!C:D,2,FALSE)</f>
        <v>5</v>
      </c>
      <c r="H74" s="93">
        <f t="shared" si="6"/>
        <v>105</v>
      </c>
      <c r="I74" s="58">
        <f>VLOOKUP(B74,TradeSheet!B:E,3,FALSE)</f>
        <v>766880.55</v>
      </c>
      <c r="J74" s="97">
        <f>MAX(VLOOKUP(B74,TradeSheet!B:F,5,FALSE)*(IF(F74&gt;0,E74,E74+F74)+O74),0)</f>
        <v>70229250</v>
      </c>
      <c r="K74" s="101">
        <f t="shared" si="7"/>
        <v>16104491.550000001</v>
      </c>
      <c r="L74" s="99">
        <f t="shared" si="8"/>
        <v>54124758.450000003</v>
      </c>
      <c r="M74" s="59">
        <v>44557</v>
      </c>
      <c r="N74" s="62"/>
      <c r="O74" s="62"/>
    </row>
    <row r="75" spans="1:21">
      <c r="A75" s="104" t="s">
        <v>15918</v>
      </c>
      <c r="B75" s="56">
        <f>VLOOKUP(A75,TypeIDs!B:C,2,FALSE)</f>
        <v>29007</v>
      </c>
      <c r="C75" s="103">
        <f>VLOOKUP(B75,TradeSheet!B:T,19,FALSE)</f>
        <v>127</v>
      </c>
      <c r="D75" s="55" t="s">
        <v>43984</v>
      </c>
      <c r="E75" s="90">
        <f>MAX(VLOOKUP(B75,TradeSheet!B:K,10,FALSE)-O75,0)</f>
        <v>102.8125</v>
      </c>
      <c r="F75" s="90"/>
      <c r="G75" s="57">
        <f>VLOOKUP(B75,TypeIDs!C:D,2,FALSE)</f>
        <v>1</v>
      </c>
      <c r="H75" s="93">
        <f t="shared" si="6"/>
        <v>102.8125</v>
      </c>
      <c r="I75" s="58">
        <f>VLOOKUP(B75,TradeSheet!B:E,3,FALSE)</f>
        <v>19533.88</v>
      </c>
      <c r="J75" s="97">
        <f>MAX(VLOOKUP(B75,TradeSheet!B:F,5,FALSE)*(IF(F75&gt;0,E75,E75+F75)+O75),0)</f>
        <v>1964746.875</v>
      </c>
      <c r="K75" s="101">
        <f t="shared" si="7"/>
        <v>2008327.0375000001</v>
      </c>
      <c r="L75" s="99">
        <f t="shared" si="8"/>
        <v>-43580.162500000093</v>
      </c>
      <c r="M75" s="59">
        <v>44557</v>
      </c>
      <c r="N75" s="62"/>
      <c r="O75" s="62"/>
    </row>
    <row r="76" spans="1:21">
      <c r="A76" s="49" t="s">
        <v>10259</v>
      </c>
      <c r="B76" s="54">
        <f>VLOOKUP(A76,TypeIDs!B:C,2,FALSE)</f>
        <v>21640</v>
      </c>
      <c r="C76" s="54">
        <f>VLOOKUP(B76,TradeSheet!B:T,19,FALSE)</f>
        <v>148</v>
      </c>
      <c r="D76" s="49" t="s">
        <v>42880</v>
      </c>
      <c r="E76" s="89">
        <f>MAX(VLOOKUP(B76,TradeSheet!B:K,10,FALSE)-O76,0)</f>
        <v>105</v>
      </c>
      <c r="G76" s="57">
        <f>VLOOKUP(B76,TypeIDs!C:D,2,FALSE)</f>
        <v>10</v>
      </c>
      <c r="H76" s="93">
        <f t="shared" si="6"/>
        <v>1050</v>
      </c>
      <c r="I76" s="58">
        <f>VLOOKUP(B76,TradeSheet!B:E,3,FALSE)</f>
        <v>927115.5</v>
      </c>
      <c r="J76" s="46">
        <f>MAX(VLOOKUP(B76,TradeSheet!B:F,5,FALSE)*(IF(F76&gt;0,E76,E76+F76)+O76),0)</f>
        <v>134438850</v>
      </c>
      <c r="K76" s="100">
        <f t="shared" si="7"/>
        <v>97347127.5</v>
      </c>
      <c r="L76" s="98">
        <f t="shared" si="8"/>
        <v>37091722.5</v>
      </c>
      <c r="M76" s="59">
        <v>44557</v>
      </c>
    </row>
    <row r="77" spans="1:21">
      <c r="A77" s="49" t="s">
        <v>11838</v>
      </c>
      <c r="B77" s="54">
        <f>VLOOKUP(A77,TypeIDs!B:C,2,FALSE)</f>
        <v>23705</v>
      </c>
      <c r="C77" s="54">
        <f>VLOOKUP(B77,TradeSheet!B:T,19,FALSE)</f>
        <v>154</v>
      </c>
      <c r="D77" s="49" t="s">
        <v>42880</v>
      </c>
      <c r="E77" s="89">
        <f>MAX(VLOOKUP(B77,TradeSheet!B:K,10,FALSE)-O77,0)</f>
        <v>70</v>
      </c>
      <c r="G77" s="57">
        <f>VLOOKUP(B77,TypeIDs!C:D,2,FALSE)</f>
        <v>10</v>
      </c>
      <c r="H77" s="93">
        <f t="shared" si="6"/>
        <v>700</v>
      </c>
      <c r="I77" s="58">
        <f>VLOOKUP(B77,TradeSheet!B:E,3,FALSE)</f>
        <v>59365.79</v>
      </c>
      <c r="J77" s="46">
        <f>MAX(VLOOKUP(B77,TradeSheet!B:F,5,FALSE)*(IF(F77&gt;0,E77,E77+F77)+O77),0)</f>
        <v>14039161.5</v>
      </c>
      <c r="K77" s="100">
        <f t="shared" si="7"/>
        <v>4155605.3000000003</v>
      </c>
      <c r="L77" s="98">
        <f t="shared" si="8"/>
        <v>9883556.1999999993</v>
      </c>
      <c r="M77" s="59">
        <v>44557</v>
      </c>
    </row>
    <row r="78" spans="1:21">
      <c r="A78" s="49" t="s">
        <v>5084</v>
      </c>
      <c r="B78" s="56">
        <f>VLOOKUP(A78,TypeIDs!B:C,2,FALSE)</f>
        <v>12789</v>
      </c>
      <c r="C78" s="103">
        <f>VLOOKUP(B78,TradeSheet!B:T,19,FALSE)</f>
        <v>36</v>
      </c>
      <c r="D78" s="55" t="s">
        <v>42879</v>
      </c>
      <c r="E78" s="90">
        <f>MAX(VLOOKUP(B78,TradeSheet!B:K,10,FALSE)-O78,0)</f>
        <v>96194.510416666672</v>
      </c>
      <c r="F78" s="90">
        <v>20000</v>
      </c>
      <c r="G78" s="57">
        <f>VLOOKUP(B78,TypeIDs!C:D,2,FALSE)</f>
        <v>1.2500000000000001E-2</v>
      </c>
      <c r="H78" s="93">
        <f t="shared" si="6"/>
        <v>1452.4313802083334</v>
      </c>
      <c r="I78" s="58">
        <f>VLOOKUP(B78,TradeSheet!B:E,3,FALSE)</f>
        <v>154.13760000000002</v>
      </c>
      <c r="J78" s="97">
        <f>MAX(VLOOKUP(B78,TradeSheet!B:F,5,FALSE)*(IF(F78&gt;0,E78,E78+F78)+O78),0)</f>
        <v>54872571.257765628</v>
      </c>
      <c r="K78" s="101">
        <f t="shared" si="7"/>
        <v>17909942.968800005</v>
      </c>
      <c r="L78" s="99">
        <f t="shared" si="8"/>
        <v>36962628.288965628</v>
      </c>
      <c r="M78" s="59">
        <v>44557</v>
      </c>
      <c r="N78" s="62"/>
      <c r="O78" s="62"/>
    </row>
    <row r="79" spans="1:21">
      <c r="A79" s="55" t="s">
        <v>4475</v>
      </c>
      <c r="B79" s="56">
        <f>VLOOKUP(A79,TypeIDs!B:C,2,FALSE)</f>
        <v>11640</v>
      </c>
      <c r="C79" s="103">
        <f>VLOOKUP(B79,TradeSheet!B:T,19,FALSE)</f>
        <v>314</v>
      </c>
      <c r="D79" s="55" t="s">
        <v>43989</v>
      </c>
      <c r="E79" s="90">
        <f>MAX(VLOOKUP(B79,TradeSheet!B:K,10,FALSE)-O79,0)</f>
        <v>42</v>
      </c>
      <c r="F79" s="90">
        <v>-2</v>
      </c>
      <c r="G79" s="57">
        <f>VLOOKUP(B79,TypeIDs!C:D,2,FALSE)</f>
        <v>5</v>
      </c>
      <c r="H79" s="93">
        <f t="shared" si="6"/>
        <v>200</v>
      </c>
      <c r="I79" s="58">
        <f>VLOOKUP(B79,TradeSheet!B:E,3,FALSE)</f>
        <v>816389.85</v>
      </c>
      <c r="J79" s="97">
        <f>MAX(VLOOKUP(B79,TradeSheet!B:F,5,FALSE)*(IF(F79&gt;0,E79,E79+F79)+O79),0)</f>
        <v>50870820</v>
      </c>
      <c r="K79" s="101">
        <f t="shared" si="7"/>
        <v>32655594</v>
      </c>
      <c r="L79" s="99">
        <f t="shared" si="8"/>
        <v>18215226</v>
      </c>
      <c r="M79" s="59">
        <v>44557</v>
      </c>
      <c r="N79" s="62"/>
      <c r="O79" s="62"/>
    </row>
    <row r="80" spans="1:21">
      <c r="A80" s="49" t="s">
        <v>1269</v>
      </c>
      <c r="B80" s="54">
        <f>VLOOKUP(A80,TypeIDs!B:C,2,FALSE)</f>
        <v>2488</v>
      </c>
      <c r="C80" s="54">
        <f>VLOOKUP(B80,TradeSheet!B:T,19,FALSE)</f>
        <v>142</v>
      </c>
      <c r="D80" s="49" t="s">
        <v>42880</v>
      </c>
      <c r="E80" s="89">
        <f>MAX(VLOOKUP(B80,TradeSheet!B:K,10,FALSE)-O80,0)</f>
        <v>525</v>
      </c>
      <c r="F80" s="89">
        <v>40</v>
      </c>
      <c r="G80" s="57">
        <f>VLOOKUP(B80,TypeIDs!C:D,2,FALSE)</f>
        <v>5</v>
      </c>
      <c r="H80" s="93">
        <f t="shared" si="6"/>
        <v>2825</v>
      </c>
      <c r="I80" s="58">
        <f>VLOOKUP(B80,TradeSheet!B:E,3,FALSE)</f>
        <v>357436.55</v>
      </c>
      <c r="J80" s="46">
        <f>MAX(VLOOKUP(B80,TradeSheet!B:F,5,FALSE)*(IF(F80&gt;0,E80,E80+F80)+O80),0)</f>
        <v>257791511.25</v>
      </c>
      <c r="K80" s="100">
        <f t="shared" si="7"/>
        <v>201951650.75</v>
      </c>
      <c r="L80" s="98">
        <f t="shared" si="8"/>
        <v>55839860.5</v>
      </c>
      <c r="M80" s="59">
        <v>44557</v>
      </c>
    </row>
  </sheetData>
  <mergeCells count="1">
    <mergeCell ref="P1:Q1"/>
  </mergeCells>
  <conditionalFormatting sqref="A2:D947">
    <cfRule type="expression" dxfId="291" priority="1">
      <formula>$N2="x"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M40920"/>
  <sheetViews>
    <sheetView topLeftCell="D1" zoomScale="190" zoomScaleNormal="190" workbookViewId="0">
      <selection activeCell="F2" sqref="F2"/>
    </sheetView>
  </sheetViews>
  <sheetFormatPr defaultRowHeight="15"/>
  <cols>
    <col min="2" max="2" width="44.28515625" customWidth="1"/>
    <col min="4" max="4" width="16.28515625" customWidth="1"/>
    <col min="6" max="6" width="11.140625" customWidth="1"/>
    <col min="7" max="7" width="10.5703125" customWidth="1"/>
    <col min="8" max="9" width="10.42578125" bestFit="1" customWidth="1"/>
    <col min="10" max="10" width="38.5703125" bestFit="1" customWidth="1"/>
  </cols>
  <sheetData>
    <row r="1" spans="1:12">
      <c r="A1">
        <v>0</v>
      </c>
      <c r="B1" t="s">
        <v>47</v>
      </c>
      <c r="C1">
        <v>0</v>
      </c>
      <c r="D1" s="6">
        <v>0</v>
      </c>
      <c r="F1" t="s">
        <v>43995</v>
      </c>
      <c r="G1" t="s">
        <v>43996</v>
      </c>
      <c r="H1" t="s">
        <v>43997</v>
      </c>
      <c r="J1" t="s">
        <v>46571</v>
      </c>
    </row>
    <row r="2" spans="1:12">
      <c r="A2">
        <v>2</v>
      </c>
      <c r="B2" t="s">
        <v>48</v>
      </c>
      <c r="C2">
        <v>2</v>
      </c>
      <c r="D2" s="6">
        <v>0</v>
      </c>
      <c r="F2" t="s">
        <v>14996</v>
      </c>
      <c r="J2" t="s">
        <v>211</v>
      </c>
      <c r="K2" s="75"/>
      <c r="L2" s="75"/>
    </row>
    <row r="3" spans="1:12">
      <c r="A3">
        <v>3</v>
      </c>
      <c r="B3" t="s">
        <v>49</v>
      </c>
      <c r="C3">
        <v>3</v>
      </c>
      <c r="D3">
        <v>1</v>
      </c>
      <c r="F3" t="s">
        <v>15004</v>
      </c>
      <c r="J3" t="s">
        <v>18049</v>
      </c>
      <c r="K3" s="75"/>
      <c r="L3" s="75"/>
    </row>
    <row r="4" spans="1:12">
      <c r="A4">
        <v>4</v>
      </c>
      <c r="B4" t="s">
        <v>50</v>
      </c>
      <c r="C4">
        <v>4</v>
      </c>
      <c r="D4">
        <v>1</v>
      </c>
      <c r="F4" t="s">
        <v>15006</v>
      </c>
      <c r="J4" t="s">
        <v>1302</v>
      </c>
      <c r="K4" s="75"/>
      <c r="L4" s="75"/>
    </row>
    <row r="5" spans="1:12">
      <c r="A5">
        <v>5</v>
      </c>
      <c r="B5" t="s">
        <v>51</v>
      </c>
      <c r="C5">
        <v>5</v>
      </c>
      <c r="D5">
        <v>1</v>
      </c>
      <c r="F5" t="s">
        <v>15000</v>
      </c>
      <c r="J5" t="s">
        <v>14589</v>
      </c>
      <c r="L5" s="75"/>
    </row>
    <row r="6" spans="1:12">
      <c r="A6">
        <v>6</v>
      </c>
      <c r="B6" t="s">
        <v>52</v>
      </c>
      <c r="C6">
        <v>6</v>
      </c>
      <c r="D6">
        <v>1</v>
      </c>
      <c r="F6" t="s">
        <v>15002</v>
      </c>
      <c r="J6" t="s">
        <v>4312</v>
      </c>
      <c r="K6" s="75"/>
      <c r="L6" s="75"/>
    </row>
    <row r="7" spans="1:12">
      <c r="A7">
        <v>7</v>
      </c>
      <c r="B7" t="s">
        <v>53</v>
      </c>
      <c r="C7">
        <v>7</v>
      </c>
      <c r="D7">
        <v>1</v>
      </c>
      <c r="F7" t="s">
        <v>15008</v>
      </c>
      <c r="J7" t="s">
        <v>21192</v>
      </c>
      <c r="K7" s="75"/>
      <c r="L7" s="75"/>
    </row>
    <row r="8" spans="1:12">
      <c r="A8">
        <v>8</v>
      </c>
      <c r="B8" t="s">
        <v>54</v>
      </c>
      <c r="C8">
        <v>8</v>
      </c>
      <c r="D8">
        <v>1</v>
      </c>
      <c r="F8" t="s">
        <v>19883</v>
      </c>
      <c r="J8" t="s">
        <v>1366</v>
      </c>
      <c r="K8" s="75"/>
      <c r="L8" s="75"/>
    </row>
    <row r="9" spans="1:12">
      <c r="A9">
        <v>9</v>
      </c>
      <c r="B9" t="s">
        <v>55</v>
      </c>
      <c r="C9">
        <v>9</v>
      </c>
      <c r="D9">
        <v>1</v>
      </c>
      <c r="F9" t="s">
        <v>27329</v>
      </c>
      <c r="J9" t="s">
        <v>7145</v>
      </c>
      <c r="K9" s="75"/>
      <c r="L9" s="75"/>
    </row>
    <row r="10" spans="1:12">
      <c r="A10">
        <v>10</v>
      </c>
      <c r="B10" t="s">
        <v>56</v>
      </c>
      <c r="C10">
        <v>10</v>
      </c>
      <c r="D10">
        <v>1</v>
      </c>
      <c r="F10" t="s">
        <v>27331</v>
      </c>
      <c r="J10" t="s">
        <v>18185</v>
      </c>
      <c r="K10" s="75"/>
      <c r="L10" s="75"/>
    </row>
    <row r="11" spans="1:12">
      <c r="A11">
        <v>11</v>
      </c>
      <c r="B11" t="s">
        <v>57</v>
      </c>
      <c r="C11">
        <v>11</v>
      </c>
      <c r="D11">
        <v>1</v>
      </c>
      <c r="F11" t="s">
        <v>27330</v>
      </c>
      <c r="J11" t="s">
        <v>14580</v>
      </c>
      <c r="L11" s="75"/>
    </row>
    <row r="12" spans="1:12">
      <c r="A12">
        <v>12</v>
      </c>
      <c r="B12" t="s">
        <v>58</v>
      </c>
      <c r="C12">
        <v>12</v>
      </c>
      <c r="D12">
        <v>1</v>
      </c>
      <c r="F12" t="s">
        <v>27334</v>
      </c>
      <c r="J12" t="s">
        <v>14583</v>
      </c>
      <c r="L12" s="75"/>
    </row>
    <row r="13" spans="1:12">
      <c r="A13">
        <v>13</v>
      </c>
      <c r="B13" t="s">
        <v>59</v>
      </c>
      <c r="C13">
        <v>13</v>
      </c>
      <c r="D13">
        <v>1</v>
      </c>
      <c r="F13" t="s">
        <v>27333</v>
      </c>
      <c r="J13" t="s">
        <v>1237</v>
      </c>
      <c r="K13" s="75"/>
      <c r="L13" s="75"/>
    </row>
    <row r="14" spans="1:12">
      <c r="A14">
        <v>14</v>
      </c>
      <c r="B14" t="s">
        <v>60</v>
      </c>
      <c r="C14">
        <v>14</v>
      </c>
      <c r="D14">
        <v>1</v>
      </c>
      <c r="F14" t="s">
        <v>27332</v>
      </c>
      <c r="J14" t="s">
        <v>30866</v>
      </c>
      <c r="K14" s="75"/>
      <c r="L14" s="75"/>
    </row>
    <row r="15" spans="1:12">
      <c r="A15">
        <v>15</v>
      </c>
      <c r="B15" t="s">
        <v>61</v>
      </c>
      <c r="C15">
        <v>15</v>
      </c>
      <c r="D15">
        <v>1</v>
      </c>
      <c r="F15" t="s">
        <v>27328</v>
      </c>
      <c r="J15" t="s">
        <v>17487</v>
      </c>
      <c r="K15" s="75"/>
      <c r="L15" s="75"/>
    </row>
    <row r="16" spans="1:12">
      <c r="A16">
        <v>16</v>
      </c>
      <c r="B16" t="s">
        <v>62</v>
      </c>
      <c r="C16">
        <v>16</v>
      </c>
      <c r="D16">
        <v>10000000</v>
      </c>
      <c r="F16" t="s">
        <v>27326</v>
      </c>
      <c r="J16" t="s">
        <v>15642</v>
      </c>
      <c r="K16" s="75"/>
      <c r="L16" s="75"/>
    </row>
    <row r="17" spans="1:13">
      <c r="A17">
        <v>17</v>
      </c>
      <c r="B17" t="s">
        <v>63</v>
      </c>
      <c r="C17">
        <v>17</v>
      </c>
      <c r="D17">
        <v>100000000</v>
      </c>
      <c r="F17" t="s">
        <v>27327</v>
      </c>
      <c r="J17" t="s">
        <v>2888</v>
      </c>
      <c r="K17" s="75"/>
      <c r="L17" s="75"/>
    </row>
    <row r="18" spans="1:13">
      <c r="A18">
        <v>18</v>
      </c>
      <c r="B18" t="s">
        <v>64</v>
      </c>
      <c r="C18">
        <v>18</v>
      </c>
      <c r="D18">
        <v>0.35</v>
      </c>
      <c r="F18" t="s">
        <v>27206</v>
      </c>
      <c r="J18" t="s">
        <v>14586</v>
      </c>
      <c r="L18" s="75"/>
    </row>
    <row r="19" spans="1:13">
      <c r="A19">
        <v>19</v>
      </c>
      <c r="B19" t="s">
        <v>65</v>
      </c>
      <c r="C19">
        <v>19</v>
      </c>
      <c r="D19">
        <v>16</v>
      </c>
      <c r="F19" t="s">
        <v>27208</v>
      </c>
      <c r="J19" t="s">
        <v>924</v>
      </c>
      <c r="M19" s="75"/>
    </row>
    <row r="20" spans="1:13">
      <c r="A20">
        <v>20</v>
      </c>
      <c r="B20" t="s">
        <v>66</v>
      </c>
      <c r="C20">
        <v>20</v>
      </c>
      <c r="D20">
        <v>1.2</v>
      </c>
      <c r="F20" t="s">
        <v>27207</v>
      </c>
      <c r="J20" t="s">
        <v>3648</v>
      </c>
    </row>
    <row r="21" spans="1:13">
      <c r="A21">
        <v>21</v>
      </c>
      <c r="B21" t="s">
        <v>67</v>
      </c>
      <c r="C21">
        <v>21</v>
      </c>
      <c r="D21">
        <v>3</v>
      </c>
      <c r="F21" t="s">
        <v>27335</v>
      </c>
      <c r="J21" t="s">
        <v>6979</v>
      </c>
      <c r="M21" s="75"/>
    </row>
    <row r="22" spans="1:13">
      <c r="A22">
        <v>22</v>
      </c>
      <c r="B22" t="s">
        <v>68</v>
      </c>
      <c r="C22">
        <v>22</v>
      </c>
      <c r="D22">
        <v>16</v>
      </c>
      <c r="F22" t="s">
        <v>27336</v>
      </c>
      <c r="J22" t="s">
        <v>5100</v>
      </c>
      <c r="M22" s="75"/>
    </row>
    <row r="23" spans="1:13">
      <c r="A23">
        <v>23</v>
      </c>
      <c r="B23" t="s">
        <v>69</v>
      </c>
      <c r="C23">
        <v>23</v>
      </c>
      <c r="D23">
        <v>27500</v>
      </c>
      <c r="F23" t="s">
        <v>27337</v>
      </c>
      <c r="J23" t="s">
        <v>2531</v>
      </c>
      <c r="M23" s="75"/>
    </row>
    <row r="24" spans="1:13">
      <c r="A24">
        <v>24</v>
      </c>
      <c r="B24" t="s">
        <v>70</v>
      </c>
      <c r="C24">
        <v>24</v>
      </c>
      <c r="D24">
        <v>1</v>
      </c>
      <c r="F24" t="s">
        <v>34742</v>
      </c>
      <c r="J24" t="s">
        <v>1094</v>
      </c>
      <c r="M24" s="75"/>
    </row>
    <row r="25" spans="1:13">
      <c r="A25">
        <v>25</v>
      </c>
      <c r="B25" t="s">
        <v>71</v>
      </c>
      <c r="C25">
        <v>25</v>
      </c>
      <c r="D25">
        <v>2</v>
      </c>
      <c r="F25" t="s">
        <v>31430</v>
      </c>
      <c r="J25" t="s">
        <v>1807</v>
      </c>
      <c r="M25" s="75"/>
    </row>
    <row r="26" spans="1:13">
      <c r="A26">
        <v>26</v>
      </c>
      <c r="B26" t="s">
        <v>72</v>
      </c>
      <c r="C26">
        <v>26</v>
      </c>
      <c r="D26">
        <v>1</v>
      </c>
      <c r="F26" t="s">
        <v>31429</v>
      </c>
      <c r="J26" t="s">
        <v>673</v>
      </c>
      <c r="M26" s="75"/>
    </row>
    <row r="27" spans="1:13">
      <c r="A27">
        <v>27</v>
      </c>
      <c r="B27" t="s">
        <v>73</v>
      </c>
      <c r="C27">
        <v>27</v>
      </c>
      <c r="D27">
        <v>1</v>
      </c>
      <c r="F27" t="s">
        <v>31426</v>
      </c>
      <c r="J27" t="s">
        <v>21194</v>
      </c>
      <c r="M27" s="75"/>
    </row>
    <row r="28" spans="1:13">
      <c r="A28">
        <v>28</v>
      </c>
      <c r="B28" t="s">
        <v>74</v>
      </c>
      <c r="C28">
        <v>28</v>
      </c>
      <c r="D28">
        <v>1</v>
      </c>
      <c r="F28" t="s">
        <v>31425</v>
      </c>
      <c r="J28" t="s">
        <v>18093</v>
      </c>
      <c r="M28" s="75"/>
    </row>
    <row r="29" spans="1:13">
      <c r="A29">
        <v>29</v>
      </c>
      <c r="B29" t="s">
        <v>75</v>
      </c>
      <c r="C29">
        <v>29</v>
      </c>
      <c r="D29" s="6">
        <v>0</v>
      </c>
      <c r="F29" t="s">
        <v>31422</v>
      </c>
      <c r="J29" t="s">
        <v>18063</v>
      </c>
      <c r="M29" s="75"/>
    </row>
    <row r="30" spans="1:13">
      <c r="A30">
        <v>30</v>
      </c>
      <c r="B30" t="s">
        <v>76</v>
      </c>
      <c r="C30">
        <v>30</v>
      </c>
      <c r="D30" s="6">
        <v>0</v>
      </c>
      <c r="F30" t="s">
        <v>31421</v>
      </c>
      <c r="J30" t="s">
        <v>11246</v>
      </c>
      <c r="M30" s="75"/>
    </row>
    <row r="31" spans="1:13">
      <c r="A31">
        <v>34</v>
      </c>
      <c r="B31" t="s">
        <v>77</v>
      </c>
      <c r="C31">
        <v>34</v>
      </c>
      <c r="D31">
        <v>0.01</v>
      </c>
      <c r="F31" t="s">
        <v>31427</v>
      </c>
      <c r="J31" t="s">
        <v>5096</v>
      </c>
      <c r="M31" s="75"/>
    </row>
    <row r="32" spans="1:13">
      <c r="A32">
        <v>35</v>
      </c>
      <c r="B32" t="s">
        <v>78</v>
      </c>
      <c r="C32">
        <v>35</v>
      </c>
      <c r="D32">
        <v>0.01</v>
      </c>
      <c r="F32" t="s">
        <v>31428</v>
      </c>
      <c r="J32" t="s">
        <v>3861</v>
      </c>
      <c r="M32" s="75"/>
    </row>
    <row r="33" spans="1:13">
      <c r="A33">
        <v>36</v>
      </c>
      <c r="B33" t="s">
        <v>79</v>
      </c>
      <c r="C33">
        <v>36</v>
      </c>
      <c r="D33">
        <v>0.01</v>
      </c>
      <c r="F33" t="s">
        <v>31383</v>
      </c>
      <c r="J33" t="s">
        <v>11249</v>
      </c>
      <c r="M33" s="75"/>
    </row>
    <row r="34" spans="1:13">
      <c r="A34">
        <v>37</v>
      </c>
      <c r="B34" t="s">
        <v>80</v>
      </c>
      <c r="C34">
        <v>37</v>
      </c>
      <c r="D34">
        <v>0.01</v>
      </c>
      <c r="F34" t="s">
        <v>31423</v>
      </c>
      <c r="J34" t="s">
        <v>11250</v>
      </c>
      <c r="M34" s="75"/>
    </row>
    <row r="35" spans="1:13">
      <c r="A35">
        <v>38</v>
      </c>
      <c r="B35" t="s">
        <v>81</v>
      </c>
      <c r="C35">
        <v>38</v>
      </c>
      <c r="D35">
        <v>0.01</v>
      </c>
      <c r="F35" t="s">
        <v>31424</v>
      </c>
      <c r="J35" t="s">
        <v>11840</v>
      </c>
      <c r="M35" s="75"/>
    </row>
    <row r="36" spans="1:13">
      <c r="A36">
        <v>39</v>
      </c>
      <c r="B36" t="s">
        <v>82</v>
      </c>
      <c r="C36">
        <v>39</v>
      </c>
      <c r="D36">
        <v>0.01</v>
      </c>
      <c r="F36" t="s">
        <v>31382</v>
      </c>
      <c r="J36" t="s">
        <v>15642</v>
      </c>
      <c r="M36" s="75"/>
    </row>
    <row r="37" spans="1:13">
      <c r="A37">
        <v>40</v>
      </c>
      <c r="B37" t="s">
        <v>83</v>
      </c>
      <c r="C37">
        <v>40</v>
      </c>
      <c r="D37">
        <v>0.01</v>
      </c>
      <c r="F37" t="s">
        <v>31419</v>
      </c>
      <c r="J37" t="s">
        <v>1113</v>
      </c>
      <c r="M37" s="75"/>
    </row>
    <row r="38" spans="1:13">
      <c r="A38">
        <v>41</v>
      </c>
      <c r="B38" t="s">
        <v>84</v>
      </c>
      <c r="C38">
        <v>41</v>
      </c>
      <c r="D38">
        <v>0.25</v>
      </c>
      <c r="F38" t="s">
        <v>31420</v>
      </c>
      <c r="J38" t="s">
        <v>11253</v>
      </c>
      <c r="M38" s="75"/>
    </row>
    <row r="39" spans="1:13">
      <c r="A39">
        <v>42</v>
      </c>
      <c r="B39" t="s">
        <v>85</v>
      </c>
      <c r="C39">
        <v>42</v>
      </c>
      <c r="D39">
        <v>0.5</v>
      </c>
      <c r="F39" t="s">
        <v>31381</v>
      </c>
      <c r="M39" s="75"/>
    </row>
    <row r="40" spans="1:13">
      <c r="A40">
        <v>43</v>
      </c>
      <c r="B40" t="s">
        <v>86</v>
      </c>
      <c r="C40">
        <v>43</v>
      </c>
      <c r="D40">
        <v>0.2</v>
      </c>
      <c r="F40" t="s">
        <v>5118</v>
      </c>
    </row>
    <row r="41" spans="1:13">
      <c r="A41">
        <v>44</v>
      </c>
      <c r="B41" t="s">
        <v>87</v>
      </c>
      <c r="C41">
        <v>44</v>
      </c>
      <c r="D41">
        <v>1.5</v>
      </c>
      <c r="F41" t="s">
        <v>5122</v>
      </c>
    </row>
    <row r="42" spans="1:13">
      <c r="A42">
        <v>45</v>
      </c>
      <c r="B42" t="s">
        <v>88</v>
      </c>
      <c r="C42">
        <v>45</v>
      </c>
      <c r="D42">
        <v>0.5</v>
      </c>
      <c r="F42" t="s">
        <v>5116</v>
      </c>
    </row>
    <row r="43" spans="1:13">
      <c r="A43">
        <v>49</v>
      </c>
      <c r="B43" t="s">
        <v>89</v>
      </c>
      <c r="C43">
        <v>49</v>
      </c>
      <c r="D43" s="6">
        <v>0</v>
      </c>
      <c r="F43" t="s">
        <v>5120</v>
      </c>
    </row>
    <row r="44" spans="1:13">
      <c r="A44">
        <v>50</v>
      </c>
      <c r="B44" t="s">
        <v>90</v>
      </c>
      <c r="C44">
        <v>50</v>
      </c>
      <c r="D44" s="6">
        <v>0</v>
      </c>
      <c r="F44" t="s">
        <v>4991</v>
      </c>
    </row>
    <row r="45" spans="1:13">
      <c r="A45">
        <v>51</v>
      </c>
      <c r="B45" t="s">
        <v>91</v>
      </c>
      <c r="C45">
        <v>51</v>
      </c>
      <c r="D45" s="6">
        <v>0</v>
      </c>
      <c r="F45" t="s">
        <v>4989</v>
      </c>
    </row>
    <row r="46" spans="1:13">
      <c r="A46">
        <v>52</v>
      </c>
      <c r="B46" t="s">
        <v>92</v>
      </c>
      <c r="C46">
        <v>52</v>
      </c>
      <c r="D46" s="6">
        <v>0</v>
      </c>
      <c r="F46" t="s">
        <v>5110</v>
      </c>
    </row>
    <row r="47" spans="1:13">
      <c r="A47">
        <v>53</v>
      </c>
      <c r="B47" t="s">
        <v>93</v>
      </c>
      <c r="C47">
        <v>53</v>
      </c>
      <c r="D47" s="6">
        <v>0</v>
      </c>
      <c r="F47" t="s">
        <v>5114</v>
      </c>
    </row>
    <row r="48" spans="1:13">
      <c r="A48">
        <v>54</v>
      </c>
      <c r="B48" t="s">
        <v>94</v>
      </c>
      <c r="C48">
        <v>54</v>
      </c>
      <c r="D48">
        <v>1</v>
      </c>
      <c r="F48" t="s">
        <v>5108</v>
      </c>
    </row>
    <row r="49" spans="1:6">
      <c r="A49">
        <v>56</v>
      </c>
      <c r="B49" t="s">
        <v>95</v>
      </c>
      <c r="C49">
        <v>56</v>
      </c>
      <c r="D49">
        <v>1</v>
      </c>
      <c r="F49" t="s">
        <v>5112</v>
      </c>
    </row>
    <row r="50" spans="1:6">
      <c r="A50">
        <v>57</v>
      </c>
      <c r="B50" t="s">
        <v>96</v>
      </c>
      <c r="C50">
        <v>57</v>
      </c>
      <c r="D50">
        <v>1</v>
      </c>
      <c r="F50" t="s">
        <v>4997</v>
      </c>
    </row>
    <row r="51" spans="1:6">
      <c r="A51">
        <v>58</v>
      </c>
      <c r="B51" t="s">
        <v>97</v>
      </c>
      <c r="C51">
        <v>58</v>
      </c>
      <c r="D51">
        <v>1</v>
      </c>
      <c r="F51" t="s">
        <v>4995</v>
      </c>
    </row>
    <row r="52" spans="1:6">
      <c r="A52">
        <v>59</v>
      </c>
      <c r="B52" t="s">
        <v>98</v>
      </c>
      <c r="C52">
        <v>59</v>
      </c>
      <c r="D52">
        <v>1</v>
      </c>
      <c r="F52" t="s">
        <v>11297</v>
      </c>
    </row>
    <row r="53" spans="1:6">
      <c r="A53">
        <v>60</v>
      </c>
      <c r="B53" t="s">
        <v>99</v>
      </c>
      <c r="C53">
        <v>60</v>
      </c>
      <c r="D53">
        <v>1</v>
      </c>
      <c r="F53" t="s">
        <v>11301</v>
      </c>
    </row>
    <row r="54" spans="1:6">
      <c r="A54">
        <v>164</v>
      </c>
      <c r="B54" t="s">
        <v>100</v>
      </c>
      <c r="C54">
        <v>164</v>
      </c>
      <c r="D54">
        <v>1</v>
      </c>
      <c r="F54" t="s">
        <v>11296</v>
      </c>
    </row>
    <row r="55" spans="1:6">
      <c r="A55">
        <v>165</v>
      </c>
      <c r="B55" t="s">
        <v>101</v>
      </c>
      <c r="C55">
        <v>165</v>
      </c>
      <c r="D55">
        <v>1</v>
      </c>
      <c r="F55" t="s">
        <v>11303</v>
      </c>
    </row>
    <row r="56" spans="1:6">
      <c r="A56">
        <v>166</v>
      </c>
      <c r="B56" t="s">
        <v>102</v>
      </c>
      <c r="C56">
        <v>166</v>
      </c>
      <c r="D56">
        <v>1</v>
      </c>
      <c r="F56" t="s">
        <v>11300</v>
      </c>
    </row>
    <row r="57" spans="1:6">
      <c r="A57">
        <v>178</v>
      </c>
      <c r="B57" t="s">
        <v>103</v>
      </c>
      <c r="C57">
        <v>178</v>
      </c>
      <c r="D57">
        <v>2.5000000000000001E-3</v>
      </c>
      <c r="F57" t="s">
        <v>11299</v>
      </c>
    </row>
    <row r="58" spans="1:6">
      <c r="A58">
        <v>179</v>
      </c>
      <c r="B58" t="s">
        <v>104</v>
      </c>
      <c r="C58">
        <v>179</v>
      </c>
      <c r="D58">
        <v>2.5000000000000001E-3</v>
      </c>
      <c r="F58" t="s">
        <v>11298</v>
      </c>
    </row>
    <row r="59" spans="1:6">
      <c r="A59">
        <v>180</v>
      </c>
      <c r="B59" t="s">
        <v>105</v>
      </c>
      <c r="C59">
        <v>180</v>
      </c>
      <c r="D59">
        <v>2.5000000000000001E-3</v>
      </c>
      <c r="F59" t="s">
        <v>11289</v>
      </c>
    </row>
    <row r="60" spans="1:6">
      <c r="A60">
        <v>181</v>
      </c>
      <c r="B60" t="s">
        <v>106</v>
      </c>
      <c r="C60">
        <v>181</v>
      </c>
      <c r="D60">
        <v>2.5000000000000001E-3</v>
      </c>
      <c r="F60" t="s">
        <v>11293</v>
      </c>
    </row>
    <row r="61" spans="1:6">
      <c r="A61">
        <v>182</v>
      </c>
      <c r="B61" t="s">
        <v>107</v>
      </c>
      <c r="C61">
        <v>182</v>
      </c>
      <c r="D61">
        <v>2.5000000000000001E-3</v>
      </c>
      <c r="F61" t="s">
        <v>11294</v>
      </c>
    </row>
    <row r="62" spans="1:6">
      <c r="A62">
        <v>183</v>
      </c>
      <c r="B62" t="s">
        <v>108</v>
      </c>
      <c r="C62">
        <v>183</v>
      </c>
      <c r="D62">
        <v>2.5000000000000001E-3</v>
      </c>
      <c r="F62" t="s">
        <v>11288</v>
      </c>
    </row>
    <row r="63" spans="1:6">
      <c r="A63">
        <v>184</v>
      </c>
      <c r="B63" t="s">
        <v>109</v>
      </c>
      <c r="C63">
        <v>184</v>
      </c>
      <c r="D63">
        <v>2.5000000000000001E-3</v>
      </c>
      <c r="F63" t="s">
        <v>11295</v>
      </c>
    </row>
    <row r="64" spans="1:6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P6768"/>
  <sheetViews>
    <sheetView zoomScale="145" zoomScaleNormal="145" workbookViewId="0">
      <selection activeCell="A2" sqref="A2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6">
      <c r="A1" t="s">
        <v>40282</v>
      </c>
      <c r="B1" t="s">
        <v>40283</v>
      </c>
      <c r="C1" t="s">
        <v>40284</v>
      </c>
      <c r="D1" t="s">
        <v>40285</v>
      </c>
      <c r="E1" t="s">
        <v>40286</v>
      </c>
      <c r="F1" t="s">
        <v>40287</v>
      </c>
      <c r="G1" t="s">
        <v>40288</v>
      </c>
      <c r="H1" t="s">
        <v>40289</v>
      </c>
      <c r="I1" t="s">
        <v>40290</v>
      </c>
      <c r="J1" t="s">
        <v>40291</v>
      </c>
      <c r="K1" t="s">
        <v>40292</v>
      </c>
      <c r="M1" s="3">
        <v>2048</v>
      </c>
      <c r="N1" s="3">
        <f>INDEX(MARKET_INPUT[Column1.price],MATCH(M1,MARKET_INPUT[Column1.type_id]))</f>
        <v>438900</v>
      </c>
      <c r="O1" s="3" t="s">
        <v>924</v>
      </c>
      <c r="P1" s="3"/>
    </row>
    <row r="2" spans="1:16">
      <c r="A2">
        <v>90</v>
      </c>
      <c r="B2" t="b">
        <v>0</v>
      </c>
      <c r="C2" t="s">
        <v>41734</v>
      </c>
      <c r="D2">
        <v>1037022454355</v>
      </c>
      <c r="E2">
        <v>1</v>
      </c>
      <c r="F2">
        <v>6124602546</v>
      </c>
      <c r="G2">
        <v>1500</v>
      </c>
      <c r="H2" t="s">
        <v>40293</v>
      </c>
      <c r="I2">
        <v>22</v>
      </c>
      <c r="J2">
        <v>749</v>
      </c>
      <c r="K2">
        <v>750</v>
      </c>
    </row>
    <row r="3" spans="1:16">
      <c r="A3">
        <v>90</v>
      </c>
      <c r="B3" t="b">
        <v>0</v>
      </c>
      <c r="C3" t="s">
        <v>43406</v>
      </c>
      <c r="D3">
        <v>1037022454355</v>
      </c>
      <c r="E3">
        <v>1</v>
      </c>
      <c r="F3">
        <v>6142998881</v>
      </c>
      <c r="G3">
        <v>1500</v>
      </c>
      <c r="H3" t="s">
        <v>40293</v>
      </c>
      <c r="I3">
        <v>22</v>
      </c>
      <c r="J3">
        <v>268</v>
      </c>
      <c r="K3">
        <v>268</v>
      </c>
    </row>
    <row r="4" spans="1:16">
      <c r="A4">
        <v>90</v>
      </c>
      <c r="B4" t="b">
        <v>0</v>
      </c>
      <c r="C4" t="s">
        <v>41338</v>
      </c>
      <c r="D4">
        <v>1037022454355</v>
      </c>
      <c r="E4">
        <v>1</v>
      </c>
      <c r="F4">
        <v>6076716899</v>
      </c>
      <c r="G4">
        <v>7.93</v>
      </c>
      <c r="H4" t="s">
        <v>40293</v>
      </c>
      <c r="I4">
        <v>34</v>
      </c>
      <c r="J4">
        <v>387185829</v>
      </c>
      <c r="K4">
        <v>680355067</v>
      </c>
    </row>
    <row r="5" spans="1:16">
      <c r="A5">
        <v>90</v>
      </c>
      <c r="B5" t="b">
        <v>0</v>
      </c>
      <c r="C5" t="s">
        <v>42221</v>
      </c>
      <c r="D5">
        <v>1037022454355</v>
      </c>
      <c r="E5">
        <v>1</v>
      </c>
      <c r="F5">
        <v>6130433184</v>
      </c>
      <c r="G5">
        <v>7.22</v>
      </c>
      <c r="H5" t="s">
        <v>40293</v>
      </c>
      <c r="I5">
        <v>34</v>
      </c>
      <c r="J5">
        <v>72946824</v>
      </c>
      <c r="K5">
        <v>73896824</v>
      </c>
    </row>
    <row r="6" spans="1:16">
      <c r="A6">
        <v>90</v>
      </c>
      <c r="B6" t="b">
        <v>0</v>
      </c>
      <c r="C6" t="s">
        <v>42617</v>
      </c>
      <c r="D6">
        <v>1037022454355</v>
      </c>
      <c r="E6">
        <v>1</v>
      </c>
      <c r="F6">
        <v>6132763747</v>
      </c>
      <c r="G6">
        <v>6.49</v>
      </c>
      <c r="H6" t="s">
        <v>40293</v>
      </c>
      <c r="I6">
        <v>34</v>
      </c>
      <c r="J6">
        <v>44972082</v>
      </c>
      <c r="K6">
        <v>111875831</v>
      </c>
    </row>
    <row r="7" spans="1:16">
      <c r="A7">
        <v>30</v>
      </c>
      <c r="B7" t="b">
        <v>0</v>
      </c>
      <c r="C7" t="s">
        <v>43661</v>
      </c>
      <c r="D7">
        <v>1037022454355</v>
      </c>
      <c r="E7">
        <v>1</v>
      </c>
      <c r="F7">
        <v>6139427259</v>
      </c>
      <c r="G7">
        <v>5.45</v>
      </c>
      <c r="H7" t="s">
        <v>40293</v>
      </c>
      <c r="I7">
        <v>34</v>
      </c>
      <c r="J7">
        <v>5550098</v>
      </c>
      <c r="K7">
        <v>16558500</v>
      </c>
    </row>
    <row r="8" spans="1:16">
      <c r="A8">
        <v>90</v>
      </c>
      <c r="B8" t="b">
        <v>0</v>
      </c>
      <c r="C8" t="s">
        <v>45273</v>
      </c>
      <c r="D8">
        <v>1037022454355</v>
      </c>
      <c r="E8">
        <v>1</v>
      </c>
      <c r="F8">
        <v>6151651449</v>
      </c>
      <c r="G8">
        <v>5</v>
      </c>
      <c r="H8" t="s">
        <v>40293</v>
      </c>
      <c r="I8">
        <v>34</v>
      </c>
      <c r="J8">
        <v>66633156</v>
      </c>
      <c r="K8">
        <v>122098254</v>
      </c>
    </row>
    <row r="9" spans="1:16">
      <c r="A9">
        <v>90</v>
      </c>
      <c r="B9" t="b">
        <v>0</v>
      </c>
      <c r="C9" t="s">
        <v>44799</v>
      </c>
      <c r="D9">
        <v>1037022454355</v>
      </c>
      <c r="E9">
        <v>1</v>
      </c>
      <c r="F9">
        <v>6155478954</v>
      </c>
      <c r="G9">
        <v>4.9000000000000004</v>
      </c>
      <c r="H9" t="s">
        <v>40293</v>
      </c>
      <c r="I9">
        <v>34</v>
      </c>
      <c r="J9">
        <v>5198468</v>
      </c>
      <c r="K9">
        <v>5198468</v>
      </c>
    </row>
    <row r="10" spans="1:16">
      <c r="A10">
        <v>90</v>
      </c>
      <c r="B10" t="b">
        <v>0</v>
      </c>
      <c r="C10" t="s">
        <v>44799</v>
      </c>
      <c r="D10">
        <v>1037022454355</v>
      </c>
      <c r="E10">
        <v>1</v>
      </c>
      <c r="F10">
        <v>6155478953</v>
      </c>
      <c r="G10">
        <v>4.8</v>
      </c>
      <c r="H10" t="s">
        <v>40293</v>
      </c>
      <c r="I10">
        <v>34</v>
      </c>
      <c r="J10">
        <v>5048678</v>
      </c>
      <c r="K10">
        <v>5048678</v>
      </c>
    </row>
    <row r="11" spans="1:16">
      <c r="A11">
        <v>90</v>
      </c>
      <c r="B11" t="b">
        <v>0</v>
      </c>
      <c r="C11" t="s">
        <v>45301</v>
      </c>
      <c r="D11">
        <v>1037022454355</v>
      </c>
      <c r="E11">
        <v>1</v>
      </c>
      <c r="F11">
        <v>6157099093</v>
      </c>
      <c r="G11">
        <v>4.7</v>
      </c>
      <c r="H11" t="s">
        <v>40293</v>
      </c>
      <c r="I11">
        <v>34</v>
      </c>
      <c r="J11">
        <v>96033885</v>
      </c>
      <c r="K11">
        <v>103465518</v>
      </c>
    </row>
    <row r="12" spans="1:16">
      <c r="A12">
        <v>90</v>
      </c>
      <c r="B12" t="b">
        <v>0</v>
      </c>
      <c r="C12" t="s">
        <v>46021</v>
      </c>
      <c r="D12">
        <v>1037022454355</v>
      </c>
      <c r="E12">
        <v>1</v>
      </c>
      <c r="F12">
        <v>6157568637</v>
      </c>
      <c r="G12">
        <v>4.6900000000000004</v>
      </c>
      <c r="H12" t="s">
        <v>40293</v>
      </c>
      <c r="I12">
        <v>34</v>
      </c>
      <c r="J12">
        <v>625510</v>
      </c>
      <c r="K12">
        <v>625510</v>
      </c>
    </row>
    <row r="13" spans="1:16">
      <c r="A13">
        <v>90</v>
      </c>
      <c r="B13" t="b">
        <v>0</v>
      </c>
      <c r="C13" t="s">
        <v>45260</v>
      </c>
      <c r="D13">
        <v>1037022454355</v>
      </c>
      <c r="E13">
        <v>1</v>
      </c>
      <c r="F13">
        <v>6156992464</v>
      </c>
      <c r="G13">
        <v>30</v>
      </c>
      <c r="H13" t="s">
        <v>40293</v>
      </c>
      <c r="I13">
        <v>35</v>
      </c>
      <c r="J13">
        <v>3367732</v>
      </c>
      <c r="K13">
        <v>3367732</v>
      </c>
    </row>
    <row r="14" spans="1:16">
      <c r="A14">
        <v>90</v>
      </c>
      <c r="B14" t="b">
        <v>0</v>
      </c>
      <c r="C14" t="s">
        <v>46149</v>
      </c>
      <c r="D14">
        <v>1037022454355</v>
      </c>
      <c r="E14">
        <v>1</v>
      </c>
      <c r="F14">
        <v>6157232864</v>
      </c>
      <c r="G14">
        <v>21.02</v>
      </c>
      <c r="H14" t="s">
        <v>40293</v>
      </c>
      <c r="I14">
        <v>35</v>
      </c>
      <c r="J14">
        <v>1335517</v>
      </c>
      <c r="K14">
        <v>2085369</v>
      </c>
    </row>
    <row r="15" spans="1:16">
      <c r="A15">
        <v>90</v>
      </c>
      <c r="B15" t="b">
        <v>0</v>
      </c>
      <c r="C15" t="s">
        <v>46387</v>
      </c>
      <c r="D15">
        <v>1037022454355</v>
      </c>
      <c r="E15">
        <v>1</v>
      </c>
      <c r="F15">
        <v>6153861089</v>
      </c>
      <c r="G15">
        <v>158</v>
      </c>
      <c r="H15" t="s">
        <v>40293</v>
      </c>
      <c r="I15">
        <v>36</v>
      </c>
      <c r="J15">
        <v>65562533</v>
      </c>
      <c r="K15">
        <v>66016989</v>
      </c>
    </row>
    <row r="16" spans="1:16">
      <c r="A16">
        <v>90</v>
      </c>
      <c r="B16" t="b">
        <v>0</v>
      </c>
      <c r="C16" t="s">
        <v>46524</v>
      </c>
      <c r="D16">
        <v>1037022454355</v>
      </c>
      <c r="E16">
        <v>1</v>
      </c>
      <c r="F16">
        <v>6154780167</v>
      </c>
      <c r="G16">
        <v>157.9</v>
      </c>
      <c r="H16" t="s">
        <v>40293</v>
      </c>
      <c r="I16">
        <v>36</v>
      </c>
      <c r="J16">
        <v>3024878</v>
      </c>
      <c r="K16">
        <v>3024878</v>
      </c>
    </row>
    <row r="17" spans="1:11">
      <c r="A17">
        <v>90</v>
      </c>
      <c r="B17" t="b">
        <v>0</v>
      </c>
      <c r="C17" t="s">
        <v>45279</v>
      </c>
      <c r="D17">
        <v>1037022454355</v>
      </c>
      <c r="E17">
        <v>1</v>
      </c>
      <c r="F17">
        <v>6153846998</v>
      </c>
      <c r="G17">
        <v>157.80000000000001</v>
      </c>
      <c r="H17" t="s">
        <v>40293</v>
      </c>
      <c r="I17">
        <v>36</v>
      </c>
      <c r="J17">
        <v>880429</v>
      </c>
      <c r="K17">
        <v>1635860</v>
      </c>
    </row>
    <row r="18" spans="1:11">
      <c r="A18">
        <v>3</v>
      </c>
      <c r="B18" t="b">
        <v>0</v>
      </c>
      <c r="C18" t="s">
        <v>45948</v>
      </c>
      <c r="D18">
        <v>1037022454355</v>
      </c>
      <c r="E18">
        <v>1</v>
      </c>
      <c r="F18">
        <v>6156279708</v>
      </c>
      <c r="G18">
        <v>140</v>
      </c>
      <c r="H18" t="s">
        <v>40293</v>
      </c>
      <c r="I18">
        <v>36</v>
      </c>
      <c r="J18">
        <v>3000000</v>
      </c>
      <c r="K18">
        <v>3000000</v>
      </c>
    </row>
    <row r="19" spans="1:11">
      <c r="A19">
        <v>90</v>
      </c>
      <c r="B19" t="b">
        <v>0</v>
      </c>
      <c r="C19" t="s">
        <v>44614</v>
      </c>
      <c r="D19">
        <v>1037022454355</v>
      </c>
      <c r="E19">
        <v>1</v>
      </c>
      <c r="F19">
        <v>6156787595</v>
      </c>
      <c r="G19">
        <v>130</v>
      </c>
      <c r="H19" t="s">
        <v>40293</v>
      </c>
      <c r="I19">
        <v>36</v>
      </c>
      <c r="J19">
        <v>659251</v>
      </c>
      <c r="K19">
        <v>689980</v>
      </c>
    </row>
    <row r="20" spans="1:11">
      <c r="A20">
        <v>90</v>
      </c>
      <c r="B20" t="b">
        <v>0</v>
      </c>
      <c r="C20" t="s">
        <v>46014</v>
      </c>
      <c r="D20">
        <v>1037022454355</v>
      </c>
      <c r="E20">
        <v>1</v>
      </c>
      <c r="F20">
        <v>6156640980</v>
      </c>
      <c r="G20">
        <v>129.9</v>
      </c>
      <c r="H20" t="s">
        <v>40293</v>
      </c>
      <c r="I20">
        <v>36</v>
      </c>
      <c r="J20">
        <v>587467</v>
      </c>
      <c r="K20">
        <v>993375</v>
      </c>
    </row>
    <row r="21" spans="1:11">
      <c r="A21">
        <v>90</v>
      </c>
      <c r="B21" t="b">
        <v>0</v>
      </c>
      <c r="C21" t="s">
        <v>45821</v>
      </c>
      <c r="D21">
        <v>1037022454355</v>
      </c>
      <c r="E21">
        <v>1</v>
      </c>
      <c r="F21">
        <v>6157100133</v>
      </c>
      <c r="G21">
        <v>129.80000000000001</v>
      </c>
      <c r="H21" t="s">
        <v>40293</v>
      </c>
      <c r="I21">
        <v>36</v>
      </c>
      <c r="J21">
        <v>57892</v>
      </c>
      <c r="K21">
        <v>57892</v>
      </c>
    </row>
    <row r="22" spans="1:11">
      <c r="A22">
        <v>90</v>
      </c>
      <c r="B22" t="b">
        <v>0</v>
      </c>
      <c r="C22" t="s">
        <v>46121</v>
      </c>
      <c r="D22">
        <v>1037022454355</v>
      </c>
      <c r="E22">
        <v>1</v>
      </c>
      <c r="F22">
        <v>6157232436</v>
      </c>
      <c r="G22">
        <v>89.07</v>
      </c>
      <c r="H22" t="s">
        <v>40293</v>
      </c>
      <c r="I22">
        <v>36</v>
      </c>
      <c r="J22">
        <v>197063</v>
      </c>
      <c r="K22">
        <v>345638</v>
      </c>
    </row>
    <row r="23" spans="1:11">
      <c r="A23">
        <v>90</v>
      </c>
      <c r="B23" t="b">
        <v>0</v>
      </c>
      <c r="C23" t="s">
        <v>46246</v>
      </c>
      <c r="D23">
        <v>1037022454355</v>
      </c>
      <c r="E23">
        <v>1</v>
      </c>
      <c r="F23">
        <v>6157505205</v>
      </c>
      <c r="G23">
        <v>89</v>
      </c>
      <c r="H23" t="s">
        <v>40293</v>
      </c>
      <c r="I23">
        <v>36</v>
      </c>
      <c r="J23">
        <v>7513</v>
      </c>
      <c r="K23">
        <v>7513</v>
      </c>
    </row>
    <row r="24" spans="1:11">
      <c r="A24">
        <v>90</v>
      </c>
      <c r="B24" t="b">
        <v>0</v>
      </c>
      <c r="C24" t="s">
        <v>43685</v>
      </c>
      <c r="D24">
        <v>1037022454355</v>
      </c>
      <c r="E24">
        <v>1</v>
      </c>
      <c r="F24">
        <v>6137503208</v>
      </c>
      <c r="G24">
        <v>197.6</v>
      </c>
      <c r="H24" t="s">
        <v>40293</v>
      </c>
      <c r="I24">
        <v>37</v>
      </c>
      <c r="J24">
        <v>4262976</v>
      </c>
      <c r="K24">
        <v>5000000</v>
      </c>
    </row>
    <row r="25" spans="1:11">
      <c r="A25">
        <v>90</v>
      </c>
      <c r="B25" t="b">
        <v>0</v>
      </c>
      <c r="C25" t="s">
        <v>44136</v>
      </c>
      <c r="D25">
        <v>1037022454355</v>
      </c>
      <c r="E25">
        <v>1</v>
      </c>
      <c r="F25">
        <v>6150784257</v>
      </c>
      <c r="G25">
        <v>180</v>
      </c>
      <c r="H25" t="s">
        <v>40293</v>
      </c>
      <c r="I25">
        <v>37</v>
      </c>
      <c r="J25">
        <v>2099454</v>
      </c>
      <c r="K25">
        <v>3068604</v>
      </c>
    </row>
    <row r="26" spans="1:11">
      <c r="A26">
        <v>90</v>
      </c>
      <c r="B26" t="b">
        <v>0</v>
      </c>
      <c r="C26" t="s">
        <v>44295</v>
      </c>
      <c r="D26">
        <v>1037022454355</v>
      </c>
      <c r="E26">
        <v>1</v>
      </c>
      <c r="F26">
        <v>6153735699</v>
      </c>
      <c r="G26">
        <v>178.9</v>
      </c>
      <c r="H26" t="s">
        <v>40293</v>
      </c>
      <c r="I26">
        <v>37</v>
      </c>
      <c r="J26">
        <v>250000</v>
      </c>
      <c r="K26">
        <v>500000</v>
      </c>
    </row>
    <row r="27" spans="1:11">
      <c r="A27">
        <v>7</v>
      </c>
      <c r="B27" t="b">
        <v>0</v>
      </c>
      <c r="C27" t="s">
        <v>44783</v>
      </c>
      <c r="D27">
        <v>1037022454355</v>
      </c>
      <c r="E27">
        <v>1</v>
      </c>
      <c r="F27">
        <v>6154200827</v>
      </c>
      <c r="G27">
        <v>169.9</v>
      </c>
      <c r="H27" t="s">
        <v>40293</v>
      </c>
      <c r="I27">
        <v>37</v>
      </c>
      <c r="J27">
        <v>1456172</v>
      </c>
      <c r="K27">
        <v>1615073</v>
      </c>
    </row>
    <row r="28" spans="1:11">
      <c r="A28">
        <v>90</v>
      </c>
      <c r="B28" t="b">
        <v>0</v>
      </c>
      <c r="C28" t="s">
        <v>46388</v>
      </c>
      <c r="D28">
        <v>1037022454355</v>
      </c>
      <c r="E28">
        <v>1</v>
      </c>
      <c r="F28">
        <v>6153861088</v>
      </c>
      <c r="G28">
        <v>169.7</v>
      </c>
      <c r="H28" t="s">
        <v>40293</v>
      </c>
      <c r="I28">
        <v>37</v>
      </c>
      <c r="J28">
        <v>55712606</v>
      </c>
      <c r="K28">
        <v>57322525</v>
      </c>
    </row>
    <row r="29" spans="1:11">
      <c r="A29">
        <v>90</v>
      </c>
      <c r="B29" t="b">
        <v>0</v>
      </c>
      <c r="C29" t="s">
        <v>44289</v>
      </c>
      <c r="D29">
        <v>1037022454355</v>
      </c>
      <c r="E29">
        <v>1</v>
      </c>
      <c r="F29">
        <v>6144429475</v>
      </c>
      <c r="G29">
        <v>169.3</v>
      </c>
      <c r="H29" t="s">
        <v>40293</v>
      </c>
      <c r="I29">
        <v>37</v>
      </c>
      <c r="J29">
        <v>4500370</v>
      </c>
      <c r="K29">
        <v>6000000</v>
      </c>
    </row>
    <row r="30" spans="1:11">
      <c r="A30">
        <v>90</v>
      </c>
      <c r="B30" t="b">
        <v>0</v>
      </c>
      <c r="C30" t="s">
        <v>45219</v>
      </c>
      <c r="D30">
        <v>1037022454355</v>
      </c>
      <c r="E30">
        <v>1</v>
      </c>
      <c r="F30">
        <v>6157000586</v>
      </c>
      <c r="G30">
        <v>169.2</v>
      </c>
      <c r="H30" t="s">
        <v>40293</v>
      </c>
      <c r="I30">
        <v>37</v>
      </c>
      <c r="J30">
        <v>192760</v>
      </c>
      <c r="K30">
        <v>192760</v>
      </c>
    </row>
    <row r="31" spans="1:11">
      <c r="A31">
        <v>90</v>
      </c>
      <c r="B31" t="b">
        <v>0</v>
      </c>
      <c r="C31" t="s">
        <v>46387</v>
      </c>
      <c r="D31">
        <v>1037022454355</v>
      </c>
      <c r="E31">
        <v>1</v>
      </c>
      <c r="F31">
        <v>6153861087</v>
      </c>
      <c r="G31">
        <v>1158</v>
      </c>
      <c r="H31" t="s">
        <v>40293</v>
      </c>
      <c r="I31">
        <v>38</v>
      </c>
      <c r="J31">
        <v>15457382</v>
      </c>
      <c r="K31">
        <v>15617682</v>
      </c>
    </row>
    <row r="32" spans="1:11">
      <c r="A32">
        <v>90</v>
      </c>
      <c r="B32" t="b">
        <v>0</v>
      </c>
      <c r="C32" t="s">
        <v>45401</v>
      </c>
      <c r="D32">
        <v>1037022454355</v>
      </c>
      <c r="E32">
        <v>1</v>
      </c>
      <c r="F32">
        <v>6088115897</v>
      </c>
      <c r="G32">
        <v>1150</v>
      </c>
      <c r="H32" t="s">
        <v>40293</v>
      </c>
      <c r="I32">
        <v>38</v>
      </c>
      <c r="J32">
        <v>4945010</v>
      </c>
      <c r="K32">
        <v>20000000</v>
      </c>
    </row>
    <row r="33" spans="1:11">
      <c r="A33">
        <v>3</v>
      </c>
      <c r="B33" t="b">
        <v>0</v>
      </c>
      <c r="C33" t="s">
        <v>45992</v>
      </c>
      <c r="D33">
        <v>1037022454355</v>
      </c>
      <c r="E33">
        <v>1</v>
      </c>
      <c r="F33">
        <v>6156280269</v>
      </c>
      <c r="G33">
        <v>1100</v>
      </c>
      <c r="H33" t="s">
        <v>40293</v>
      </c>
      <c r="I33">
        <v>38</v>
      </c>
      <c r="J33">
        <v>2848526</v>
      </c>
      <c r="K33">
        <v>3648371</v>
      </c>
    </row>
    <row r="34" spans="1:11">
      <c r="A34">
        <v>90</v>
      </c>
      <c r="B34" t="b">
        <v>0</v>
      </c>
      <c r="C34" t="s">
        <v>44269</v>
      </c>
      <c r="D34">
        <v>1037022454355</v>
      </c>
      <c r="E34">
        <v>1</v>
      </c>
      <c r="F34">
        <v>6157569062</v>
      </c>
      <c r="G34">
        <v>1099</v>
      </c>
      <c r="H34" t="s">
        <v>40293</v>
      </c>
      <c r="I34">
        <v>38</v>
      </c>
      <c r="J34">
        <v>95195</v>
      </c>
      <c r="K34">
        <v>95195</v>
      </c>
    </row>
    <row r="35" spans="1:11">
      <c r="A35">
        <v>90</v>
      </c>
      <c r="B35" t="b">
        <v>0</v>
      </c>
      <c r="C35" t="s">
        <v>46436</v>
      </c>
      <c r="D35">
        <v>1037022454355</v>
      </c>
      <c r="E35">
        <v>1</v>
      </c>
      <c r="F35">
        <v>6154779279</v>
      </c>
      <c r="G35">
        <v>1997</v>
      </c>
      <c r="H35" t="s">
        <v>40293</v>
      </c>
      <c r="I35">
        <v>39</v>
      </c>
      <c r="J35">
        <v>40165</v>
      </c>
      <c r="K35">
        <v>44116</v>
      </c>
    </row>
    <row r="36" spans="1:11">
      <c r="A36">
        <v>3</v>
      </c>
      <c r="B36" t="b">
        <v>0</v>
      </c>
      <c r="C36" t="s">
        <v>46046</v>
      </c>
      <c r="D36">
        <v>1037022454355</v>
      </c>
      <c r="E36">
        <v>1</v>
      </c>
      <c r="F36">
        <v>6156281041</v>
      </c>
      <c r="G36">
        <v>1400</v>
      </c>
      <c r="H36" t="s">
        <v>40293</v>
      </c>
      <c r="I36">
        <v>39</v>
      </c>
      <c r="J36">
        <v>795974</v>
      </c>
      <c r="K36">
        <v>814133</v>
      </c>
    </row>
    <row r="37" spans="1:11">
      <c r="A37">
        <v>90</v>
      </c>
      <c r="B37" t="b">
        <v>0</v>
      </c>
      <c r="C37" t="s">
        <v>45980</v>
      </c>
      <c r="D37">
        <v>1037022454355</v>
      </c>
      <c r="E37">
        <v>1</v>
      </c>
      <c r="F37">
        <v>6157001006</v>
      </c>
      <c r="G37">
        <v>1399</v>
      </c>
      <c r="H37" t="s">
        <v>40293</v>
      </c>
      <c r="I37">
        <v>39</v>
      </c>
      <c r="J37">
        <v>15053</v>
      </c>
      <c r="K37">
        <v>15053</v>
      </c>
    </row>
    <row r="38" spans="1:11">
      <c r="A38">
        <v>90</v>
      </c>
      <c r="B38" t="b">
        <v>0</v>
      </c>
      <c r="C38" t="s">
        <v>44242</v>
      </c>
      <c r="D38">
        <v>1037022454355</v>
      </c>
      <c r="E38">
        <v>1</v>
      </c>
      <c r="F38">
        <v>6145837768</v>
      </c>
      <c r="G38">
        <v>1398</v>
      </c>
      <c r="H38" t="s">
        <v>40293</v>
      </c>
      <c r="I38">
        <v>39</v>
      </c>
      <c r="J38">
        <v>55988</v>
      </c>
      <c r="K38">
        <v>90000</v>
      </c>
    </row>
    <row r="39" spans="1:11">
      <c r="A39">
        <v>90</v>
      </c>
      <c r="B39" t="b">
        <v>0</v>
      </c>
      <c r="C39" t="s">
        <v>44280</v>
      </c>
      <c r="D39">
        <v>1037022454355</v>
      </c>
      <c r="E39">
        <v>1</v>
      </c>
      <c r="F39">
        <v>6155996419</v>
      </c>
      <c r="G39">
        <v>1397</v>
      </c>
      <c r="H39" t="s">
        <v>40293</v>
      </c>
      <c r="I39">
        <v>39</v>
      </c>
      <c r="J39">
        <v>398</v>
      </c>
      <c r="K39">
        <v>1586</v>
      </c>
    </row>
    <row r="40" spans="1:11">
      <c r="A40">
        <v>90</v>
      </c>
      <c r="B40" t="b">
        <v>0</v>
      </c>
      <c r="C40" t="s">
        <v>46037</v>
      </c>
      <c r="D40">
        <v>1037022454355</v>
      </c>
      <c r="E40">
        <v>1</v>
      </c>
      <c r="F40">
        <v>6157100075</v>
      </c>
      <c r="G40">
        <v>800</v>
      </c>
      <c r="H40" t="s">
        <v>40293</v>
      </c>
      <c r="I40">
        <v>40</v>
      </c>
      <c r="J40">
        <v>5789</v>
      </c>
      <c r="K40">
        <v>5789</v>
      </c>
    </row>
    <row r="41" spans="1:11">
      <c r="A41">
        <v>90</v>
      </c>
      <c r="B41" t="b">
        <v>0</v>
      </c>
      <c r="C41" t="s">
        <v>46074</v>
      </c>
      <c r="D41">
        <v>1037022454355</v>
      </c>
      <c r="E41">
        <v>1</v>
      </c>
      <c r="F41">
        <v>6156641878</v>
      </c>
      <c r="G41">
        <v>800</v>
      </c>
      <c r="H41" t="s">
        <v>40293</v>
      </c>
      <c r="I41">
        <v>40</v>
      </c>
      <c r="J41">
        <v>7345</v>
      </c>
      <c r="K41">
        <v>8933</v>
      </c>
    </row>
    <row r="42" spans="1:11">
      <c r="A42">
        <v>90</v>
      </c>
      <c r="B42" t="b">
        <v>0</v>
      </c>
      <c r="C42" t="s">
        <v>44546</v>
      </c>
      <c r="D42">
        <v>1037022454355</v>
      </c>
      <c r="E42">
        <v>1</v>
      </c>
      <c r="F42">
        <v>6157376512</v>
      </c>
      <c r="G42">
        <v>25000</v>
      </c>
      <c r="H42" t="s">
        <v>40293</v>
      </c>
      <c r="I42">
        <v>44</v>
      </c>
      <c r="J42">
        <v>735</v>
      </c>
      <c r="K42">
        <v>735</v>
      </c>
    </row>
    <row r="43" spans="1:11">
      <c r="A43">
        <v>90</v>
      </c>
      <c r="B43" t="b">
        <v>0</v>
      </c>
      <c r="C43" t="s">
        <v>43650</v>
      </c>
      <c r="D43">
        <v>1037022454355</v>
      </c>
      <c r="E43">
        <v>1</v>
      </c>
      <c r="F43">
        <v>6140090452</v>
      </c>
      <c r="G43">
        <v>30</v>
      </c>
      <c r="H43" t="s">
        <v>40293</v>
      </c>
      <c r="I43">
        <v>185</v>
      </c>
      <c r="J43">
        <v>464</v>
      </c>
      <c r="K43">
        <v>50000</v>
      </c>
    </row>
    <row r="44" spans="1:11">
      <c r="A44">
        <v>90</v>
      </c>
      <c r="B44" t="b">
        <v>0</v>
      </c>
      <c r="C44" t="s">
        <v>41305</v>
      </c>
      <c r="D44">
        <v>1037022454355</v>
      </c>
      <c r="E44">
        <v>1</v>
      </c>
      <c r="F44">
        <v>6077338993</v>
      </c>
      <c r="G44">
        <v>70.98</v>
      </c>
      <c r="H44" t="s">
        <v>40293</v>
      </c>
      <c r="I44">
        <v>186</v>
      </c>
      <c r="J44">
        <v>30460</v>
      </c>
      <c r="K44">
        <v>155000</v>
      </c>
    </row>
    <row r="45" spans="1:11">
      <c r="A45">
        <v>90</v>
      </c>
      <c r="B45" t="b">
        <v>0</v>
      </c>
      <c r="C45" t="s">
        <v>41289</v>
      </c>
      <c r="D45">
        <v>1037022454355</v>
      </c>
      <c r="E45">
        <v>1</v>
      </c>
      <c r="F45">
        <v>6077338733</v>
      </c>
      <c r="G45">
        <v>250</v>
      </c>
      <c r="H45" t="s">
        <v>40293</v>
      </c>
      <c r="I45">
        <v>187</v>
      </c>
      <c r="J45">
        <v>103921</v>
      </c>
      <c r="K45">
        <v>125000</v>
      </c>
    </row>
    <row r="46" spans="1:11">
      <c r="A46">
        <v>90</v>
      </c>
      <c r="B46" t="b">
        <v>0</v>
      </c>
      <c r="C46" t="s">
        <v>41286</v>
      </c>
      <c r="D46">
        <v>1037022454355</v>
      </c>
      <c r="E46">
        <v>1</v>
      </c>
      <c r="F46">
        <v>6077338702</v>
      </c>
      <c r="G46">
        <v>250</v>
      </c>
      <c r="H46" t="s">
        <v>40293</v>
      </c>
      <c r="I46">
        <v>188</v>
      </c>
      <c r="J46">
        <v>106000</v>
      </c>
      <c r="K46">
        <v>125000</v>
      </c>
    </row>
    <row r="47" spans="1:11">
      <c r="A47">
        <v>90</v>
      </c>
      <c r="B47" t="b">
        <v>0</v>
      </c>
      <c r="C47" t="s">
        <v>42686</v>
      </c>
      <c r="D47">
        <v>1037022454355</v>
      </c>
      <c r="E47">
        <v>1</v>
      </c>
      <c r="F47">
        <v>6132095471</v>
      </c>
      <c r="G47">
        <v>249</v>
      </c>
      <c r="H47" t="s">
        <v>40293</v>
      </c>
      <c r="I47">
        <v>188</v>
      </c>
      <c r="J47">
        <v>1120</v>
      </c>
      <c r="K47">
        <v>2120</v>
      </c>
    </row>
    <row r="48" spans="1:11">
      <c r="A48">
        <v>90</v>
      </c>
      <c r="B48" t="b">
        <v>0</v>
      </c>
      <c r="C48" t="s">
        <v>41303</v>
      </c>
      <c r="D48">
        <v>1037022454355</v>
      </c>
      <c r="E48">
        <v>1</v>
      </c>
      <c r="F48">
        <v>6077338958</v>
      </c>
      <c r="G48">
        <v>197.7</v>
      </c>
      <c r="H48" t="s">
        <v>40293</v>
      </c>
      <c r="I48">
        <v>189</v>
      </c>
      <c r="J48">
        <v>79080</v>
      </c>
      <c r="K48">
        <v>130000</v>
      </c>
    </row>
    <row r="49" spans="1:11">
      <c r="A49">
        <v>90</v>
      </c>
      <c r="B49" t="b">
        <v>0</v>
      </c>
      <c r="C49" t="s">
        <v>41282</v>
      </c>
      <c r="D49">
        <v>1037022454355</v>
      </c>
      <c r="E49">
        <v>1</v>
      </c>
      <c r="F49">
        <v>6077338656</v>
      </c>
      <c r="G49">
        <v>239</v>
      </c>
      <c r="H49" t="s">
        <v>40293</v>
      </c>
      <c r="I49">
        <v>190</v>
      </c>
      <c r="J49">
        <v>92300</v>
      </c>
      <c r="K49">
        <v>124800</v>
      </c>
    </row>
    <row r="50" spans="1:11">
      <c r="A50">
        <v>90</v>
      </c>
      <c r="B50" t="b">
        <v>0</v>
      </c>
      <c r="C50" t="s">
        <v>41296</v>
      </c>
      <c r="D50">
        <v>1037022454355</v>
      </c>
      <c r="E50">
        <v>1</v>
      </c>
      <c r="F50">
        <v>6077338865</v>
      </c>
      <c r="G50">
        <v>250</v>
      </c>
      <c r="H50" t="s">
        <v>40293</v>
      </c>
      <c r="I50">
        <v>191</v>
      </c>
      <c r="J50">
        <v>9780</v>
      </c>
      <c r="K50">
        <v>125000</v>
      </c>
    </row>
    <row r="51" spans="1:11">
      <c r="A51">
        <v>90</v>
      </c>
      <c r="B51" t="b">
        <v>0</v>
      </c>
      <c r="C51" t="s">
        <v>45104</v>
      </c>
      <c r="D51">
        <v>1037022454355</v>
      </c>
      <c r="E51">
        <v>1</v>
      </c>
      <c r="F51">
        <v>6152599242</v>
      </c>
      <c r="G51">
        <v>240</v>
      </c>
      <c r="H51" t="s">
        <v>40293</v>
      </c>
      <c r="I51">
        <v>191</v>
      </c>
      <c r="J51">
        <v>200000</v>
      </c>
      <c r="K51">
        <v>200000</v>
      </c>
    </row>
    <row r="52" spans="1:11">
      <c r="A52">
        <v>90</v>
      </c>
      <c r="B52" t="b">
        <v>0</v>
      </c>
      <c r="C52" t="s">
        <v>44937</v>
      </c>
      <c r="D52">
        <v>1037022454355</v>
      </c>
      <c r="E52">
        <v>1</v>
      </c>
      <c r="F52">
        <v>6151268006</v>
      </c>
      <c r="G52">
        <v>60</v>
      </c>
      <c r="H52" t="s">
        <v>40293</v>
      </c>
      <c r="I52">
        <v>192</v>
      </c>
      <c r="J52">
        <v>9516</v>
      </c>
      <c r="K52">
        <v>150000</v>
      </c>
    </row>
    <row r="53" spans="1:11">
      <c r="A53">
        <v>90</v>
      </c>
      <c r="B53" t="b">
        <v>0</v>
      </c>
      <c r="C53" t="s">
        <v>46428</v>
      </c>
      <c r="D53">
        <v>1037022454355</v>
      </c>
      <c r="E53">
        <v>1</v>
      </c>
      <c r="F53">
        <v>6154872651</v>
      </c>
      <c r="G53">
        <v>290</v>
      </c>
      <c r="H53" t="s">
        <v>40293</v>
      </c>
      <c r="I53">
        <v>193</v>
      </c>
      <c r="J53">
        <v>17000</v>
      </c>
      <c r="K53">
        <v>100000</v>
      </c>
    </row>
    <row r="54" spans="1:11">
      <c r="A54">
        <v>90</v>
      </c>
      <c r="B54" t="b">
        <v>0</v>
      </c>
      <c r="C54" t="s">
        <v>42756</v>
      </c>
      <c r="D54">
        <v>1037022454355</v>
      </c>
      <c r="E54">
        <v>1</v>
      </c>
      <c r="F54">
        <v>6069938170</v>
      </c>
      <c r="G54">
        <v>279</v>
      </c>
      <c r="H54" t="s">
        <v>40293</v>
      </c>
      <c r="I54">
        <v>196</v>
      </c>
      <c r="J54">
        <v>200</v>
      </c>
      <c r="K54">
        <v>200</v>
      </c>
    </row>
    <row r="55" spans="1:11">
      <c r="A55">
        <v>90</v>
      </c>
      <c r="B55" t="b">
        <v>0</v>
      </c>
      <c r="C55" t="s">
        <v>42440</v>
      </c>
      <c r="D55">
        <v>1037022454355</v>
      </c>
      <c r="E55">
        <v>1</v>
      </c>
      <c r="F55">
        <v>6132095690</v>
      </c>
      <c r="G55">
        <v>490</v>
      </c>
      <c r="H55" t="s">
        <v>40293</v>
      </c>
      <c r="I55">
        <v>201</v>
      </c>
      <c r="J55">
        <v>1288</v>
      </c>
      <c r="K55">
        <v>1288</v>
      </c>
    </row>
    <row r="56" spans="1:11">
      <c r="A56">
        <v>90</v>
      </c>
      <c r="B56" t="b">
        <v>0</v>
      </c>
      <c r="C56" t="s">
        <v>41969</v>
      </c>
      <c r="D56">
        <v>1037022454355</v>
      </c>
      <c r="E56">
        <v>1</v>
      </c>
      <c r="F56">
        <v>6115716824</v>
      </c>
      <c r="G56">
        <v>400</v>
      </c>
      <c r="H56" t="s">
        <v>40293</v>
      </c>
      <c r="I56">
        <v>201</v>
      </c>
      <c r="J56">
        <v>680497</v>
      </c>
      <c r="K56">
        <v>876578</v>
      </c>
    </row>
    <row r="57" spans="1:11">
      <c r="A57">
        <v>90</v>
      </c>
      <c r="B57" t="b">
        <v>0</v>
      </c>
      <c r="C57" t="s">
        <v>46111</v>
      </c>
      <c r="D57">
        <v>1037022454355</v>
      </c>
      <c r="E57">
        <v>1</v>
      </c>
      <c r="F57">
        <v>6154873038</v>
      </c>
      <c r="G57">
        <v>400</v>
      </c>
      <c r="H57" t="s">
        <v>40293</v>
      </c>
      <c r="I57">
        <v>202</v>
      </c>
      <c r="J57">
        <v>50000</v>
      </c>
      <c r="K57">
        <v>50000</v>
      </c>
    </row>
    <row r="58" spans="1:11">
      <c r="A58">
        <v>90</v>
      </c>
      <c r="B58" t="b">
        <v>0</v>
      </c>
      <c r="C58" t="s">
        <v>46414</v>
      </c>
      <c r="D58">
        <v>1037022454355</v>
      </c>
      <c r="E58">
        <v>1</v>
      </c>
      <c r="F58">
        <v>6152583547</v>
      </c>
      <c r="G58">
        <v>250</v>
      </c>
      <c r="H58" t="s">
        <v>40293</v>
      </c>
      <c r="I58">
        <v>202</v>
      </c>
      <c r="J58">
        <v>121</v>
      </c>
      <c r="K58">
        <v>121</v>
      </c>
    </row>
    <row r="59" spans="1:11">
      <c r="A59">
        <v>90</v>
      </c>
      <c r="B59" t="b">
        <v>0</v>
      </c>
      <c r="C59" t="s">
        <v>42384</v>
      </c>
      <c r="D59">
        <v>1037022454355</v>
      </c>
      <c r="E59">
        <v>1</v>
      </c>
      <c r="F59">
        <v>6068738451</v>
      </c>
      <c r="G59">
        <v>399.9</v>
      </c>
      <c r="H59" t="s">
        <v>40293</v>
      </c>
      <c r="I59">
        <v>203</v>
      </c>
      <c r="J59">
        <v>19338</v>
      </c>
      <c r="K59">
        <v>56000</v>
      </c>
    </row>
    <row r="60" spans="1:11">
      <c r="A60">
        <v>30</v>
      </c>
      <c r="B60" t="b">
        <v>0</v>
      </c>
      <c r="C60" t="s">
        <v>42377</v>
      </c>
      <c r="D60">
        <v>1037022454355</v>
      </c>
      <c r="E60">
        <v>1</v>
      </c>
      <c r="F60">
        <v>6137681756</v>
      </c>
      <c r="G60">
        <v>250</v>
      </c>
      <c r="H60" t="s">
        <v>40293</v>
      </c>
      <c r="I60">
        <v>204</v>
      </c>
      <c r="J60">
        <v>100616</v>
      </c>
      <c r="K60">
        <v>103616</v>
      </c>
    </row>
    <row r="61" spans="1:11">
      <c r="A61">
        <v>90</v>
      </c>
      <c r="B61" t="b">
        <v>0</v>
      </c>
      <c r="C61" t="s">
        <v>45624</v>
      </c>
      <c r="D61">
        <v>1037022454355</v>
      </c>
      <c r="E61">
        <v>1</v>
      </c>
      <c r="F61">
        <v>6154691288</v>
      </c>
      <c r="G61">
        <v>249.9</v>
      </c>
      <c r="H61" t="s">
        <v>40293</v>
      </c>
      <c r="I61">
        <v>204</v>
      </c>
      <c r="J61">
        <v>5771</v>
      </c>
      <c r="K61">
        <v>5771</v>
      </c>
    </row>
    <row r="62" spans="1:11">
      <c r="A62">
        <v>90</v>
      </c>
      <c r="B62" t="b">
        <v>0</v>
      </c>
      <c r="C62" t="s">
        <v>46435</v>
      </c>
      <c r="D62">
        <v>1037022454355</v>
      </c>
      <c r="E62">
        <v>1</v>
      </c>
      <c r="F62">
        <v>6152583809</v>
      </c>
      <c r="G62">
        <v>249.9</v>
      </c>
      <c r="H62" t="s">
        <v>40293</v>
      </c>
      <c r="I62">
        <v>204</v>
      </c>
      <c r="J62">
        <v>18</v>
      </c>
      <c r="K62">
        <v>18</v>
      </c>
    </row>
    <row r="63" spans="1:11">
      <c r="A63">
        <v>90</v>
      </c>
      <c r="B63" t="b">
        <v>0</v>
      </c>
      <c r="C63" t="s">
        <v>43275</v>
      </c>
      <c r="D63">
        <v>1037022454355</v>
      </c>
      <c r="E63">
        <v>1</v>
      </c>
      <c r="F63">
        <v>6143912940</v>
      </c>
      <c r="G63">
        <v>111</v>
      </c>
      <c r="H63" t="s">
        <v>40293</v>
      </c>
      <c r="I63">
        <v>205</v>
      </c>
      <c r="J63">
        <v>100</v>
      </c>
      <c r="K63">
        <v>100</v>
      </c>
    </row>
    <row r="64" spans="1:11">
      <c r="A64">
        <v>90</v>
      </c>
      <c r="B64" t="b">
        <v>0</v>
      </c>
      <c r="C64" t="s">
        <v>42294</v>
      </c>
      <c r="D64">
        <v>1037022454355</v>
      </c>
      <c r="E64">
        <v>1</v>
      </c>
      <c r="F64">
        <v>6135644681</v>
      </c>
      <c r="G64">
        <v>399.8</v>
      </c>
      <c r="H64" t="s">
        <v>40293</v>
      </c>
      <c r="I64">
        <v>207</v>
      </c>
      <c r="J64">
        <v>7122</v>
      </c>
      <c r="K64">
        <v>30000</v>
      </c>
    </row>
    <row r="65" spans="1:11">
      <c r="A65">
        <v>30</v>
      </c>
      <c r="B65" t="b">
        <v>0</v>
      </c>
      <c r="C65" t="s">
        <v>42911</v>
      </c>
      <c r="D65">
        <v>1037022454355</v>
      </c>
      <c r="E65">
        <v>1</v>
      </c>
      <c r="F65">
        <v>6139872069</v>
      </c>
      <c r="G65">
        <v>380</v>
      </c>
      <c r="H65" t="s">
        <v>40293</v>
      </c>
      <c r="I65">
        <v>207</v>
      </c>
      <c r="J65">
        <v>90000</v>
      </c>
      <c r="K65">
        <v>120000</v>
      </c>
    </row>
    <row r="66" spans="1:11">
      <c r="A66">
        <v>30</v>
      </c>
      <c r="B66" t="b">
        <v>0</v>
      </c>
      <c r="C66" t="s">
        <v>44617</v>
      </c>
      <c r="D66">
        <v>1037022454355</v>
      </c>
      <c r="E66">
        <v>1</v>
      </c>
      <c r="F66">
        <v>6150462104</v>
      </c>
      <c r="G66">
        <v>375</v>
      </c>
      <c r="H66" t="s">
        <v>40293</v>
      </c>
      <c r="I66">
        <v>207</v>
      </c>
      <c r="J66">
        <v>13466</v>
      </c>
      <c r="K66">
        <v>13466</v>
      </c>
    </row>
    <row r="67" spans="1:11">
      <c r="A67">
        <v>7</v>
      </c>
      <c r="B67" t="b">
        <v>0</v>
      </c>
      <c r="C67" t="s">
        <v>45408</v>
      </c>
      <c r="D67">
        <v>1037022454355</v>
      </c>
      <c r="E67">
        <v>1</v>
      </c>
      <c r="F67">
        <v>6152832773</v>
      </c>
      <c r="G67">
        <v>300</v>
      </c>
      <c r="H67" t="s">
        <v>40293</v>
      </c>
      <c r="I67">
        <v>207</v>
      </c>
      <c r="J67">
        <v>20000</v>
      </c>
      <c r="K67">
        <v>20000</v>
      </c>
    </row>
    <row r="68" spans="1:11">
      <c r="A68">
        <v>7</v>
      </c>
      <c r="B68" t="b">
        <v>0</v>
      </c>
      <c r="C68" t="s">
        <v>45431</v>
      </c>
      <c r="D68">
        <v>1037022454355</v>
      </c>
      <c r="E68">
        <v>1</v>
      </c>
      <c r="F68">
        <v>6152833057</v>
      </c>
      <c r="G68">
        <v>300</v>
      </c>
      <c r="H68" t="s">
        <v>40293</v>
      </c>
      <c r="I68">
        <v>207</v>
      </c>
      <c r="J68">
        <v>20000</v>
      </c>
      <c r="K68">
        <v>20000</v>
      </c>
    </row>
    <row r="69" spans="1:11">
      <c r="A69">
        <v>90</v>
      </c>
      <c r="B69" t="b">
        <v>0</v>
      </c>
      <c r="C69" t="s">
        <v>46345</v>
      </c>
      <c r="D69">
        <v>1037022454355</v>
      </c>
      <c r="E69">
        <v>1</v>
      </c>
      <c r="F69">
        <v>6147568889</v>
      </c>
      <c r="G69">
        <v>295</v>
      </c>
      <c r="H69" t="s">
        <v>40293</v>
      </c>
      <c r="I69">
        <v>207</v>
      </c>
      <c r="J69">
        <v>10025</v>
      </c>
      <c r="K69">
        <v>15000</v>
      </c>
    </row>
    <row r="70" spans="1:11">
      <c r="A70">
        <v>90</v>
      </c>
      <c r="B70" t="b">
        <v>0</v>
      </c>
      <c r="C70" t="s">
        <v>42161</v>
      </c>
      <c r="D70">
        <v>1037022454355</v>
      </c>
      <c r="E70">
        <v>1</v>
      </c>
      <c r="F70">
        <v>6130454972</v>
      </c>
      <c r="G70">
        <v>1200</v>
      </c>
      <c r="H70" t="s">
        <v>40293</v>
      </c>
      <c r="I70">
        <v>208</v>
      </c>
      <c r="J70">
        <v>1206</v>
      </c>
      <c r="K70">
        <v>1206</v>
      </c>
    </row>
    <row r="71" spans="1:11">
      <c r="A71">
        <v>90</v>
      </c>
      <c r="B71" t="b">
        <v>0</v>
      </c>
      <c r="C71" t="s">
        <v>44806</v>
      </c>
      <c r="D71">
        <v>1037022454355</v>
      </c>
      <c r="E71">
        <v>1</v>
      </c>
      <c r="F71">
        <v>6142470128</v>
      </c>
      <c r="G71">
        <v>49.59</v>
      </c>
      <c r="H71" t="s">
        <v>40293</v>
      </c>
      <c r="I71">
        <v>208</v>
      </c>
      <c r="J71">
        <v>100</v>
      </c>
      <c r="K71">
        <v>100</v>
      </c>
    </row>
    <row r="72" spans="1:11">
      <c r="A72">
        <v>90</v>
      </c>
      <c r="B72" t="b">
        <v>0</v>
      </c>
      <c r="C72" t="s">
        <v>40504</v>
      </c>
      <c r="D72">
        <v>1037022454355</v>
      </c>
      <c r="E72">
        <v>1</v>
      </c>
      <c r="F72">
        <v>6089380739</v>
      </c>
      <c r="G72">
        <v>250</v>
      </c>
      <c r="H72" t="s">
        <v>40293</v>
      </c>
      <c r="I72">
        <v>209</v>
      </c>
      <c r="J72">
        <v>6627</v>
      </c>
      <c r="K72">
        <v>6627</v>
      </c>
    </row>
    <row r="73" spans="1:11">
      <c r="A73">
        <v>90</v>
      </c>
      <c r="B73" t="b">
        <v>0</v>
      </c>
      <c r="C73" t="s">
        <v>42106</v>
      </c>
      <c r="D73">
        <v>1037022454355</v>
      </c>
      <c r="E73">
        <v>1</v>
      </c>
      <c r="F73">
        <v>6131462486</v>
      </c>
      <c r="G73">
        <v>240</v>
      </c>
      <c r="H73" t="s">
        <v>40293</v>
      </c>
      <c r="I73">
        <v>209</v>
      </c>
      <c r="J73">
        <v>30000</v>
      </c>
      <c r="K73">
        <v>30000</v>
      </c>
    </row>
    <row r="74" spans="1:11">
      <c r="A74">
        <v>90</v>
      </c>
      <c r="B74" t="b">
        <v>0</v>
      </c>
      <c r="C74" t="s">
        <v>42108</v>
      </c>
      <c r="D74">
        <v>1037022454355</v>
      </c>
      <c r="E74">
        <v>1</v>
      </c>
      <c r="F74">
        <v>6131462669</v>
      </c>
      <c r="G74">
        <v>230</v>
      </c>
      <c r="H74" t="s">
        <v>40293</v>
      </c>
      <c r="I74">
        <v>209</v>
      </c>
      <c r="J74">
        <v>14559</v>
      </c>
      <c r="K74">
        <v>20000</v>
      </c>
    </row>
    <row r="75" spans="1:11">
      <c r="A75">
        <v>90</v>
      </c>
      <c r="B75" t="b">
        <v>0</v>
      </c>
      <c r="C75" t="s">
        <v>45786</v>
      </c>
      <c r="D75">
        <v>1037022454355</v>
      </c>
      <c r="E75">
        <v>1</v>
      </c>
      <c r="F75">
        <v>6154246357</v>
      </c>
      <c r="G75">
        <v>229.8</v>
      </c>
      <c r="H75" t="s">
        <v>40293</v>
      </c>
      <c r="I75">
        <v>209</v>
      </c>
      <c r="J75">
        <v>10000</v>
      </c>
      <c r="K75">
        <v>10000</v>
      </c>
    </row>
    <row r="76" spans="1:11">
      <c r="A76">
        <v>90</v>
      </c>
      <c r="B76" t="b">
        <v>0</v>
      </c>
      <c r="C76" t="s">
        <v>44507</v>
      </c>
      <c r="D76">
        <v>1037022454355</v>
      </c>
      <c r="E76">
        <v>1</v>
      </c>
      <c r="F76">
        <v>6077061578</v>
      </c>
      <c r="G76">
        <v>229.7</v>
      </c>
      <c r="H76" t="s">
        <v>40293</v>
      </c>
      <c r="I76">
        <v>209</v>
      </c>
      <c r="J76">
        <v>26230</v>
      </c>
      <c r="K76">
        <v>100000</v>
      </c>
    </row>
    <row r="77" spans="1:11">
      <c r="A77">
        <v>90</v>
      </c>
      <c r="B77" t="b">
        <v>0</v>
      </c>
      <c r="C77" t="s">
        <v>42539</v>
      </c>
      <c r="D77">
        <v>1037022454355</v>
      </c>
      <c r="E77">
        <v>1</v>
      </c>
      <c r="F77">
        <v>6136871856</v>
      </c>
      <c r="G77">
        <v>20</v>
      </c>
      <c r="H77" t="s">
        <v>40293</v>
      </c>
      <c r="I77">
        <v>210</v>
      </c>
      <c r="J77">
        <v>156416</v>
      </c>
      <c r="K77">
        <v>200000</v>
      </c>
    </row>
    <row r="78" spans="1:11">
      <c r="A78">
        <v>90</v>
      </c>
      <c r="B78" t="b">
        <v>0</v>
      </c>
      <c r="C78" t="s">
        <v>45818</v>
      </c>
      <c r="D78">
        <v>1037022454355</v>
      </c>
      <c r="E78">
        <v>1</v>
      </c>
      <c r="F78">
        <v>6153550258</v>
      </c>
      <c r="G78">
        <v>10</v>
      </c>
      <c r="H78" t="s">
        <v>40293</v>
      </c>
      <c r="I78">
        <v>213</v>
      </c>
      <c r="J78">
        <v>800</v>
      </c>
      <c r="K78">
        <v>800</v>
      </c>
    </row>
    <row r="79" spans="1:11">
      <c r="A79">
        <v>90</v>
      </c>
      <c r="B79" t="b">
        <v>0</v>
      </c>
      <c r="C79" t="s">
        <v>40669</v>
      </c>
      <c r="D79">
        <v>1037022454355</v>
      </c>
      <c r="E79">
        <v>1</v>
      </c>
      <c r="F79">
        <v>6118731783</v>
      </c>
      <c r="G79">
        <v>30</v>
      </c>
      <c r="H79" t="s">
        <v>40293</v>
      </c>
      <c r="I79">
        <v>219</v>
      </c>
      <c r="J79">
        <v>100</v>
      </c>
      <c r="K79">
        <v>3960</v>
      </c>
    </row>
    <row r="80" spans="1:11">
      <c r="A80">
        <v>90</v>
      </c>
      <c r="B80" t="b">
        <v>0</v>
      </c>
      <c r="C80" t="s">
        <v>45073</v>
      </c>
      <c r="D80">
        <v>1037022454355</v>
      </c>
      <c r="E80">
        <v>1</v>
      </c>
      <c r="F80">
        <v>6153549128</v>
      </c>
      <c r="G80">
        <v>27</v>
      </c>
      <c r="H80" t="s">
        <v>40293</v>
      </c>
      <c r="I80">
        <v>219</v>
      </c>
      <c r="J80">
        <v>393</v>
      </c>
      <c r="K80">
        <v>493</v>
      </c>
    </row>
    <row r="81" spans="1:11">
      <c r="A81">
        <v>90</v>
      </c>
      <c r="B81" t="b">
        <v>0</v>
      </c>
      <c r="C81" t="s">
        <v>40550</v>
      </c>
      <c r="D81">
        <v>1037022454355</v>
      </c>
      <c r="E81">
        <v>1</v>
      </c>
      <c r="F81">
        <v>6100981629</v>
      </c>
      <c r="G81">
        <v>88.45</v>
      </c>
      <c r="H81" t="s">
        <v>40293</v>
      </c>
      <c r="I81">
        <v>222</v>
      </c>
      <c r="J81">
        <v>5292</v>
      </c>
      <c r="K81">
        <v>10000</v>
      </c>
    </row>
    <row r="82" spans="1:11">
      <c r="A82">
        <v>90</v>
      </c>
      <c r="B82" t="b">
        <v>0</v>
      </c>
      <c r="C82" t="s">
        <v>41216</v>
      </c>
      <c r="D82">
        <v>1037022454355</v>
      </c>
      <c r="E82">
        <v>1</v>
      </c>
      <c r="F82">
        <v>6118264847</v>
      </c>
      <c r="G82">
        <v>88.42</v>
      </c>
      <c r="H82" t="s">
        <v>40293</v>
      </c>
      <c r="I82">
        <v>222</v>
      </c>
      <c r="J82">
        <v>694</v>
      </c>
      <c r="K82">
        <v>2287</v>
      </c>
    </row>
    <row r="83" spans="1:11">
      <c r="A83">
        <v>90</v>
      </c>
      <c r="B83" t="b">
        <v>0</v>
      </c>
      <c r="C83" t="s">
        <v>41779</v>
      </c>
      <c r="D83">
        <v>1037022454355</v>
      </c>
      <c r="E83">
        <v>1</v>
      </c>
      <c r="F83">
        <v>6128992765</v>
      </c>
      <c r="G83">
        <v>87.9</v>
      </c>
      <c r="H83" t="s">
        <v>40293</v>
      </c>
      <c r="I83">
        <v>222</v>
      </c>
      <c r="J83">
        <v>10000</v>
      </c>
      <c r="K83">
        <v>10000</v>
      </c>
    </row>
    <row r="84" spans="1:11">
      <c r="A84">
        <v>90</v>
      </c>
      <c r="B84" t="b">
        <v>0</v>
      </c>
      <c r="C84" t="s">
        <v>42821</v>
      </c>
      <c r="D84">
        <v>1037022454355</v>
      </c>
      <c r="E84">
        <v>1</v>
      </c>
      <c r="F84">
        <v>6138000930</v>
      </c>
      <c r="G84">
        <v>87.5</v>
      </c>
      <c r="H84" t="s">
        <v>40293</v>
      </c>
      <c r="I84">
        <v>222</v>
      </c>
      <c r="J84">
        <v>1332</v>
      </c>
      <c r="K84">
        <v>1332</v>
      </c>
    </row>
    <row r="85" spans="1:11">
      <c r="A85">
        <v>30</v>
      </c>
      <c r="B85" t="b">
        <v>0</v>
      </c>
      <c r="C85" t="s">
        <v>43464</v>
      </c>
      <c r="D85">
        <v>1037022454355</v>
      </c>
      <c r="E85">
        <v>1</v>
      </c>
      <c r="F85">
        <v>6144736964</v>
      </c>
      <c r="G85">
        <v>84.99</v>
      </c>
      <c r="H85" t="s">
        <v>40293</v>
      </c>
      <c r="I85">
        <v>222</v>
      </c>
      <c r="J85">
        <v>2230</v>
      </c>
      <c r="K85">
        <v>2230</v>
      </c>
    </row>
    <row r="86" spans="1:11">
      <c r="A86">
        <v>90</v>
      </c>
      <c r="B86" t="b">
        <v>0</v>
      </c>
      <c r="C86" t="s">
        <v>45515</v>
      </c>
      <c r="D86">
        <v>1037022454355</v>
      </c>
      <c r="E86">
        <v>1</v>
      </c>
      <c r="F86">
        <v>6151064473</v>
      </c>
      <c r="G86">
        <v>84.98</v>
      </c>
      <c r="H86" t="s">
        <v>40293</v>
      </c>
      <c r="I86">
        <v>222</v>
      </c>
      <c r="J86">
        <v>20638</v>
      </c>
      <c r="K86">
        <v>20638</v>
      </c>
    </row>
    <row r="87" spans="1:11">
      <c r="A87">
        <v>90</v>
      </c>
      <c r="B87" t="b">
        <v>0</v>
      </c>
      <c r="C87" t="s">
        <v>44921</v>
      </c>
      <c r="D87">
        <v>1037022454355</v>
      </c>
      <c r="E87">
        <v>1</v>
      </c>
      <c r="F87">
        <v>6090993232</v>
      </c>
      <c r="G87">
        <v>80</v>
      </c>
      <c r="H87" t="s">
        <v>40293</v>
      </c>
      <c r="I87">
        <v>222</v>
      </c>
      <c r="J87">
        <v>3195</v>
      </c>
      <c r="K87">
        <v>15561</v>
      </c>
    </row>
    <row r="88" spans="1:11">
      <c r="A88">
        <v>90</v>
      </c>
      <c r="B88" t="b">
        <v>0</v>
      </c>
      <c r="C88" t="s">
        <v>40400</v>
      </c>
      <c r="D88">
        <v>1037022454355</v>
      </c>
      <c r="E88">
        <v>1</v>
      </c>
      <c r="F88">
        <v>6096423465</v>
      </c>
      <c r="G88">
        <v>149</v>
      </c>
      <c r="H88" t="s">
        <v>40293</v>
      </c>
      <c r="I88">
        <v>223</v>
      </c>
      <c r="J88">
        <v>179000</v>
      </c>
      <c r="K88">
        <v>180000</v>
      </c>
    </row>
    <row r="89" spans="1:11">
      <c r="A89">
        <v>30</v>
      </c>
      <c r="B89" t="b">
        <v>0</v>
      </c>
      <c r="C89" t="s">
        <v>43774</v>
      </c>
      <c r="D89">
        <v>1037022454355</v>
      </c>
      <c r="E89">
        <v>1</v>
      </c>
      <c r="F89">
        <v>6144715023</v>
      </c>
      <c r="G89">
        <v>148.9</v>
      </c>
      <c r="H89" t="s">
        <v>40293</v>
      </c>
      <c r="I89">
        <v>223</v>
      </c>
      <c r="J89">
        <v>3939</v>
      </c>
      <c r="K89">
        <v>3939</v>
      </c>
    </row>
    <row r="90" spans="1:11">
      <c r="A90">
        <v>90</v>
      </c>
      <c r="B90" t="b">
        <v>0</v>
      </c>
      <c r="C90" t="s">
        <v>40723</v>
      </c>
      <c r="D90">
        <v>1037022454355</v>
      </c>
      <c r="E90">
        <v>1</v>
      </c>
      <c r="F90">
        <v>6095185206</v>
      </c>
      <c r="G90">
        <v>160</v>
      </c>
      <c r="H90" t="s">
        <v>40293</v>
      </c>
      <c r="I90">
        <v>227</v>
      </c>
      <c r="J90">
        <v>50000</v>
      </c>
      <c r="K90">
        <v>50000</v>
      </c>
    </row>
    <row r="91" spans="1:11">
      <c r="A91">
        <v>90</v>
      </c>
      <c r="B91" t="b">
        <v>0</v>
      </c>
      <c r="C91" t="s">
        <v>40709</v>
      </c>
      <c r="D91">
        <v>1037022454355</v>
      </c>
      <c r="E91">
        <v>1</v>
      </c>
      <c r="F91">
        <v>6089548786</v>
      </c>
      <c r="G91">
        <v>169.1</v>
      </c>
      <c r="H91" t="s">
        <v>40293</v>
      </c>
      <c r="I91">
        <v>230</v>
      </c>
      <c r="J91">
        <v>50000</v>
      </c>
      <c r="K91">
        <v>50000</v>
      </c>
    </row>
    <row r="92" spans="1:11">
      <c r="A92">
        <v>90</v>
      </c>
      <c r="B92" t="b">
        <v>0</v>
      </c>
      <c r="C92" t="s">
        <v>41088</v>
      </c>
      <c r="D92">
        <v>1037022454355</v>
      </c>
      <c r="E92">
        <v>1</v>
      </c>
      <c r="F92">
        <v>6087100002</v>
      </c>
      <c r="G92">
        <v>168.3</v>
      </c>
      <c r="H92" t="s">
        <v>40293</v>
      </c>
      <c r="I92">
        <v>230</v>
      </c>
      <c r="J92">
        <v>20000</v>
      </c>
      <c r="K92">
        <v>20000</v>
      </c>
    </row>
    <row r="93" spans="1:11">
      <c r="A93">
        <v>90</v>
      </c>
      <c r="B93" t="b">
        <v>0</v>
      </c>
      <c r="C93" t="s">
        <v>40534</v>
      </c>
      <c r="D93">
        <v>1037022454355</v>
      </c>
      <c r="E93">
        <v>1</v>
      </c>
      <c r="F93">
        <v>6094460512</v>
      </c>
      <c r="G93">
        <v>139</v>
      </c>
      <c r="H93" t="s">
        <v>40293</v>
      </c>
      <c r="I93">
        <v>230</v>
      </c>
      <c r="J93">
        <v>223005</v>
      </c>
      <c r="K93">
        <v>223005</v>
      </c>
    </row>
    <row r="94" spans="1:11">
      <c r="A94">
        <v>90</v>
      </c>
      <c r="B94" t="b">
        <v>0</v>
      </c>
      <c r="C94" t="s">
        <v>41741</v>
      </c>
      <c r="D94">
        <v>1037022454355</v>
      </c>
      <c r="E94">
        <v>1</v>
      </c>
      <c r="F94">
        <v>6098976213</v>
      </c>
      <c r="G94">
        <v>127.8</v>
      </c>
      <c r="H94" t="s">
        <v>40293</v>
      </c>
      <c r="I94">
        <v>230</v>
      </c>
      <c r="J94">
        <v>20305</v>
      </c>
      <c r="K94">
        <v>20305</v>
      </c>
    </row>
    <row r="95" spans="1:11">
      <c r="A95">
        <v>90</v>
      </c>
      <c r="B95" t="b">
        <v>0</v>
      </c>
      <c r="C95" t="s">
        <v>41493</v>
      </c>
      <c r="D95">
        <v>1037022454355</v>
      </c>
      <c r="E95">
        <v>1</v>
      </c>
      <c r="F95">
        <v>6087042840</v>
      </c>
      <c r="G95">
        <v>100</v>
      </c>
      <c r="H95" t="s">
        <v>40293</v>
      </c>
      <c r="I95">
        <v>230</v>
      </c>
      <c r="J95">
        <v>180200</v>
      </c>
      <c r="K95">
        <v>180200</v>
      </c>
    </row>
    <row r="96" spans="1:11">
      <c r="A96">
        <v>90</v>
      </c>
      <c r="B96" t="b">
        <v>0</v>
      </c>
      <c r="C96" t="s">
        <v>45833</v>
      </c>
      <c r="D96">
        <v>1037022454355</v>
      </c>
      <c r="E96">
        <v>1</v>
      </c>
      <c r="F96">
        <v>6155049146</v>
      </c>
      <c r="G96">
        <v>80</v>
      </c>
      <c r="H96" t="s">
        <v>40293</v>
      </c>
      <c r="I96">
        <v>230</v>
      </c>
      <c r="J96">
        <v>120000</v>
      </c>
      <c r="K96">
        <v>120000</v>
      </c>
    </row>
    <row r="97" spans="1:11">
      <c r="A97">
        <v>90</v>
      </c>
      <c r="B97" t="b">
        <v>0</v>
      </c>
      <c r="C97" t="s">
        <v>41777</v>
      </c>
      <c r="D97">
        <v>1037022454355</v>
      </c>
      <c r="E97">
        <v>1</v>
      </c>
      <c r="F97">
        <v>6126491040</v>
      </c>
      <c r="G97">
        <v>77.77</v>
      </c>
      <c r="H97" t="s">
        <v>40293</v>
      </c>
      <c r="I97">
        <v>230</v>
      </c>
      <c r="J97">
        <v>129485</v>
      </c>
      <c r="K97">
        <v>175000</v>
      </c>
    </row>
    <row r="98" spans="1:11">
      <c r="A98">
        <v>90</v>
      </c>
      <c r="B98" t="b">
        <v>0</v>
      </c>
      <c r="C98" t="s">
        <v>42392</v>
      </c>
      <c r="D98">
        <v>1037022454355</v>
      </c>
      <c r="E98">
        <v>1</v>
      </c>
      <c r="F98">
        <v>6086466486</v>
      </c>
      <c r="G98">
        <v>77.760000000000005</v>
      </c>
      <c r="H98" t="s">
        <v>40293</v>
      </c>
      <c r="I98">
        <v>230</v>
      </c>
      <c r="J98">
        <v>44901</v>
      </c>
      <c r="K98">
        <v>138618</v>
      </c>
    </row>
    <row r="99" spans="1:11">
      <c r="A99">
        <v>90</v>
      </c>
      <c r="B99" t="b">
        <v>0</v>
      </c>
      <c r="C99" t="s">
        <v>46178</v>
      </c>
      <c r="D99">
        <v>1037022454355</v>
      </c>
      <c r="E99">
        <v>1</v>
      </c>
      <c r="F99">
        <v>6152907925</v>
      </c>
      <c r="G99">
        <v>77.739999999999995</v>
      </c>
      <c r="H99" t="s">
        <v>40293</v>
      </c>
      <c r="I99">
        <v>230</v>
      </c>
      <c r="J99">
        <v>2592</v>
      </c>
      <c r="K99">
        <v>2592</v>
      </c>
    </row>
    <row r="100" spans="1:11">
      <c r="A100">
        <v>90</v>
      </c>
      <c r="B100" t="b">
        <v>0</v>
      </c>
      <c r="C100" t="s">
        <v>44867</v>
      </c>
      <c r="D100">
        <v>1037022454355</v>
      </c>
      <c r="E100">
        <v>1</v>
      </c>
      <c r="F100">
        <v>6156626823</v>
      </c>
      <c r="G100">
        <v>50</v>
      </c>
      <c r="H100" t="s">
        <v>40293</v>
      </c>
      <c r="I100">
        <v>230</v>
      </c>
      <c r="J100">
        <v>50000</v>
      </c>
      <c r="K100">
        <v>50000</v>
      </c>
    </row>
    <row r="101" spans="1:11">
      <c r="A101">
        <v>90</v>
      </c>
      <c r="B101" t="b">
        <v>0</v>
      </c>
      <c r="C101" t="s">
        <v>43466</v>
      </c>
      <c r="D101">
        <v>1037022454355</v>
      </c>
      <c r="E101">
        <v>1</v>
      </c>
      <c r="F101">
        <v>6142746606</v>
      </c>
      <c r="G101">
        <v>250</v>
      </c>
      <c r="H101" t="s">
        <v>40293</v>
      </c>
      <c r="I101">
        <v>231</v>
      </c>
      <c r="J101">
        <v>100</v>
      </c>
      <c r="K101">
        <v>100</v>
      </c>
    </row>
    <row r="102" spans="1:11">
      <c r="A102">
        <v>90</v>
      </c>
      <c r="B102" t="b">
        <v>0</v>
      </c>
      <c r="C102" t="s">
        <v>43398</v>
      </c>
      <c r="D102">
        <v>1037022454355</v>
      </c>
      <c r="E102">
        <v>1</v>
      </c>
      <c r="F102">
        <v>6143916189</v>
      </c>
      <c r="G102">
        <v>40.01</v>
      </c>
      <c r="H102" t="s">
        <v>40293</v>
      </c>
      <c r="I102">
        <v>233</v>
      </c>
      <c r="J102">
        <v>100</v>
      </c>
      <c r="K102">
        <v>100</v>
      </c>
    </row>
    <row r="103" spans="1:11">
      <c r="A103">
        <v>90</v>
      </c>
      <c r="B103" t="b">
        <v>0</v>
      </c>
      <c r="C103" t="s">
        <v>43466</v>
      </c>
      <c r="D103">
        <v>1037022454355</v>
      </c>
      <c r="E103">
        <v>1</v>
      </c>
      <c r="F103">
        <v>6142746607</v>
      </c>
      <c r="G103">
        <v>249.9</v>
      </c>
      <c r="H103" t="s">
        <v>40293</v>
      </c>
      <c r="I103">
        <v>234</v>
      </c>
      <c r="J103">
        <v>100</v>
      </c>
      <c r="K103">
        <v>100</v>
      </c>
    </row>
    <row r="104" spans="1:11">
      <c r="A104">
        <v>90</v>
      </c>
      <c r="B104" t="b">
        <v>0</v>
      </c>
      <c r="C104" t="s">
        <v>45242</v>
      </c>
      <c r="D104">
        <v>1037022454355</v>
      </c>
      <c r="E104">
        <v>1</v>
      </c>
      <c r="F104">
        <v>6149389940</v>
      </c>
      <c r="G104">
        <v>250</v>
      </c>
      <c r="H104" t="s">
        <v>40293</v>
      </c>
      <c r="I104">
        <v>235</v>
      </c>
      <c r="J104">
        <v>40000</v>
      </c>
      <c r="K104">
        <v>40000</v>
      </c>
    </row>
    <row r="105" spans="1:11">
      <c r="A105">
        <v>90</v>
      </c>
      <c r="B105" t="b">
        <v>0</v>
      </c>
      <c r="C105" t="s">
        <v>43466</v>
      </c>
      <c r="D105">
        <v>1037022454355</v>
      </c>
      <c r="E105">
        <v>1</v>
      </c>
      <c r="F105">
        <v>6142746608</v>
      </c>
      <c r="G105">
        <v>250</v>
      </c>
      <c r="H105" t="s">
        <v>40293</v>
      </c>
      <c r="I105">
        <v>237</v>
      </c>
      <c r="J105">
        <v>300</v>
      </c>
      <c r="K105">
        <v>300</v>
      </c>
    </row>
    <row r="106" spans="1:11">
      <c r="A106">
        <v>90</v>
      </c>
      <c r="B106" t="b">
        <v>0</v>
      </c>
      <c r="C106" t="s">
        <v>44723</v>
      </c>
      <c r="D106">
        <v>1037022454355</v>
      </c>
      <c r="E106">
        <v>1</v>
      </c>
      <c r="F106">
        <v>6151283856</v>
      </c>
      <c r="G106">
        <v>80.010000000000005</v>
      </c>
      <c r="H106" t="s">
        <v>40293</v>
      </c>
      <c r="I106">
        <v>237</v>
      </c>
      <c r="J106">
        <v>100</v>
      </c>
      <c r="K106">
        <v>100</v>
      </c>
    </row>
    <row r="107" spans="1:11">
      <c r="A107">
        <v>90</v>
      </c>
      <c r="B107" t="b">
        <v>0</v>
      </c>
      <c r="C107" t="s">
        <v>44057</v>
      </c>
      <c r="D107">
        <v>1037022454355</v>
      </c>
      <c r="E107">
        <v>1</v>
      </c>
      <c r="F107">
        <v>6152585545</v>
      </c>
      <c r="G107">
        <v>300</v>
      </c>
      <c r="H107" t="s">
        <v>40293</v>
      </c>
      <c r="I107">
        <v>238</v>
      </c>
      <c r="J107">
        <v>16313</v>
      </c>
      <c r="K107">
        <v>16313</v>
      </c>
    </row>
    <row r="108" spans="1:11">
      <c r="A108">
        <v>90</v>
      </c>
      <c r="B108" t="b">
        <v>0</v>
      </c>
      <c r="C108" t="s">
        <v>40834</v>
      </c>
      <c r="D108">
        <v>1037022454355</v>
      </c>
      <c r="E108">
        <v>1</v>
      </c>
      <c r="F108">
        <v>6102691867</v>
      </c>
      <c r="G108">
        <v>100100</v>
      </c>
      <c r="H108" t="s">
        <v>40293</v>
      </c>
      <c r="I108">
        <v>240</v>
      </c>
      <c r="J108">
        <v>458</v>
      </c>
      <c r="K108">
        <v>500</v>
      </c>
    </row>
    <row r="109" spans="1:11">
      <c r="A109">
        <v>90</v>
      </c>
      <c r="B109" t="b">
        <v>0</v>
      </c>
      <c r="C109" t="s">
        <v>42408</v>
      </c>
      <c r="D109">
        <v>1037022454355</v>
      </c>
      <c r="E109">
        <v>1</v>
      </c>
      <c r="F109">
        <v>6137454330</v>
      </c>
      <c r="G109">
        <v>75000</v>
      </c>
      <c r="H109" t="s">
        <v>40293</v>
      </c>
      <c r="I109">
        <v>240</v>
      </c>
      <c r="J109">
        <v>14</v>
      </c>
      <c r="K109">
        <v>14</v>
      </c>
    </row>
    <row r="110" spans="1:11">
      <c r="A110">
        <v>90</v>
      </c>
      <c r="B110" t="b">
        <v>0</v>
      </c>
      <c r="C110" t="s">
        <v>40825</v>
      </c>
      <c r="D110">
        <v>1037022454355</v>
      </c>
      <c r="E110">
        <v>1</v>
      </c>
      <c r="F110">
        <v>6102691513</v>
      </c>
      <c r="G110">
        <v>100100</v>
      </c>
      <c r="H110" t="s">
        <v>40293</v>
      </c>
      <c r="I110">
        <v>241</v>
      </c>
      <c r="J110">
        <v>481</v>
      </c>
      <c r="K110">
        <v>500</v>
      </c>
    </row>
    <row r="111" spans="1:11">
      <c r="A111">
        <v>90</v>
      </c>
      <c r="B111" t="b">
        <v>0</v>
      </c>
      <c r="C111" t="s">
        <v>42397</v>
      </c>
      <c r="D111">
        <v>1037022454355</v>
      </c>
      <c r="E111">
        <v>1</v>
      </c>
      <c r="F111">
        <v>6137453769</v>
      </c>
      <c r="G111">
        <v>50000</v>
      </c>
      <c r="H111" t="s">
        <v>40293</v>
      </c>
      <c r="I111">
        <v>241</v>
      </c>
      <c r="J111">
        <v>13</v>
      </c>
      <c r="K111">
        <v>13</v>
      </c>
    </row>
    <row r="112" spans="1:11">
      <c r="A112">
        <v>90</v>
      </c>
      <c r="B112" t="b">
        <v>0</v>
      </c>
      <c r="C112" t="s">
        <v>40504</v>
      </c>
      <c r="D112">
        <v>1037022454355</v>
      </c>
      <c r="E112">
        <v>1</v>
      </c>
      <c r="F112">
        <v>6089380737</v>
      </c>
      <c r="G112">
        <v>50000</v>
      </c>
      <c r="H112" t="s">
        <v>40293</v>
      </c>
      <c r="I112">
        <v>242</v>
      </c>
      <c r="J112">
        <v>4</v>
      </c>
      <c r="K112">
        <v>4</v>
      </c>
    </row>
    <row r="113" spans="1:11">
      <c r="A113">
        <v>90</v>
      </c>
      <c r="B113" t="b">
        <v>0</v>
      </c>
      <c r="C113" t="s">
        <v>42341</v>
      </c>
      <c r="D113">
        <v>1037022454355</v>
      </c>
      <c r="E113">
        <v>1</v>
      </c>
      <c r="F113">
        <v>6070537604</v>
      </c>
      <c r="G113">
        <v>49990</v>
      </c>
      <c r="H113" t="s">
        <v>40293</v>
      </c>
      <c r="I113">
        <v>242</v>
      </c>
      <c r="J113">
        <v>16</v>
      </c>
      <c r="K113">
        <v>130</v>
      </c>
    </row>
    <row r="114" spans="1:11">
      <c r="A114">
        <v>90</v>
      </c>
      <c r="B114" t="b">
        <v>0</v>
      </c>
      <c r="C114" t="s">
        <v>40842</v>
      </c>
      <c r="D114">
        <v>1037022454355</v>
      </c>
      <c r="E114">
        <v>1</v>
      </c>
      <c r="F114">
        <v>6102692168</v>
      </c>
      <c r="G114">
        <v>150100</v>
      </c>
      <c r="H114" t="s">
        <v>40293</v>
      </c>
      <c r="I114">
        <v>243</v>
      </c>
      <c r="J114">
        <v>373</v>
      </c>
      <c r="K114">
        <v>400</v>
      </c>
    </row>
    <row r="115" spans="1:11">
      <c r="A115">
        <v>90</v>
      </c>
      <c r="B115" t="b">
        <v>0</v>
      </c>
      <c r="C115" t="s">
        <v>42477</v>
      </c>
      <c r="D115">
        <v>1037022454355</v>
      </c>
      <c r="E115">
        <v>1</v>
      </c>
      <c r="F115">
        <v>6137458255</v>
      </c>
      <c r="G115">
        <v>25000</v>
      </c>
      <c r="H115" t="s">
        <v>40293</v>
      </c>
      <c r="I115">
        <v>244</v>
      </c>
      <c r="J115">
        <v>13</v>
      </c>
      <c r="K115">
        <v>13</v>
      </c>
    </row>
    <row r="116" spans="1:11">
      <c r="A116">
        <v>90</v>
      </c>
      <c r="B116" t="b">
        <v>0</v>
      </c>
      <c r="C116" t="s">
        <v>40865</v>
      </c>
      <c r="D116">
        <v>1037022454355</v>
      </c>
      <c r="E116">
        <v>1</v>
      </c>
      <c r="F116">
        <v>6102692715</v>
      </c>
      <c r="G116">
        <v>100100</v>
      </c>
      <c r="H116" t="s">
        <v>40293</v>
      </c>
      <c r="I116">
        <v>245</v>
      </c>
      <c r="J116">
        <v>459</v>
      </c>
      <c r="K116">
        <v>500</v>
      </c>
    </row>
    <row r="117" spans="1:11">
      <c r="A117">
        <v>90</v>
      </c>
      <c r="B117" t="b">
        <v>0</v>
      </c>
      <c r="C117" t="s">
        <v>40768</v>
      </c>
      <c r="D117">
        <v>1037022454355</v>
      </c>
      <c r="E117">
        <v>1</v>
      </c>
      <c r="F117">
        <v>6119303615</v>
      </c>
      <c r="G117">
        <v>100000</v>
      </c>
      <c r="H117" t="s">
        <v>40293</v>
      </c>
      <c r="I117">
        <v>245</v>
      </c>
      <c r="J117">
        <v>4</v>
      </c>
      <c r="K117">
        <v>4</v>
      </c>
    </row>
    <row r="118" spans="1:11">
      <c r="A118">
        <v>90</v>
      </c>
      <c r="B118" t="b">
        <v>0</v>
      </c>
      <c r="C118" t="s">
        <v>43111</v>
      </c>
      <c r="D118">
        <v>1037022454355</v>
      </c>
      <c r="E118">
        <v>1</v>
      </c>
      <c r="F118">
        <v>6137453221</v>
      </c>
      <c r="G118">
        <v>73990</v>
      </c>
      <c r="H118" t="s">
        <v>40293</v>
      </c>
      <c r="I118">
        <v>245</v>
      </c>
      <c r="J118">
        <v>14</v>
      </c>
      <c r="K118">
        <v>14</v>
      </c>
    </row>
    <row r="119" spans="1:11">
      <c r="A119">
        <v>90</v>
      </c>
      <c r="B119" t="b">
        <v>0</v>
      </c>
      <c r="C119" t="s">
        <v>42945</v>
      </c>
      <c r="D119">
        <v>1037022454355</v>
      </c>
      <c r="E119">
        <v>1</v>
      </c>
      <c r="F119">
        <v>6138005107</v>
      </c>
      <c r="G119">
        <v>73500</v>
      </c>
      <c r="H119" t="s">
        <v>40293</v>
      </c>
      <c r="I119">
        <v>245</v>
      </c>
      <c r="J119">
        <v>4</v>
      </c>
      <c r="K119">
        <v>4</v>
      </c>
    </row>
    <row r="120" spans="1:11">
      <c r="A120">
        <v>90</v>
      </c>
      <c r="B120" t="b">
        <v>0</v>
      </c>
      <c r="C120" t="s">
        <v>42420</v>
      </c>
      <c r="D120">
        <v>1037022454355</v>
      </c>
      <c r="E120">
        <v>1</v>
      </c>
      <c r="F120">
        <v>6137455174</v>
      </c>
      <c r="G120">
        <v>75000</v>
      </c>
      <c r="H120" t="s">
        <v>40293</v>
      </c>
      <c r="I120">
        <v>247</v>
      </c>
      <c r="J120">
        <v>10</v>
      </c>
      <c r="K120">
        <v>24</v>
      </c>
    </row>
    <row r="121" spans="1:11">
      <c r="A121">
        <v>90</v>
      </c>
      <c r="B121" t="b">
        <v>0</v>
      </c>
      <c r="C121" t="s">
        <v>42406</v>
      </c>
      <c r="D121">
        <v>1037022454355</v>
      </c>
      <c r="E121">
        <v>1</v>
      </c>
      <c r="F121">
        <v>6137454128</v>
      </c>
      <c r="G121">
        <v>50000</v>
      </c>
      <c r="H121" t="s">
        <v>40293</v>
      </c>
      <c r="I121">
        <v>248</v>
      </c>
      <c r="J121">
        <v>19</v>
      </c>
      <c r="K121">
        <v>19</v>
      </c>
    </row>
    <row r="122" spans="1:11">
      <c r="A122">
        <v>90</v>
      </c>
      <c r="B122" t="b">
        <v>0</v>
      </c>
      <c r="C122" t="s">
        <v>42529</v>
      </c>
      <c r="D122">
        <v>1037022454355</v>
      </c>
      <c r="E122">
        <v>1</v>
      </c>
      <c r="F122">
        <v>6135134679</v>
      </c>
      <c r="G122">
        <v>15000</v>
      </c>
      <c r="H122" t="s">
        <v>40293</v>
      </c>
      <c r="I122">
        <v>249</v>
      </c>
      <c r="J122">
        <v>4</v>
      </c>
      <c r="K122">
        <v>4</v>
      </c>
    </row>
    <row r="123" spans="1:11">
      <c r="A123">
        <v>90</v>
      </c>
      <c r="B123" t="b">
        <v>0</v>
      </c>
      <c r="C123" t="s">
        <v>43128</v>
      </c>
      <c r="D123">
        <v>1037022454355</v>
      </c>
      <c r="E123">
        <v>1</v>
      </c>
      <c r="F123">
        <v>6137453637</v>
      </c>
      <c r="G123">
        <v>13490</v>
      </c>
      <c r="H123" t="s">
        <v>40293</v>
      </c>
      <c r="I123">
        <v>249</v>
      </c>
      <c r="J123">
        <v>20</v>
      </c>
      <c r="K123">
        <v>20</v>
      </c>
    </row>
    <row r="124" spans="1:11">
      <c r="A124">
        <v>90</v>
      </c>
      <c r="B124" t="b">
        <v>0</v>
      </c>
      <c r="C124" t="s">
        <v>42958</v>
      </c>
      <c r="D124">
        <v>1037022454355</v>
      </c>
      <c r="E124">
        <v>1</v>
      </c>
      <c r="F124">
        <v>6138005491</v>
      </c>
      <c r="G124">
        <v>13000</v>
      </c>
      <c r="H124" t="s">
        <v>40293</v>
      </c>
      <c r="I124">
        <v>249</v>
      </c>
      <c r="J124">
        <v>3</v>
      </c>
      <c r="K124">
        <v>4</v>
      </c>
    </row>
    <row r="125" spans="1:11">
      <c r="A125">
        <v>90</v>
      </c>
      <c r="B125" t="b">
        <v>0</v>
      </c>
      <c r="C125" t="s">
        <v>42432</v>
      </c>
      <c r="D125">
        <v>1037022454355</v>
      </c>
      <c r="E125">
        <v>1</v>
      </c>
      <c r="F125">
        <v>6137455894</v>
      </c>
      <c r="G125">
        <v>75000</v>
      </c>
      <c r="H125" t="s">
        <v>40293</v>
      </c>
      <c r="I125">
        <v>250</v>
      </c>
      <c r="J125">
        <v>18</v>
      </c>
      <c r="K125">
        <v>18</v>
      </c>
    </row>
    <row r="126" spans="1:11">
      <c r="A126">
        <v>90</v>
      </c>
      <c r="B126" t="b">
        <v>0</v>
      </c>
      <c r="C126" t="s">
        <v>43398</v>
      </c>
      <c r="D126">
        <v>1037022454355</v>
      </c>
      <c r="E126">
        <v>1</v>
      </c>
      <c r="F126">
        <v>6143916182</v>
      </c>
      <c r="G126">
        <v>33340</v>
      </c>
      <c r="H126" t="s">
        <v>40293</v>
      </c>
      <c r="I126">
        <v>250</v>
      </c>
      <c r="J126">
        <v>2</v>
      </c>
      <c r="K126">
        <v>5</v>
      </c>
    </row>
    <row r="127" spans="1:11">
      <c r="A127">
        <v>90</v>
      </c>
      <c r="B127" t="b">
        <v>0</v>
      </c>
      <c r="C127" t="s">
        <v>42467</v>
      </c>
      <c r="D127">
        <v>1037022454355</v>
      </c>
      <c r="E127">
        <v>1</v>
      </c>
      <c r="F127">
        <v>6137457673</v>
      </c>
      <c r="G127">
        <v>28000</v>
      </c>
      <c r="H127" t="s">
        <v>40293</v>
      </c>
      <c r="I127">
        <v>251</v>
      </c>
      <c r="J127">
        <v>26</v>
      </c>
      <c r="K127">
        <v>26</v>
      </c>
    </row>
    <row r="128" spans="1:11">
      <c r="A128">
        <v>90</v>
      </c>
      <c r="B128" t="b">
        <v>0</v>
      </c>
      <c r="C128" t="s">
        <v>42351</v>
      </c>
      <c r="D128">
        <v>1037022454355</v>
      </c>
      <c r="E128">
        <v>1</v>
      </c>
      <c r="F128">
        <v>6138007252</v>
      </c>
      <c r="G128">
        <v>27500</v>
      </c>
      <c r="H128" t="s">
        <v>40293</v>
      </c>
      <c r="I128">
        <v>251</v>
      </c>
      <c r="J128">
        <v>2</v>
      </c>
      <c r="K128">
        <v>2</v>
      </c>
    </row>
    <row r="129" spans="1:11">
      <c r="A129">
        <v>90</v>
      </c>
      <c r="B129" t="b">
        <v>0</v>
      </c>
      <c r="C129" t="s">
        <v>43398</v>
      </c>
      <c r="D129">
        <v>1037022454355</v>
      </c>
      <c r="E129">
        <v>1</v>
      </c>
      <c r="F129">
        <v>6143916183</v>
      </c>
      <c r="G129">
        <v>22230</v>
      </c>
      <c r="H129" t="s">
        <v>40293</v>
      </c>
      <c r="I129">
        <v>251</v>
      </c>
      <c r="J129">
        <v>1</v>
      </c>
      <c r="K129">
        <v>1</v>
      </c>
    </row>
    <row r="130" spans="1:11">
      <c r="A130">
        <v>90</v>
      </c>
      <c r="B130" t="b">
        <v>0</v>
      </c>
      <c r="C130" t="s">
        <v>42474</v>
      </c>
      <c r="D130">
        <v>1037022454355</v>
      </c>
      <c r="E130">
        <v>1</v>
      </c>
      <c r="F130">
        <v>6137458154</v>
      </c>
      <c r="G130">
        <v>50000</v>
      </c>
      <c r="H130" t="s">
        <v>40293</v>
      </c>
      <c r="I130">
        <v>252</v>
      </c>
      <c r="J130">
        <v>19</v>
      </c>
      <c r="K130">
        <v>19</v>
      </c>
    </row>
    <row r="131" spans="1:11">
      <c r="A131">
        <v>90</v>
      </c>
      <c r="B131" t="b">
        <v>0</v>
      </c>
      <c r="C131" t="s">
        <v>43398</v>
      </c>
      <c r="D131">
        <v>1037022454355</v>
      </c>
      <c r="E131">
        <v>1</v>
      </c>
      <c r="F131">
        <v>6143916184</v>
      </c>
      <c r="G131">
        <v>33340</v>
      </c>
      <c r="H131" t="s">
        <v>40293</v>
      </c>
      <c r="I131">
        <v>252</v>
      </c>
      <c r="J131">
        <v>3</v>
      </c>
      <c r="K131">
        <v>3</v>
      </c>
    </row>
    <row r="132" spans="1:11">
      <c r="A132">
        <v>90</v>
      </c>
      <c r="B132" t="b">
        <v>0</v>
      </c>
      <c r="C132" t="s">
        <v>42387</v>
      </c>
      <c r="D132">
        <v>1037022454355</v>
      </c>
      <c r="E132">
        <v>1</v>
      </c>
      <c r="F132">
        <v>6137453085</v>
      </c>
      <c r="G132">
        <v>25000</v>
      </c>
      <c r="H132" t="s">
        <v>40293</v>
      </c>
      <c r="I132">
        <v>253</v>
      </c>
      <c r="J132">
        <v>23</v>
      </c>
      <c r="K132">
        <v>24</v>
      </c>
    </row>
    <row r="133" spans="1:11">
      <c r="A133">
        <v>90</v>
      </c>
      <c r="B133" t="b">
        <v>0</v>
      </c>
      <c r="C133" t="s">
        <v>42413</v>
      </c>
      <c r="D133">
        <v>1037022454355</v>
      </c>
      <c r="E133">
        <v>1</v>
      </c>
      <c r="F133">
        <v>6137454696</v>
      </c>
      <c r="G133">
        <v>75000</v>
      </c>
      <c r="H133" t="s">
        <v>40293</v>
      </c>
      <c r="I133">
        <v>254</v>
      </c>
      <c r="J133">
        <v>21</v>
      </c>
      <c r="K133">
        <v>21</v>
      </c>
    </row>
    <row r="134" spans="1:11">
      <c r="A134">
        <v>90</v>
      </c>
      <c r="B134" t="b">
        <v>0</v>
      </c>
      <c r="C134" t="s">
        <v>43398</v>
      </c>
      <c r="D134">
        <v>1037022454355</v>
      </c>
      <c r="E134">
        <v>1</v>
      </c>
      <c r="F134">
        <v>6143916181</v>
      </c>
      <c r="G134">
        <v>33340</v>
      </c>
      <c r="H134" t="s">
        <v>40293</v>
      </c>
      <c r="I134">
        <v>254</v>
      </c>
      <c r="J134">
        <v>5</v>
      </c>
      <c r="K134">
        <v>5</v>
      </c>
    </row>
    <row r="135" spans="1:11">
      <c r="A135">
        <v>30</v>
      </c>
      <c r="B135" t="b">
        <v>0</v>
      </c>
      <c r="C135" t="s">
        <v>43464</v>
      </c>
      <c r="D135">
        <v>1037022454355</v>
      </c>
      <c r="E135">
        <v>1</v>
      </c>
      <c r="F135">
        <v>6144736961</v>
      </c>
      <c r="G135">
        <v>33330</v>
      </c>
      <c r="H135" t="s">
        <v>40293</v>
      </c>
      <c r="I135">
        <v>254</v>
      </c>
      <c r="J135">
        <v>15</v>
      </c>
      <c r="K135">
        <v>19</v>
      </c>
    </row>
    <row r="136" spans="1:11">
      <c r="A136">
        <v>90</v>
      </c>
      <c r="B136" t="b">
        <v>0</v>
      </c>
      <c r="C136" t="s">
        <v>42418</v>
      </c>
      <c r="D136">
        <v>1037022454355</v>
      </c>
      <c r="E136">
        <v>1</v>
      </c>
      <c r="F136">
        <v>6137455025</v>
      </c>
      <c r="G136">
        <v>100000</v>
      </c>
      <c r="H136" t="s">
        <v>40293</v>
      </c>
      <c r="I136">
        <v>255</v>
      </c>
      <c r="J136">
        <v>27</v>
      </c>
      <c r="K136">
        <v>65</v>
      </c>
    </row>
    <row r="137" spans="1:11">
      <c r="A137">
        <v>90</v>
      </c>
      <c r="B137" t="b">
        <v>0</v>
      </c>
      <c r="C137" t="s">
        <v>42403</v>
      </c>
      <c r="D137">
        <v>1037022454355</v>
      </c>
      <c r="E137">
        <v>1</v>
      </c>
      <c r="F137">
        <v>6137453954</v>
      </c>
      <c r="G137">
        <v>15000</v>
      </c>
      <c r="H137" t="s">
        <v>40293</v>
      </c>
      <c r="I137">
        <v>256</v>
      </c>
      <c r="J137">
        <v>65</v>
      </c>
      <c r="K137">
        <v>65</v>
      </c>
    </row>
    <row r="138" spans="1:11">
      <c r="A138">
        <v>90</v>
      </c>
      <c r="B138" t="b">
        <v>0</v>
      </c>
      <c r="C138" t="s">
        <v>42535</v>
      </c>
      <c r="D138">
        <v>1037022454355</v>
      </c>
      <c r="E138">
        <v>1</v>
      </c>
      <c r="F138">
        <v>6135134896</v>
      </c>
      <c r="G138">
        <v>15000</v>
      </c>
      <c r="H138" t="s">
        <v>40293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42391</v>
      </c>
      <c r="D139">
        <v>1037022454355</v>
      </c>
      <c r="E139">
        <v>1</v>
      </c>
      <c r="F139">
        <v>6137453457</v>
      </c>
      <c r="G139">
        <v>50000</v>
      </c>
      <c r="H139" t="s">
        <v>40293</v>
      </c>
      <c r="I139">
        <v>257</v>
      </c>
      <c r="J139">
        <v>41</v>
      </c>
      <c r="K139">
        <v>41</v>
      </c>
    </row>
    <row r="140" spans="1:11">
      <c r="A140">
        <v>90</v>
      </c>
      <c r="B140" t="b">
        <v>0</v>
      </c>
      <c r="C140" t="s">
        <v>43332</v>
      </c>
      <c r="D140">
        <v>1037022454355</v>
      </c>
      <c r="E140">
        <v>1</v>
      </c>
      <c r="F140">
        <v>6143324528</v>
      </c>
      <c r="G140">
        <v>49000</v>
      </c>
      <c r="H140" t="s">
        <v>40293</v>
      </c>
      <c r="I140">
        <v>257</v>
      </c>
      <c r="J140">
        <v>10</v>
      </c>
      <c r="K140">
        <v>10</v>
      </c>
    </row>
    <row r="141" spans="1:11">
      <c r="A141">
        <v>90</v>
      </c>
      <c r="B141" t="b">
        <v>0</v>
      </c>
      <c r="C141" t="s">
        <v>42427</v>
      </c>
      <c r="D141">
        <v>1037022454355</v>
      </c>
      <c r="E141">
        <v>1</v>
      </c>
      <c r="F141">
        <v>6137455691</v>
      </c>
      <c r="G141">
        <v>100000</v>
      </c>
      <c r="H141" t="s">
        <v>40293</v>
      </c>
      <c r="I141">
        <v>258</v>
      </c>
      <c r="J141">
        <v>60</v>
      </c>
      <c r="K141">
        <v>64</v>
      </c>
    </row>
    <row r="142" spans="1:11">
      <c r="A142">
        <v>90</v>
      </c>
      <c r="B142" t="b">
        <v>0</v>
      </c>
      <c r="C142" t="s">
        <v>43274</v>
      </c>
      <c r="D142">
        <v>1037022454355</v>
      </c>
      <c r="E142">
        <v>1</v>
      </c>
      <c r="F142">
        <v>6137457538</v>
      </c>
      <c r="G142">
        <v>25440</v>
      </c>
      <c r="H142" t="s">
        <v>40293</v>
      </c>
      <c r="I142">
        <v>259</v>
      </c>
      <c r="J142">
        <v>57</v>
      </c>
      <c r="K142">
        <v>57</v>
      </c>
    </row>
    <row r="143" spans="1:11">
      <c r="A143">
        <v>90</v>
      </c>
      <c r="B143" t="b">
        <v>0</v>
      </c>
      <c r="C143" t="s">
        <v>43352</v>
      </c>
      <c r="D143">
        <v>1037022454355</v>
      </c>
      <c r="E143">
        <v>1</v>
      </c>
      <c r="F143">
        <v>6143325034</v>
      </c>
      <c r="G143">
        <v>25000</v>
      </c>
      <c r="H143" t="s">
        <v>40293</v>
      </c>
      <c r="I143">
        <v>259</v>
      </c>
      <c r="J143">
        <v>16</v>
      </c>
      <c r="K143">
        <v>16</v>
      </c>
    </row>
    <row r="144" spans="1:11">
      <c r="A144">
        <v>90</v>
      </c>
      <c r="B144" t="b">
        <v>0</v>
      </c>
      <c r="C144" t="s">
        <v>45193</v>
      </c>
      <c r="D144">
        <v>1037022454355</v>
      </c>
      <c r="E144">
        <v>1</v>
      </c>
      <c r="F144">
        <v>6135135106</v>
      </c>
      <c r="G144">
        <v>24500</v>
      </c>
      <c r="H144" t="s">
        <v>40293</v>
      </c>
      <c r="I144">
        <v>259</v>
      </c>
      <c r="J144">
        <v>8</v>
      </c>
      <c r="K144">
        <v>8</v>
      </c>
    </row>
    <row r="145" spans="1:11">
      <c r="A145">
        <v>90</v>
      </c>
      <c r="B145" t="b">
        <v>0</v>
      </c>
      <c r="C145" t="s">
        <v>42544</v>
      </c>
      <c r="D145">
        <v>1037022454355</v>
      </c>
      <c r="E145">
        <v>1</v>
      </c>
      <c r="F145">
        <v>6135135426</v>
      </c>
      <c r="G145">
        <v>27000</v>
      </c>
      <c r="H145" t="s">
        <v>40293</v>
      </c>
      <c r="I145">
        <v>260</v>
      </c>
      <c r="J145">
        <v>8</v>
      </c>
      <c r="K145">
        <v>8</v>
      </c>
    </row>
    <row r="146" spans="1:11">
      <c r="A146">
        <v>90</v>
      </c>
      <c r="B146" t="b">
        <v>0</v>
      </c>
      <c r="C146" t="s">
        <v>42472</v>
      </c>
      <c r="D146">
        <v>1037022454355</v>
      </c>
      <c r="E146">
        <v>1</v>
      </c>
      <c r="F146">
        <v>6137458028</v>
      </c>
      <c r="G146">
        <v>26000</v>
      </c>
      <c r="H146" t="s">
        <v>40293</v>
      </c>
      <c r="I146">
        <v>260</v>
      </c>
      <c r="J146">
        <v>66</v>
      </c>
      <c r="K146">
        <v>66</v>
      </c>
    </row>
    <row r="147" spans="1:11">
      <c r="A147">
        <v>90</v>
      </c>
      <c r="B147" t="b">
        <v>0</v>
      </c>
      <c r="C147" t="s">
        <v>43298</v>
      </c>
      <c r="D147">
        <v>1037022454355</v>
      </c>
      <c r="E147">
        <v>1</v>
      </c>
      <c r="F147">
        <v>6143324769</v>
      </c>
      <c r="G147">
        <v>25000</v>
      </c>
      <c r="H147" t="s">
        <v>40293</v>
      </c>
      <c r="I147">
        <v>260</v>
      </c>
      <c r="J147">
        <v>26</v>
      </c>
      <c r="K147">
        <v>26</v>
      </c>
    </row>
    <row r="148" spans="1:11">
      <c r="A148">
        <v>90</v>
      </c>
      <c r="B148" t="b">
        <v>0</v>
      </c>
      <c r="C148" t="s">
        <v>42381</v>
      </c>
      <c r="D148">
        <v>1037022454355</v>
      </c>
      <c r="E148">
        <v>1</v>
      </c>
      <c r="F148">
        <v>6137452826</v>
      </c>
      <c r="G148">
        <v>34000</v>
      </c>
      <c r="H148" t="s">
        <v>40293</v>
      </c>
      <c r="I148">
        <v>261</v>
      </c>
      <c r="J148">
        <v>42</v>
      </c>
      <c r="K148">
        <v>42</v>
      </c>
    </row>
    <row r="149" spans="1:11">
      <c r="A149">
        <v>90</v>
      </c>
      <c r="B149" t="b">
        <v>0</v>
      </c>
      <c r="C149" t="s">
        <v>43639</v>
      </c>
      <c r="D149">
        <v>1037022454355</v>
      </c>
      <c r="E149">
        <v>1</v>
      </c>
      <c r="F149">
        <v>6098703925</v>
      </c>
      <c r="G149">
        <v>33900</v>
      </c>
      <c r="H149" t="s">
        <v>40293</v>
      </c>
      <c r="I149">
        <v>261</v>
      </c>
      <c r="J149">
        <v>11</v>
      </c>
      <c r="K149">
        <v>20</v>
      </c>
    </row>
    <row r="150" spans="1:11">
      <c r="A150">
        <v>90</v>
      </c>
      <c r="B150" t="b">
        <v>0</v>
      </c>
      <c r="C150" t="s">
        <v>44374</v>
      </c>
      <c r="D150">
        <v>1037022454355</v>
      </c>
      <c r="E150">
        <v>1</v>
      </c>
      <c r="F150">
        <v>6151508633</v>
      </c>
      <c r="G150">
        <v>33000</v>
      </c>
      <c r="H150" t="s">
        <v>40293</v>
      </c>
      <c r="I150">
        <v>261</v>
      </c>
      <c r="J150">
        <v>1</v>
      </c>
      <c r="K150">
        <v>1</v>
      </c>
    </row>
    <row r="151" spans="1:11">
      <c r="A151">
        <v>90</v>
      </c>
      <c r="B151" t="b">
        <v>0</v>
      </c>
      <c r="C151" t="s">
        <v>42410</v>
      </c>
      <c r="D151">
        <v>1037022454355</v>
      </c>
      <c r="E151">
        <v>1</v>
      </c>
      <c r="F151">
        <v>6137454553</v>
      </c>
      <c r="G151">
        <v>100000</v>
      </c>
      <c r="H151" t="s">
        <v>40293</v>
      </c>
      <c r="I151">
        <v>262</v>
      </c>
      <c r="J151">
        <v>2</v>
      </c>
      <c r="K151">
        <v>52</v>
      </c>
    </row>
    <row r="152" spans="1:11">
      <c r="A152">
        <v>90</v>
      </c>
      <c r="B152" t="b">
        <v>0</v>
      </c>
      <c r="C152" t="s">
        <v>43398</v>
      </c>
      <c r="D152">
        <v>1037022454355</v>
      </c>
      <c r="E152">
        <v>1</v>
      </c>
      <c r="F152">
        <v>6143916203</v>
      </c>
      <c r="G152">
        <v>92.41</v>
      </c>
      <c r="H152" t="s">
        <v>40293</v>
      </c>
      <c r="I152">
        <v>266</v>
      </c>
      <c r="J152">
        <v>352</v>
      </c>
      <c r="K152">
        <v>352</v>
      </c>
    </row>
    <row r="153" spans="1:11">
      <c r="A153">
        <v>90</v>
      </c>
      <c r="B153" t="b">
        <v>0</v>
      </c>
      <c r="C153" t="s">
        <v>45295</v>
      </c>
      <c r="D153">
        <v>1037022454355</v>
      </c>
      <c r="E153">
        <v>1</v>
      </c>
      <c r="F153">
        <v>6078382521</v>
      </c>
      <c r="G153">
        <v>92</v>
      </c>
      <c r="H153" t="s">
        <v>40293</v>
      </c>
      <c r="I153">
        <v>266</v>
      </c>
      <c r="J153">
        <v>13178</v>
      </c>
      <c r="K153">
        <v>15400</v>
      </c>
    </row>
    <row r="154" spans="1:11">
      <c r="A154">
        <v>90</v>
      </c>
      <c r="B154" t="b">
        <v>0</v>
      </c>
      <c r="C154" t="s">
        <v>40553</v>
      </c>
      <c r="D154">
        <v>1037022454355</v>
      </c>
      <c r="E154">
        <v>1</v>
      </c>
      <c r="F154">
        <v>6081976231</v>
      </c>
      <c r="G154">
        <v>2189</v>
      </c>
      <c r="H154" t="s">
        <v>40293</v>
      </c>
      <c r="I154">
        <v>267</v>
      </c>
      <c r="J154">
        <v>5005</v>
      </c>
      <c r="K154">
        <v>5005</v>
      </c>
    </row>
    <row r="155" spans="1:11">
      <c r="A155">
        <v>90</v>
      </c>
      <c r="B155" t="b">
        <v>0</v>
      </c>
      <c r="C155" t="s">
        <v>40733</v>
      </c>
      <c r="D155">
        <v>1037022454355</v>
      </c>
      <c r="E155">
        <v>1</v>
      </c>
      <c r="F155">
        <v>6095742478</v>
      </c>
      <c r="G155">
        <v>2187</v>
      </c>
      <c r="H155" t="s">
        <v>40293</v>
      </c>
      <c r="I155">
        <v>267</v>
      </c>
      <c r="J155">
        <v>6000</v>
      </c>
      <c r="K155">
        <v>6000</v>
      </c>
    </row>
    <row r="156" spans="1:11">
      <c r="A156">
        <v>90</v>
      </c>
      <c r="B156" t="b">
        <v>0</v>
      </c>
      <c r="C156" t="s">
        <v>40753</v>
      </c>
      <c r="D156">
        <v>1037022454355</v>
      </c>
      <c r="E156">
        <v>1</v>
      </c>
      <c r="F156">
        <v>6072936555</v>
      </c>
      <c r="G156">
        <v>2185</v>
      </c>
      <c r="H156" t="s">
        <v>40293</v>
      </c>
      <c r="I156">
        <v>267</v>
      </c>
      <c r="J156">
        <v>5000</v>
      </c>
      <c r="K156">
        <v>5000</v>
      </c>
    </row>
    <row r="157" spans="1:11">
      <c r="A157">
        <v>90</v>
      </c>
      <c r="B157" t="b">
        <v>0</v>
      </c>
      <c r="C157" t="s">
        <v>40507</v>
      </c>
      <c r="D157">
        <v>1037022454355</v>
      </c>
      <c r="E157">
        <v>1</v>
      </c>
      <c r="F157">
        <v>6100685754</v>
      </c>
      <c r="G157">
        <v>2183</v>
      </c>
      <c r="H157" t="s">
        <v>40293</v>
      </c>
      <c r="I157">
        <v>267</v>
      </c>
      <c r="J157">
        <v>5000</v>
      </c>
      <c r="K157">
        <v>5000</v>
      </c>
    </row>
    <row r="158" spans="1:11">
      <c r="A158">
        <v>90</v>
      </c>
      <c r="B158" t="b">
        <v>0</v>
      </c>
      <c r="C158" t="s">
        <v>41848</v>
      </c>
      <c r="D158">
        <v>1037022454355</v>
      </c>
      <c r="E158">
        <v>1</v>
      </c>
      <c r="F158">
        <v>6072872028</v>
      </c>
      <c r="G158">
        <v>2150</v>
      </c>
      <c r="H158" t="s">
        <v>40293</v>
      </c>
      <c r="I158">
        <v>267</v>
      </c>
      <c r="J158">
        <v>2000</v>
      </c>
      <c r="K158">
        <v>2000</v>
      </c>
    </row>
    <row r="159" spans="1:11">
      <c r="A159">
        <v>90</v>
      </c>
      <c r="B159" t="b">
        <v>0</v>
      </c>
      <c r="C159" t="s">
        <v>41054</v>
      </c>
      <c r="D159">
        <v>1037022454355</v>
      </c>
      <c r="E159">
        <v>1</v>
      </c>
      <c r="F159">
        <v>6103974724</v>
      </c>
      <c r="G159">
        <v>1300</v>
      </c>
      <c r="H159" t="s">
        <v>40293</v>
      </c>
      <c r="I159">
        <v>267</v>
      </c>
      <c r="J159">
        <v>5000</v>
      </c>
      <c r="K159">
        <v>5000</v>
      </c>
    </row>
    <row r="160" spans="1:11">
      <c r="A160">
        <v>90</v>
      </c>
      <c r="B160" t="b">
        <v>0</v>
      </c>
      <c r="C160" t="s">
        <v>42109</v>
      </c>
      <c r="D160">
        <v>1037022454355</v>
      </c>
      <c r="E160">
        <v>1</v>
      </c>
      <c r="F160">
        <v>6083883934</v>
      </c>
      <c r="G160">
        <v>1298</v>
      </c>
      <c r="H160" t="s">
        <v>40293</v>
      </c>
      <c r="I160">
        <v>267</v>
      </c>
      <c r="J160">
        <v>7981</v>
      </c>
      <c r="K160">
        <v>19106</v>
      </c>
    </row>
    <row r="161" spans="1:11">
      <c r="A161">
        <v>90</v>
      </c>
      <c r="B161" t="b">
        <v>0</v>
      </c>
      <c r="C161" t="s">
        <v>42340</v>
      </c>
      <c r="D161">
        <v>1037022454355</v>
      </c>
      <c r="E161">
        <v>1</v>
      </c>
      <c r="F161">
        <v>6136040733</v>
      </c>
      <c r="G161">
        <v>1297</v>
      </c>
      <c r="H161" t="s">
        <v>40293</v>
      </c>
      <c r="I161">
        <v>267</v>
      </c>
      <c r="J161">
        <v>2961</v>
      </c>
      <c r="K161">
        <v>10000</v>
      </c>
    </row>
    <row r="162" spans="1:11">
      <c r="A162">
        <v>90</v>
      </c>
      <c r="B162" t="b">
        <v>0</v>
      </c>
      <c r="C162" t="s">
        <v>41323</v>
      </c>
      <c r="D162">
        <v>1037022454355</v>
      </c>
      <c r="E162">
        <v>1</v>
      </c>
      <c r="F162">
        <v>6092281441</v>
      </c>
      <c r="G162">
        <v>688100</v>
      </c>
      <c r="H162" t="s">
        <v>40293</v>
      </c>
      <c r="I162">
        <v>380</v>
      </c>
      <c r="J162">
        <v>9</v>
      </c>
      <c r="K162">
        <v>13</v>
      </c>
    </row>
    <row r="163" spans="1:11">
      <c r="A163">
        <v>90</v>
      </c>
      <c r="B163" t="b">
        <v>0</v>
      </c>
      <c r="C163" t="s">
        <v>41661</v>
      </c>
      <c r="D163">
        <v>1037022454355</v>
      </c>
      <c r="E163">
        <v>1</v>
      </c>
      <c r="F163">
        <v>6100743767</v>
      </c>
      <c r="G163">
        <v>684500</v>
      </c>
      <c r="H163" t="s">
        <v>40293</v>
      </c>
      <c r="I163">
        <v>380</v>
      </c>
      <c r="J163">
        <v>10</v>
      </c>
      <c r="K163">
        <v>10</v>
      </c>
    </row>
    <row r="164" spans="1:11">
      <c r="A164">
        <v>90</v>
      </c>
      <c r="B164" t="b">
        <v>0</v>
      </c>
      <c r="C164" t="s">
        <v>41687</v>
      </c>
      <c r="D164">
        <v>1037022454355</v>
      </c>
      <c r="E164">
        <v>1</v>
      </c>
      <c r="F164">
        <v>6119939028</v>
      </c>
      <c r="G164">
        <v>658800</v>
      </c>
      <c r="H164" t="s">
        <v>40293</v>
      </c>
      <c r="I164">
        <v>380</v>
      </c>
      <c r="J164">
        <v>6</v>
      </c>
      <c r="K164">
        <v>13</v>
      </c>
    </row>
    <row r="165" spans="1:11">
      <c r="A165">
        <v>90</v>
      </c>
      <c r="B165" t="b">
        <v>0</v>
      </c>
      <c r="C165" t="s">
        <v>41859</v>
      </c>
      <c r="D165">
        <v>1037022454355</v>
      </c>
      <c r="E165">
        <v>1</v>
      </c>
      <c r="F165">
        <v>6113178029</v>
      </c>
      <c r="G165">
        <v>658400</v>
      </c>
      <c r="H165" t="s">
        <v>40293</v>
      </c>
      <c r="I165">
        <v>380</v>
      </c>
      <c r="J165">
        <v>28</v>
      </c>
      <c r="K165">
        <v>30</v>
      </c>
    </row>
    <row r="166" spans="1:11">
      <c r="A166">
        <v>90</v>
      </c>
      <c r="B166" t="b">
        <v>0</v>
      </c>
      <c r="C166" t="s">
        <v>42733</v>
      </c>
      <c r="D166">
        <v>1037022454355</v>
      </c>
      <c r="E166">
        <v>1</v>
      </c>
      <c r="F166">
        <v>6073246435</v>
      </c>
      <c r="G166">
        <v>656900</v>
      </c>
      <c r="H166" t="s">
        <v>40293</v>
      </c>
      <c r="I166">
        <v>380</v>
      </c>
      <c r="J166">
        <v>9</v>
      </c>
      <c r="K166">
        <v>35</v>
      </c>
    </row>
    <row r="167" spans="1:11">
      <c r="A167">
        <v>90</v>
      </c>
      <c r="B167" t="b">
        <v>0</v>
      </c>
      <c r="C167" t="s">
        <v>46209</v>
      </c>
      <c r="D167">
        <v>1037022454355</v>
      </c>
      <c r="E167">
        <v>1</v>
      </c>
      <c r="F167">
        <v>6155070998</v>
      </c>
      <c r="G167">
        <v>650000</v>
      </c>
      <c r="H167" t="s">
        <v>40293</v>
      </c>
      <c r="I167">
        <v>380</v>
      </c>
      <c r="J167">
        <v>17</v>
      </c>
      <c r="K167">
        <v>30</v>
      </c>
    </row>
    <row r="168" spans="1:11">
      <c r="A168">
        <v>90</v>
      </c>
      <c r="B168" t="b">
        <v>0</v>
      </c>
      <c r="C168" t="s">
        <v>45691</v>
      </c>
      <c r="D168">
        <v>1037022454355</v>
      </c>
      <c r="E168">
        <v>1</v>
      </c>
      <c r="F168">
        <v>6157391054</v>
      </c>
      <c r="G168">
        <v>649000</v>
      </c>
      <c r="H168" t="s">
        <v>40293</v>
      </c>
      <c r="I168">
        <v>380</v>
      </c>
      <c r="J168">
        <v>2</v>
      </c>
      <c r="K168">
        <v>2</v>
      </c>
    </row>
    <row r="169" spans="1:11">
      <c r="A169">
        <v>90</v>
      </c>
      <c r="B169" t="b">
        <v>0</v>
      </c>
      <c r="C169" t="s">
        <v>41154</v>
      </c>
      <c r="D169">
        <v>1037022454355</v>
      </c>
      <c r="E169">
        <v>1</v>
      </c>
      <c r="F169">
        <v>6093687644</v>
      </c>
      <c r="G169">
        <v>300000</v>
      </c>
      <c r="H169" t="s">
        <v>40293</v>
      </c>
      <c r="I169">
        <v>393</v>
      </c>
      <c r="J169">
        <v>50</v>
      </c>
      <c r="K169">
        <v>52</v>
      </c>
    </row>
    <row r="170" spans="1:11">
      <c r="A170">
        <v>90</v>
      </c>
      <c r="B170" t="b">
        <v>0</v>
      </c>
      <c r="C170" t="s">
        <v>42054</v>
      </c>
      <c r="D170">
        <v>1037022454355</v>
      </c>
      <c r="E170">
        <v>1</v>
      </c>
      <c r="F170">
        <v>6124312612</v>
      </c>
      <c r="G170">
        <v>199900</v>
      </c>
      <c r="H170" t="s">
        <v>40293</v>
      </c>
      <c r="I170">
        <v>393</v>
      </c>
      <c r="J170">
        <v>9</v>
      </c>
      <c r="K170">
        <v>10</v>
      </c>
    </row>
    <row r="171" spans="1:11">
      <c r="A171">
        <v>90</v>
      </c>
      <c r="B171" t="b">
        <v>0</v>
      </c>
      <c r="C171" t="s">
        <v>41608</v>
      </c>
      <c r="D171">
        <v>1037022454355</v>
      </c>
      <c r="E171">
        <v>1</v>
      </c>
      <c r="F171">
        <v>6094090664</v>
      </c>
      <c r="G171">
        <v>459000</v>
      </c>
      <c r="H171" t="s">
        <v>40293</v>
      </c>
      <c r="I171">
        <v>394</v>
      </c>
      <c r="J171">
        <v>299</v>
      </c>
      <c r="K171">
        <v>300</v>
      </c>
    </row>
    <row r="172" spans="1:11">
      <c r="A172">
        <v>90</v>
      </c>
      <c r="B172" t="b">
        <v>0</v>
      </c>
      <c r="C172" t="s">
        <v>41403</v>
      </c>
      <c r="D172">
        <v>1037022454355</v>
      </c>
      <c r="E172">
        <v>1</v>
      </c>
      <c r="F172">
        <v>6073245170</v>
      </c>
      <c r="G172">
        <v>458300</v>
      </c>
      <c r="H172" t="s">
        <v>40293</v>
      </c>
      <c r="I172">
        <v>394</v>
      </c>
      <c r="J172">
        <v>15</v>
      </c>
      <c r="K172">
        <v>35</v>
      </c>
    </row>
    <row r="173" spans="1:11">
      <c r="A173">
        <v>90</v>
      </c>
      <c r="B173" t="b">
        <v>0</v>
      </c>
      <c r="C173" t="s">
        <v>46203</v>
      </c>
      <c r="D173">
        <v>1037022454355</v>
      </c>
      <c r="E173">
        <v>1</v>
      </c>
      <c r="F173">
        <v>6155070927</v>
      </c>
      <c r="G173">
        <v>450000</v>
      </c>
      <c r="H173" t="s">
        <v>40293</v>
      </c>
      <c r="I173">
        <v>394</v>
      </c>
      <c r="J173">
        <v>41</v>
      </c>
      <c r="K173">
        <v>50</v>
      </c>
    </row>
    <row r="174" spans="1:11">
      <c r="A174">
        <v>90</v>
      </c>
      <c r="B174" t="b">
        <v>0</v>
      </c>
      <c r="C174" t="s">
        <v>41737</v>
      </c>
      <c r="D174">
        <v>1037022454355</v>
      </c>
      <c r="E174">
        <v>1</v>
      </c>
      <c r="F174">
        <v>6099074453</v>
      </c>
      <c r="G174">
        <v>748800</v>
      </c>
      <c r="H174" t="s">
        <v>40293</v>
      </c>
      <c r="I174">
        <v>400</v>
      </c>
      <c r="J174">
        <v>11</v>
      </c>
      <c r="K174">
        <v>11</v>
      </c>
    </row>
    <row r="175" spans="1:11">
      <c r="A175">
        <v>90</v>
      </c>
      <c r="B175" t="b">
        <v>0</v>
      </c>
      <c r="C175" t="s">
        <v>42583</v>
      </c>
      <c r="D175">
        <v>1037022454355</v>
      </c>
      <c r="E175">
        <v>1</v>
      </c>
      <c r="F175">
        <v>6132188261</v>
      </c>
      <c r="G175">
        <v>748400</v>
      </c>
      <c r="H175" t="s">
        <v>40293</v>
      </c>
      <c r="I175">
        <v>400</v>
      </c>
      <c r="J175">
        <v>9</v>
      </c>
      <c r="K175">
        <v>11</v>
      </c>
    </row>
    <row r="176" spans="1:11">
      <c r="A176">
        <v>90</v>
      </c>
      <c r="B176" t="b">
        <v>0</v>
      </c>
      <c r="C176" t="s">
        <v>41540</v>
      </c>
      <c r="D176">
        <v>1037022454355</v>
      </c>
      <c r="E176">
        <v>1</v>
      </c>
      <c r="F176">
        <v>6124968820</v>
      </c>
      <c r="G176">
        <v>250000</v>
      </c>
      <c r="H176" t="s">
        <v>40293</v>
      </c>
      <c r="I176">
        <v>434</v>
      </c>
      <c r="J176">
        <v>47</v>
      </c>
      <c r="K176">
        <v>50</v>
      </c>
    </row>
    <row r="177" spans="1:11">
      <c r="A177">
        <v>90</v>
      </c>
      <c r="B177" t="b">
        <v>0</v>
      </c>
      <c r="C177" t="s">
        <v>43010</v>
      </c>
      <c r="D177">
        <v>1037022454355</v>
      </c>
      <c r="E177">
        <v>1</v>
      </c>
      <c r="F177">
        <v>6138302668</v>
      </c>
      <c r="G177">
        <v>218900</v>
      </c>
      <c r="H177" t="s">
        <v>40293</v>
      </c>
      <c r="I177">
        <v>434</v>
      </c>
      <c r="J177">
        <v>258</v>
      </c>
      <c r="K177">
        <v>290</v>
      </c>
    </row>
    <row r="178" spans="1:11">
      <c r="A178">
        <v>90</v>
      </c>
      <c r="B178" t="b">
        <v>0</v>
      </c>
      <c r="C178" t="s">
        <v>40819</v>
      </c>
      <c r="D178">
        <v>1037022454355</v>
      </c>
      <c r="E178">
        <v>1</v>
      </c>
      <c r="F178">
        <v>6116334863</v>
      </c>
      <c r="G178">
        <v>3295000</v>
      </c>
      <c r="H178" t="s">
        <v>40293</v>
      </c>
      <c r="I178">
        <v>438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43673</v>
      </c>
      <c r="D179">
        <v>1037022454355</v>
      </c>
      <c r="E179">
        <v>1</v>
      </c>
      <c r="F179">
        <v>6138256384</v>
      </c>
      <c r="G179">
        <v>3000000</v>
      </c>
      <c r="H179" t="s">
        <v>40293</v>
      </c>
      <c r="I179">
        <v>438</v>
      </c>
      <c r="J179">
        <v>28</v>
      </c>
      <c r="K179">
        <v>28</v>
      </c>
    </row>
    <row r="180" spans="1:11">
      <c r="A180">
        <v>90</v>
      </c>
      <c r="B180" t="b">
        <v>0</v>
      </c>
      <c r="C180" t="s">
        <v>45953</v>
      </c>
      <c r="D180">
        <v>1037022454355</v>
      </c>
      <c r="E180">
        <v>1</v>
      </c>
      <c r="F180">
        <v>6113779711</v>
      </c>
      <c r="G180">
        <v>2948000</v>
      </c>
      <c r="H180" t="s">
        <v>40293</v>
      </c>
      <c r="I180">
        <v>438</v>
      </c>
      <c r="J180">
        <v>13</v>
      </c>
      <c r="K180">
        <v>25</v>
      </c>
    </row>
    <row r="181" spans="1:11">
      <c r="A181">
        <v>90</v>
      </c>
      <c r="B181" t="b">
        <v>0</v>
      </c>
      <c r="C181" t="s">
        <v>44538</v>
      </c>
      <c r="D181">
        <v>1037022454355</v>
      </c>
      <c r="E181">
        <v>1</v>
      </c>
      <c r="F181">
        <v>6143679341</v>
      </c>
      <c r="G181">
        <v>2925000</v>
      </c>
      <c r="H181" t="s">
        <v>40293</v>
      </c>
      <c r="I181">
        <v>438</v>
      </c>
      <c r="J181">
        <v>6</v>
      </c>
      <c r="K181">
        <v>20</v>
      </c>
    </row>
    <row r="182" spans="1:11">
      <c r="A182">
        <v>90</v>
      </c>
      <c r="B182" t="b">
        <v>0</v>
      </c>
      <c r="C182" t="s">
        <v>44696</v>
      </c>
      <c r="D182">
        <v>1037022454355</v>
      </c>
      <c r="E182">
        <v>1</v>
      </c>
      <c r="F182">
        <v>6136275791</v>
      </c>
      <c r="G182">
        <v>2923000</v>
      </c>
      <c r="H182" t="s">
        <v>40293</v>
      </c>
      <c r="I182">
        <v>438</v>
      </c>
      <c r="J182">
        <v>14</v>
      </c>
      <c r="K182">
        <v>25</v>
      </c>
    </row>
    <row r="183" spans="1:11">
      <c r="A183">
        <v>90</v>
      </c>
      <c r="B183" t="b">
        <v>0</v>
      </c>
      <c r="C183" t="s">
        <v>40417</v>
      </c>
      <c r="D183">
        <v>1037022454355</v>
      </c>
      <c r="E183">
        <v>1</v>
      </c>
      <c r="F183">
        <v>6094621619</v>
      </c>
      <c r="G183">
        <v>986800</v>
      </c>
      <c r="H183" t="s">
        <v>40293</v>
      </c>
      <c r="I183">
        <v>439</v>
      </c>
      <c r="J183">
        <v>32</v>
      </c>
      <c r="K183">
        <v>32</v>
      </c>
    </row>
    <row r="184" spans="1:11">
      <c r="A184">
        <v>90</v>
      </c>
      <c r="B184" t="b">
        <v>0</v>
      </c>
      <c r="C184" t="s">
        <v>41144</v>
      </c>
      <c r="D184">
        <v>1037022454355</v>
      </c>
      <c r="E184">
        <v>1</v>
      </c>
      <c r="F184">
        <v>6112201342</v>
      </c>
      <c r="G184">
        <v>986700</v>
      </c>
      <c r="H184" t="s">
        <v>40293</v>
      </c>
      <c r="I184">
        <v>439</v>
      </c>
      <c r="J184">
        <v>8</v>
      </c>
      <c r="K184">
        <v>8</v>
      </c>
    </row>
    <row r="185" spans="1:11">
      <c r="A185">
        <v>90</v>
      </c>
      <c r="B185" t="b">
        <v>0</v>
      </c>
      <c r="C185" t="s">
        <v>42861</v>
      </c>
      <c r="D185">
        <v>1037022454355</v>
      </c>
      <c r="E185">
        <v>1</v>
      </c>
      <c r="F185">
        <v>6134688334</v>
      </c>
      <c r="G185">
        <v>299700</v>
      </c>
      <c r="H185" t="s">
        <v>40293</v>
      </c>
      <c r="I185">
        <v>439</v>
      </c>
      <c r="J185">
        <v>1</v>
      </c>
      <c r="K185">
        <v>1</v>
      </c>
    </row>
    <row r="186" spans="1:11">
      <c r="A186">
        <v>90</v>
      </c>
      <c r="B186" t="b">
        <v>0</v>
      </c>
      <c r="C186" t="s">
        <v>43217</v>
      </c>
      <c r="D186">
        <v>1037022454355</v>
      </c>
      <c r="E186">
        <v>1</v>
      </c>
      <c r="F186">
        <v>6143911707</v>
      </c>
      <c r="G186">
        <v>298900</v>
      </c>
      <c r="H186" t="s">
        <v>40293</v>
      </c>
      <c r="I186">
        <v>439</v>
      </c>
      <c r="J186">
        <v>20</v>
      </c>
      <c r="K186">
        <v>20</v>
      </c>
    </row>
    <row r="187" spans="1:11">
      <c r="A187">
        <v>90</v>
      </c>
      <c r="B187" t="b">
        <v>0</v>
      </c>
      <c r="C187" t="s">
        <v>42885</v>
      </c>
      <c r="D187">
        <v>1037022454355</v>
      </c>
      <c r="E187">
        <v>1</v>
      </c>
      <c r="F187">
        <v>6112215128</v>
      </c>
      <c r="G187">
        <v>298800</v>
      </c>
      <c r="H187" t="s">
        <v>40293</v>
      </c>
      <c r="I187">
        <v>439</v>
      </c>
      <c r="J187">
        <v>13</v>
      </c>
      <c r="K187">
        <v>50</v>
      </c>
    </row>
    <row r="188" spans="1:11">
      <c r="A188">
        <v>90</v>
      </c>
      <c r="B188" t="b">
        <v>0</v>
      </c>
      <c r="C188" t="s">
        <v>43570</v>
      </c>
      <c r="D188">
        <v>1037022454355</v>
      </c>
      <c r="E188">
        <v>1</v>
      </c>
      <c r="F188">
        <v>6138252745</v>
      </c>
      <c r="G188">
        <v>5200000</v>
      </c>
      <c r="H188" t="s">
        <v>40293</v>
      </c>
      <c r="I188">
        <v>440</v>
      </c>
      <c r="J188">
        <v>16</v>
      </c>
      <c r="K188">
        <v>17</v>
      </c>
    </row>
    <row r="189" spans="1:11">
      <c r="A189">
        <v>90</v>
      </c>
      <c r="B189" t="b">
        <v>0</v>
      </c>
      <c r="C189" t="s">
        <v>43444</v>
      </c>
      <c r="D189">
        <v>1037022454355</v>
      </c>
      <c r="E189">
        <v>1</v>
      </c>
      <c r="F189">
        <v>6128811256</v>
      </c>
      <c r="G189">
        <v>5199000</v>
      </c>
      <c r="H189" t="s">
        <v>40293</v>
      </c>
      <c r="I189">
        <v>440</v>
      </c>
      <c r="J189">
        <v>6</v>
      </c>
      <c r="K189">
        <v>12</v>
      </c>
    </row>
    <row r="190" spans="1:11">
      <c r="A190">
        <v>90</v>
      </c>
      <c r="B190" t="b">
        <v>0</v>
      </c>
      <c r="C190" t="s">
        <v>45428</v>
      </c>
      <c r="D190">
        <v>1037022454355</v>
      </c>
      <c r="E190">
        <v>1</v>
      </c>
      <c r="F190">
        <v>6151550635</v>
      </c>
      <c r="G190">
        <v>5175000</v>
      </c>
      <c r="H190" t="s">
        <v>40293</v>
      </c>
      <c r="I190">
        <v>440</v>
      </c>
      <c r="J190">
        <v>13</v>
      </c>
      <c r="K190">
        <v>20</v>
      </c>
    </row>
    <row r="191" spans="1:11">
      <c r="A191">
        <v>90</v>
      </c>
      <c r="B191" t="b">
        <v>0</v>
      </c>
      <c r="C191" t="s">
        <v>45074</v>
      </c>
      <c r="D191">
        <v>1037022454355</v>
      </c>
      <c r="E191">
        <v>1</v>
      </c>
      <c r="F191">
        <v>6152435031</v>
      </c>
      <c r="G191">
        <v>5150000</v>
      </c>
      <c r="H191" t="s">
        <v>40293</v>
      </c>
      <c r="I191">
        <v>440</v>
      </c>
      <c r="J191">
        <v>11</v>
      </c>
      <c r="K191">
        <v>20</v>
      </c>
    </row>
    <row r="192" spans="1:11">
      <c r="A192">
        <v>90</v>
      </c>
      <c r="B192" t="b">
        <v>0</v>
      </c>
      <c r="C192" t="s">
        <v>45521</v>
      </c>
      <c r="D192">
        <v>1037022454355</v>
      </c>
      <c r="E192">
        <v>1</v>
      </c>
      <c r="F192">
        <v>6150638591</v>
      </c>
      <c r="G192">
        <v>5149000</v>
      </c>
      <c r="H192" t="s">
        <v>40293</v>
      </c>
      <c r="I192">
        <v>440</v>
      </c>
      <c r="J192">
        <v>22</v>
      </c>
      <c r="K192">
        <v>25</v>
      </c>
    </row>
    <row r="193" spans="1:11">
      <c r="A193">
        <v>90</v>
      </c>
      <c r="B193" t="b">
        <v>0</v>
      </c>
      <c r="C193" t="s">
        <v>43615</v>
      </c>
      <c r="D193">
        <v>1037022454355</v>
      </c>
      <c r="E193">
        <v>1</v>
      </c>
      <c r="F193">
        <v>6112236393</v>
      </c>
      <c r="G193">
        <v>99900</v>
      </c>
      <c r="H193" t="s">
        <v>40293</v>
      </c>
      <c r="I193">
        <v>442</v>
      </c>
      <c r="J193">
        <v>10</v>
      </c>
      <c r="K193">
        <v>25</v>
      </c>
    </row>
    <row r="194" spans="1:11">
      <c r="A194">
        <v>90</v>
      </c>
      <c r="B194" t="b">
        <v>0</v>
      </c>
      <c r="C194" t="s">
        <v>46238</v>
      </c>
      <c r="D194">
        <v>1037022454355</v>
      </c>
      <c r="E194">
        <v>1</v>
      </c>
      <c r="F194">
        <v>6101921712</v>
      </c>
      <c r="G194">
        <v>99880</v>
      </c>
      <c r="H194" t="s">
        <v>40293</v>
      </c>
      <c r="I194">
        <v>442</v>
      </c>
      <c r="J194">
        <v>31</v>
      </c>
      <c r="K194">
        <v>50</v>
      </c>
    </row>
    <row r="195" spans="1:11">
      <c r="A195">
        <v>90</v>
      </c>
      <c r="B195" t="b">
        <v>0</v>
      </c>
      <c r="C195" t="s">
        <v>42022</v>
      </c>
      <c r="D195">
        <v>1037022454355</v>
      </c>
      <c r="E195">
        <v>1</v>
      </c>
      <c r="F195">
        <v>6129257396</v>
      </c>
      <c r="G195">
        <v>150100</v>
      </c>
      <c r="H195" t="s">
        <v>40293</v>
      </c>
      <c r="I195">
        <v>444</v>
      </c>
      <c r="J195">
        <v>6</v>
      </c>
      <c r="K195">
        <v>6</v>
      </c>
    </row>
    <row r="196" spans="1:11">
      <c r="A196">
        <v>90</v>
      </c>
      <c r="B196" t="b">
        <v>0</v>
      </c>
      <c r="C196" t="s">
        <v>42134</v>
      </c>
      <c r="D196">
        <v>1037022454355</v>
      </c>
      <c r="E196">
        <v>1</v>
      </c>
      <c r="F196">
        <v>6129369337</v>
      </c>
      <c r="G196">
        <v>150000</v>
      </c>
      <c r="H196" t="s">
        <v>40293</v>
      </c>
      <c r="I196">
        <v>444</v>
      </c>
      <c r="J196">
        <v>22</v>
      </c>
      <c r="K196">
        <v>67</v>
      </c>
    </row>
    <row r="197" spans="1:11">
      <c r="A197">
        <v>90</v>
      </c>
      <c r="B197" t="b">
        <v>0</v>
      </c>
      <c r="C197" t="s">
        <v>40345</v>
      </c>
      <c r="D197">
        <v>1037022454355</v>
      </c>
      <c r="E197">
        <v>1</v>
      </c>
      <c r="F197">
        <v>6123849029</v>
      </c>
      <c r="G197">
        <v>1974000</v>
      </c>
      <c r="H197" t="s">
        <v>40293</v>
      </c>
      <c r="I197">
        <v>448</v>
      </c>
      <c r="J197">
        <v>67</v>
      </c>
      <c r="K197">
        <v>100</v>
      </c>
    </row>
    <row r="198" spans="1:11">
      <c r="A198">
        <v>90</v>
      </c>
      <c r="B198" t="b">
        <v>0</v>
      </c>
      <c r="C198" t="s">
        <v>42800</v>
      </c>
      <c r="D198">
        <v>1037022454355</v>
      </c>
      <c r="E198">
        <v>1</v>
      </c>
      <c r="F198">
        <v>6081966323</v>
      </c>
      <c r="G198">
        <v>1950000</v>
      </c>
      <c r="H198" t="s">
        <v>40293</v>
      </c>
      <c r="I198">
        <v>448</v>
      </c>
      <c r="J198">
        <v>70</v>
      </c>
      <c r="K198">
        <v>100</v>
      </c>
    </row>
    <row r="199" spans="1:11">
      <c r="A199">
        <v>90</v>
      </c>
      <c r="B199" t="b">
        <v>0</v>
      </c>
      <c r="C199" t="s">
        <v>44063</v>
      </c>
      <c r="D199">
        <v>1037022454355</v>
      </c>
      <c r="E199">
        <v>1</v>
      </c>
      <c r="F199">
        <v>6152946037</v>
      </c>
      <c r="G199">
        <v>1949000</v>
      </c>
      <c r="H199" t="s">
        <v>40293</v>
      </c>
      <c r="I199">
        <v>448</v>
      </c>
      <c r="J199">
        <v>21</v>
      </c>
      <c r="K199">
        <v>25</v>
      </c>
    </row>
    <row r="200" spans="1:11">
      <c r="A200">
        <v>90</v>
      </c>
      <c r="B200" t="b">
        <v>0</v>
      </c>
      <c r="C200" t="s">
        <v>44278</v>
      </c>
      <c r="D200">
        <v>1037022454355</v>
      </c>
      <c r="E200">
        <v>1</v>
      </c>
      <c r="F200">
        <v>6153366747</v>
      </c>
      <c r="G200">
        <v>1920000</v>
      </c>
      <c r="H200" t="s">
        <v>40293</v>
      </c>
      <c r="I200">
        <v>448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45764</v>
      </c>
      <c r="D201">
        <v>1037022454355</v>
      </c>
      <c r="E201">
        <v>1</v>
      </c>
      <c r="F201">
        <v>6153394075</v>
      </c>
      <c r="G201">
        <v>1900000</v>
      </c>
      <c r="H201" t="s">
        <v>40293</v>
      </c>
      <c r="I201">
        <v>448</v>
      </c>
      <c r="J201">
        <v>9</v>
      </c>
      <c r="K201">
        <v>11</v>
      </c>
    </row>
    <row r="202" spans="1:11">
      <c r="A202">
        <v>90</v>
      </c>
      <c r="B202" t="b">
        <v>0</v>
      </c>
      <c r="C202" t="s">
        <v>44422</v>
      </c>
      <c r="D202">
        <v>1037022454355</v>
      </c>
      <c r="E202">
        <v>1</v>
      </c>
      <c r="F202">
        <v>6136239330</v>
      </c>
      <c r="G202">
        <v>1899000</v>
      </c>
      <c r="H202" t="s">
        <v>40293</v>
      </c>
      <c r="I202">
        <v>448</v>
      </c>
      <c r="J202">
        <v>79</v>
      </c>
      <c r="K202">
        <v>100</v>
      </c>
    </row>
    <row r="203" spans="1:11">
      <c r="A203">
        <v>90</v>
      </c>
      <c r="B203" t="b">
        <v>0</v>
      </c>
      <c r="C203" t="s">
        <v>44711</v>
      </c>
      <c r="D203">
        <v>1037022454355</v>
      </c>
      <c r="E203">
        <v>1</v>
      </c>
      <c r="F203">
        <v>6131852279</v>
      </c>
      <c r="G203">
        <v>1899000</v>
      </c>
      <c r="H203" t="s">
        <v>40293</v>
      </c>
      <c r="I203">
        <v>448</v>
      </c>
      <c r="J203">
        <v>67</v>
      </c>
      <c r="K203">
        <v>91</v>
      </c>
    </row>
    <row r="204" spans="1:11">
      <c r="A204">
        <v>90</v>
      </c>
      <c r="B204" t="b">
        <v>0</v>
      </c>
      <c r="C204" t="s">
        <v>46134</v>
      </c>
      <c r="D204">
        <v>1037022454355</v>
      </c>
      <c r="E204">
        <v>1</v>
      </c>
      <c r="F204">
        <v>6155070001</v>
      </c>
      <c r="G204">
        <v>1875000</v>
      </c>
      <c r="H204" t="s">
        <v>40293</v>
      </c>
      <c r="I204">
        <v>448</v>
      </c>
      <c r="J204">
        <v>35</v>
      </c>
      <c r="K204">
        <v>60</v>
      </c>
    </row>
    <row r="205" spans="1:11">
      <c r="A205">
        <v>90</v>
      </c>
      <c r="B205" t="b">
        <v>0</v>
      </c>
      <c r="C205" t="s">
        <v>43780</v>
      </c>
      <c r="D205">
        <v>1037022454355</v>
      </c>
      <c r="E205">
        <v>1</v>
      </c>
      <c r="F205">
        <v>6143797637</v>
      </c>
      <c r="G205">
        <v>3990000</v>
      </c>
      <c r="H205" t="s">
        <v>40293</v>
      </c>
      <c r="I205">
        <v>463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41343</v>
      </c>
      <c r="D206">
        <v>1037022454355</v>
      </c>
      <c r="E206">
        <v>1</v>
      </c>
      <c r="F206">
        <v>6094870498</v>
      </c>
      <c r="G206">
        <v>981000</v>
      </c>
      <c r="H206" t="s">
        <v>40293</v>
      </c>
      <c r="I206">
        <v>482</v>
      </c>
      <c r="J206">
        <v>30</v>
      </c>
      <c r="K206">
        <v>30</v>
      </c>
    </row>
    <row r="207" spans="1:11">
      <c r="A207">
        <v>90</v>
      </c>
      <c r="B207" t="b">
        <v>0</v>
      </c>
      <c r="C207" t="s">
        <v>40918</v>
      </c>
      <c r="D207">
        <v>1037022454355</v>
      </c>
      <c r="E207">
        <v>1</v>
      </c>
      <c r="F207">
        <v>6067861417</v>
      </c>
      <c r="G207">
        <v>979000</v>
      </c>
      <c r="H207" t="s">
        <v>40293</v>
      </c>
      <c r="I207">
        <v>482</v>
      </c>
      <c r="J207">
        <v>9</v>
      </c>
      <c r="K207">
        <v>16</v>
      </c>
    </row>
    <row r="208" spans="1:11">
      <c r="A208">
        <v>90</v>
      </c>
      <c r="B208" t="b">
        <v>0</v>
      </c>
      <c r="C208" t="s">
        <v>41793</v>
      </c>
      <c r="D208">
        <v>1037022454355</v>
      </c>
      <c r="E208">
        <v>1</v>
      </c>
      <c r="F208">
        <v>6128424755</v>
      </c>
      <c r="G208">
        <v>975000</v>
      </c>
      <c r="H208" t="s">
        <v>40293</v>
      </c>
      <c r="I208">
        <v>482</v>
      </c>
      <c r="J208">
        <v>50</v>
      </c>
      <c r="K208">
        <v>50</v>
      </c>
    </row>
    <row r="209" spans="1:11">
      <c r="A209">
        <v>90</v>
      </c>
      <c r="B209" t="b">
        <v>0</v>
      </c>
      <c r="C209" t="s">
        <v>41799</v>
      </c>
      <c r="D209">
        <v>1037022454355</v>
      </c>
      <c r="E209">
        <v>1</v>
      </c>
      <c r="F209">
        <v>6128545088</v>
      </c>
      <c r="G209">
        <v>974800</v>
      </c>
      <c r="H209" t="s">
        <v>40293</v>
      </c>
      <c r="I209">
        <v>482</v>
      </c>
      <c r="J209">
        <v>2</v>
      </c>
      <c r="K209">
        <v>2</v>
      </c>
    </row>
    <row r="210" spans="1:11">
      <c r="A210">
        <v>90</v>
      </c>
      <c r="B210" t="b">
        <v>0</v>
      </c>
      <c r="C210" t="s">
        <v>41836</v>
      </c>
      <c r="D210">
        <v>1037022454355</v>
      </c>
      <c r="E210">
        <v>1</v>
      </c>
      <c r="F210">
        <v>6073786744</v>
      </c>
      <c r="G210">
        <v>974700</v>
      </c>
      <c r="H210" t="s">
        <v>40293</v>
      </c>
      <c r="I210">
        <v>482</v>
      </c>
      <c r="J210">
        <v>4</v>
      </c>
      <c r="K210">
        <v>26</v>
      </c>
    </row>
    <row r="211" spans="1:11">
      <c r="A211">
        <v>90</v>
      </c>
      <c r="B211" t="b">
        <v>0</v>
      </c>
      <c r="C211" t="s">
        <v>42534</v>
      </c>
      <c r="D211">
        <v>1037022454355</v>
      </c>
      <c r="E211">
        <v>1</v>
      </c>
      <c r="F211">
        <v>6133070489</v>
      </c>
      <c r="G211">
        <v>974500</v>
      </c>
      <c r="H211" t="s">
        <v>40293</v>
      </c>
      <c r="I211">
        <v>482</v>
      </c>
      <c r="J211">
        <v>20</v>
      </c>
      <c r="K211">
        <v>23</v>
      </c>
    </row>
    <row r="212" spans="1:11">
      <c r="A212">
        <v>90</v>
      </c>
      <c r="B212" t="b">
        <v>0</v>
      </c>
      <c r="C212" t="s">
        <v>46093</v>
      </c>
      <c r="D212">
        <v>1037022454355</v>
      </c>
      <c r="E212">
        <v>1</v>
      </c>
      <c r="F212">
        <v>6152677251</v>
      </c>
      <c r="G212">
        <v>974300</v>
      </c>
      <c r="H212" t="s">
        <v>40293</v>
      </c>
      <c r="I212">
        <v>482</v>
      </c>
      <c r="J212">
        <v>10</v>
      </c>
      <c r="K212">
        <v>14</v>
      </c>
    </row>
    <row r="213" spans="1:11">
      <c r="A213">
        <v>90</v>
      </c>
      <c r="B213" t="b">
        <v>0</v>
      </c>
      <c r="C213" t="s">
        <v>45060</v>
      </c>
      <c r="D213">
        <v>1037022454355</v>
      </c>
      <c r="E213">
        <v>1</v>
      </c>
      <c r="F213">
        <v>6145651935</v>
      </c>
      <c r="G213">
        <v>974200</v>
      </c>
      <c r="H213" t="s">
        <v>40293</v>
      </c>
      <c r="I213">
        <v>482</v>
      </c>
      <c r="J213">
        <v>9</v>
      </c>
      <c r="K213">
        <v>25</v>
      </c>
    </row>
    <row r="214" spans="1:11">
      <c r="A214">
        <v>90</v>
      </c>
      <c r="B214" t="b">
        <v>0</v>
      </c>
      <c r="C214" t="s">
        <v>45385</v>
      </c>
      <c r="D214">
        <v>1037022454355</v>
      </c>
      <c r="E214">
        <v>1</v>
      </c>
      <c r="F214">
        <v>6155919611</v>
      </c>
      <c r="G214">
        <v>250000</v>
      </c>
      <c r="H214" t="s">
        <v>40293</v>
      </c>
      <c r="I214">
        <v>483</v>
      </c>
      <c r="J214">
        <v>2</v>
      </c>
      <c r="K214">
        <v>2</v>
      </c>
    </row>
    <row r="215" spans="1:11">
      <c r="A215">
        <v>90</v>
      </c>
      <c r="B215" t="b">
        <v>0</v>
      </c>
      <c r="C215" t="s">
        <v>41083</v>
      </c>
      <c r="D215">
        <v>1037022454355</v>
      </c>
      <c r="E215">
        <v>1</v>
      </c>
      <c r="F215">
        <v>6093686295</v>
      </c>
      <c r="G215">
        <v>250000</v>
      </c>
      <c r="H215" t="s">
        <v>40293</v>
      </c>
      <c r="I215">
        <v>483</v>
      </c>
      <c r="J215">
        <v>28</v>
      </c>
      <c r="K215">
        <v>69</v>
      </c>
    </row>
    <row r="216" spans="1:11">
      <c r="A216">
        <v>90</v>
      </c>
      <c r="B216" t="b">
        <v>0</v>
      </c>
      <c r="C216" t="s">
        <v>41184</v>
      </c>
      <c r="D216">
        <v>1037022454355</v>
      </c>
      <c r="E216">
        <v>1</v>
      </c>
      <c r="F216">
        <v>6115478838</v>
      </c>
      <c r="G216">
        <v>200000</v>
      </c>
      <c r="H216" t="s">
        <v>40293</v>
      </c>
      <c r="I216">
        <v>490</v>
      </c>
      <c r="J216">
        <v>4</v>
      </c>
      <c r="K216">
        <v>20</v>
      </c>
    </row>
    <row r="217" spans="1:11">
      <c r="A217">
        <v>30</v>
      </c>
      <c r="B217" t="b">
        <v>0</v>
      </c>
      <c r="C217" t="s">
        <v>46358</v>
      </c>
      <c r="D217">
        <v>1037022454355</v>
      </c>
      <c r="E217">
        <v>1</v>
      </c>
      <c r="F217">
        <v>6148650508</v>
      </c>
      <c r="G217">
        <v>60010</v>
      </c>
      <c r="H217" t="s">
        <v>40293</v>
      </c>
      <c r="I217">
        <v>490</v>
      </c>
      <c r="J217">
        <v>4</v>
      </c>
      <c r="K217">
        <v>8</v>
      </c>
    </row>
    <row r="218" spans="1:11">
      <c r="A218">
        <v>90</v>
      </c>
      <c r="B218" t="b">
        <v>0</v>
      </c>
      <c r="C218" t="s">
        <v>43733</v>
      </c>
      <c r="D218">
        <v>1037022454355</v>
      </c>
      <c r="E218">
        <v>1</v>
      </c>
      <c r="F218">
        <v>6138192876</v>
      </c>
      <c r="G218">
        <v>990000</v>
      </c>
      <c r="H218" t="s">
        <v>40293</v>
      </c>
      <c r="I218">
        <v>499</v>
      </c>
      <c r="J218">
        <v>4</v>
      </c>
      <c r="K218">
        <v>4</v>
      </c>
    </row>
    <row r="219" spans="1:11">
      <c r="A219">
        <v>90</v>
      </c>
      <c r="B219" t="b">
        <v>0</v>
      </c>
      <c r="C219" t="s">
        <v>43140</v>
      </c>
      <c r="D219">
        <v>1037022454355</v>
      </c>
      <c r="E219">
        <v>1</v>
      </c>
      <c r="F219">
        <v>6123494762</v>
      </c>
      <c r="G219">
        <v>989900</v>
      </c>
      <c r="H219" t="s">
        <v>40293</v>
      </c>
      <c r="I219">
        <v>499</v>
      </c>
      <c r="J219">
        <v>5</v>
      </c>
      <c r="K219">
        <v>20</v>
      </c>
    </row>
    <row r="220" spans="1:11">
      <c r="A220">
        <v>90</v>
      </c>
      <c r="B220" t="b">
        <v>0</v>
      </c>
      <c r="C220" t="s">
        <v>42042</v>
      </c>
      <c r="D220">
        <v>1037022454355</v>
      </c>
      <c r="E220">
        <v>1</v>
      </c>
      <c r="F220">
        <v>6131618144</v>
      </c>
      <c r="G220">
        <v>200000</v>
      </c>
      <c r="H220" t="s">
        <v>40293</v>
      </c>
      <c r="I220">
        <v>501</v>
      </c>
      <c r="J220">
        <v>39</v>
      </c>
      <c r="K220">
        <v>50</v>
      </c>
    </row>
    <row r="221" spans="1:11">
      <c r="A221">
        <v>90</v>
      </c>
      <c r="B221" t="b">
        <v>0</v>
      </c>
      <c r="C221" t="s">
        <v>40664</v>
      </c>
      <c r="D221">
        <v>1037022454355</v>
      </c>
      <c r="E221">
        <v>1</v>
      </c>
      <c r="F221">
        <v>6111141840</v>
      </c>
      <c r="G221">
        <v>2300000</v>
      </c>
      <c r="H221" t="s">
        <v>40293</v>
      </c>
      <c r="I221">
        <v>519</v>
      </c>
      <c r="J221">
        <v>10</v>
      </c>
      <c r="K221">
        <v>10</v>
      </c>
    </row>
    <row r="222" spans="1:11">
      <c r="A222">
        <v>90</v>
      </c>
      <c r="B222" t="b">
        <v>0</v>
      </c>
      <c r="C222" t="s">
        <v>40673</v>
      </c>
      <c r="D222">
        <v>1037022454355</v>
      </c>
      <c r="E222">
        <v>1</v>
      </c>
      <c r="F222">
        <v>6111142008</v>
      </c>
      <c r="G222">
        <v>2200000</v>
      </c>
      <c r="H222" t="s">
        <v>40293</v>
      </c>
      <c r="I222">
        <v>519</v>
      </c>
      <c r="J222">
        <v>10</v>
      </c>
      <c r="K222">
        <v>10</v>
      </c>
    </row>
    <row r="223" spans="1:11">
      <c r="A223">
        <v>90</v>
      </c>
      <c r="B223" t="b">
        <v>0</v>
      </c>
      <c r="C223" t="s">
        <v>40678</v>
      </c>
      <c r="D223">
        <v>1037022454355</v>
      </c>
      <c r="E223">
        <v>1</v>
      </c>
      <c r="F223">
        <v>6111142157</v>
      </c>
      <c r="G223">
        <v>2100000</v>
      </c>
      <c r="H223" t="s">
        <v>40293</v>
      </c>
      <c r="I223">
        <v>519</v>
      </c>
      <c r="J223">
        <v>10</v>
      </c>
      <c r="K223">
        <v>10</v>
      </c>
    </row>
    <row r="224" spans="1:11">
      <c r="A224">
        <v>90</v>
      </c>
      <c r="B224" t="b">
        <v>0</v>
      </c>
      <c r="C224" t="s">
        <v>41690</v>
      </c>
      <c r="D224">
        <v>1037022454355</v>
      </c>
      <c r="E224">
        <v>1</v>
      </c>
      <c r="F224">
        <v>6111142339</v>
      </c>
      <c r="G224">
        <v>2000000</v>
      </c>
      <c r="H224" t="s">
        <v>40293</v>
      </c>
      <c r="I224">
        <v>519</v>
      </c>
      <c r="J224">
        <v>10</v>
      </c>
      <c r="K224">
        <v>10</v>
      </c>
    </row>
    <row r="225" spans="1:11">
      <c r="A225">
        <v>90</v>
      </c>
      <c r="B225" t="b">
        <v>0</v>
      </c>
      <c r="C225" t="s">
        <v>40694</v>
      </c>
      <c r="D225">
        <v>1037022454355</v>
      </c>
      <c r="E225">
        <v>1</v>
      </c>
      <c r="F225">
        <v>6111142593</v>
      </c>
      <c r="G225">
        <v>1900000</v>
      </c>
      <c r="H225" t="s">
        <v>40293</v>
      </c>
      <c r="I225">
        <v>519</v>
      </c>
      <c r="J225">
        <v>10</v>
      </c>
      <c r="K225">
        <v>10</v>
      </c>
    </row>
    <row r="226" spans="1:11">
      <c r="A226">
        <v>90</v>
      </c>
      <c r="B226" t="b">
        <v>0</v>
      </c>
      <c r="C226" t="s">
        <v>40531</v>
      </c>
      <c r="D226">
        <v>1037022454355</v>
      </c>
      <c r="E226">
        <v>1</v>
      </c>
      <c r="F226">
        <v>6111143273</v>
      </c>
      <c r="G226">
        <v>1800000</v>
      </c>
      <c r="H226" t="s">
        <v>40293</v>
      </c>
      <c r="I226">
        <v>519</v>
      </c>
      <c r="J226">
        <v>10</v>
      </c>
      <c r="K226">
        <v>10</v>
      </c>
    </row>
    <row r="227" spans="1:11">
      <c r="A227">
        <v>90</v>
      </c>
      <c r="B227" t="b">
        <v>0</v>
      </c>
      <c r="C227" t="s">
        <v>41751</v>
      </c>
      <c r="D227">
        <v>1037022454355</v>
      </c>
      <c r="E227">
        <v>1</v>
      </c>
      <c r="F227">
        <v>6118735565</v>
      </c>
      <c r="G227">
        <v>1790000</v>
      </c>
      <c r="H227" t="s">
        <v>40293</v>
      </c>
      <c r="I227">
        <v>519</v>
      </c>
      <c r="J227">
        <v>10</v>
      </c>
      <c r="K227">
        <v>10</v>
      </c>
    </row>
    <row r="228" spans="1:11">
      <c r="A228">
        <v>90</v>
      </c>
      <c r="B228" t="b">
        <v>0</v>
      </c>
      <c r="C228" t="s">
        <v>41763</v>
      </c>
      <c r="D228">
        <v>1037022454355</v>
      </c>
      <c r="E228">
        <v>1</v>
      </c>
      <c r="F228">
        <v>6118735859</v>
      </c>
      <c r="G228">
        <v>1785000</v>
      </c>
      <c r="H228" t="s">
        <v>40293</v>
      </c>
      <c r="I228">
        <v>519</v>
      </c>
      <c r="J228">
        <v>10</v>
      </c>
      <c r="K228">
        <v>10</v>
      </c>
    </row>
    <row r="229" spans="1:11">
      <c r="A229">
        <v>90</v>
      </c>
      <c r="B229" t="b">
        <v>0</v>
      </c>
      <c r="C229" t="s">
        <v>40955</v>
      </c>
      <c r="D229">
        <v>1037022454355</v>
      </c>
      <c r="E229">
        <v>1</v>
      </c>
      <c r="F229">
        <v>6119930696</v>
      </c>
      <c r="G229">
        <v>1784000</v>
      </c>
      <c r="H229" t="s">
        <v>40293</v>
      </c>
      <c r="I229">
        <v>519</v>
      </c>
      <c r="J229">
        <v>1</v>
      </c>
      <c r="K229">
        <v>11</v>
      </c>
    </row>
    <row r="230" spans="1:11">
      <c r="A230">
        <v>90</v>
      </c>
      <c r="B230" t="b">
        <v>0</v>
      </c>
      <c r="C230" t="s">
        <v>42497</v>
      </c>
      <c r="D230">
        <v>1037022454355</v>
      </c>
      <c r="E230">
        <v>1</v>
      </c>
      <c r="F230">
        <v>6132610000</v>
      </c>
      <c r="G230">
        <v>1498000</v>
      </c>
      <c r="H230" t="s">
        <v>40293</v>
      </c>
      <c r="I230">
        <v>519</v>
      </c>
      <c r="J230">
        <v>10</v>
      </c>
      <c r="K230">
        <v>10</v>
      </c>
    </row>
    <row r="231" spans="1:11">
      <c r="A231">
        <v>90</v>
      </c>
      <c r="B231" t="b">
        <v>0</v>
      </c>
      <c r="C231" t="s">
        <v>45030</v>
      </c>
      <c r="D231">
        <v>1037022454355</v>
      </c>
      <c r="E231">
        <v>1</v>
      </c>
      <c r="F231">
        <v>6152401727</v>
      </c>
      <c r="G231">
        <v>1462000</v>
      </c>
      <c r="H231" t="s">
        <v>40293</v>
      </c>
      <c r="I231">
        <v>519</v>
      </c>
      <c r="J231">
        <v>2</v>
      </c>
      <c r="K231">
        <v>3</v>
      </c>
    </row>
    <row r="232" spans="1:11">
      <c r="A232">
        <v>90</v>
      </c>
      <c r="B232" t="b">
        <v>0</v>
      </c>
      <c r="C232" t="s">
        <v>44278</v>
      </c>
      <c r="D232">
        <v>1037022454355</v>
      </c>
      <c r="E232">
        <v>1</v>
      </c>
      <c r="F232">
        <v>6153366732</v>
      </c>
      <c r="G232">
        <v>1460000</v>
      </c>
      <c r="H232" t="s">
        <v>40293</v>
      </c>
      <c r="I232">
        <v>519</v>
      </c>
      <c r="J232">
        <v>2</v>
      </c>
      <c r="K232">
        <v>2</v>
      </c>
    </row>
    <row r="233" spans="1:11">
      <c r="A233">
        <v>90</v>
      </c>
      <c r="B233" t="b">
        <v>0</v>
      </c>
      <c r="C233" t="s">
        <v>45523</v>
      </c>
      <c r="D233">
        <v>1037022454355</v>
      </c>
      <c r="E233">
        <v>1</v>
      </c>
      <c r="F233">
        <v>6153423880</v>
      </c>
      <c r="G233">
        <v>1459000</v>
      </c>
      <c r="H233" t="s">
        <v>40293</v>
      </c>
      <c r="I233">
        <v>519</v>
      </c>
      <c r="J233">
        <v>23</v>
      </c>
      <c r="K233">
        <v>23</v>
      </c>
    </row>
    <row r="234" spans="1:11">
      <c r="A234">
        <v>90</v>
      </c>
      <c r="B234" t="b">
        <v>0</v>
      </c>
      <c r="C234" t="s">
        <v>45450</v>
      </c>
      <c r="D234">
        <v>1037022454355</v>
      </c>
      <c r="E234">
        <v>1</v>
      </c>
      <c r="F234">
        <v>6156732627</v>
      </c>
      <c r="G234">
        <v>1452000</v>
      </c>
      <c r="H234" t="s">
        <v>40293</v>
      </c>
      <c r="I234">
        <v>519</v>
      </c>
      <c r="J234">
        <v>11</v>
      </c>
      <c r="K234">
        <v>14</v>
      </c>
    </row>
    <row r="235" spans="1:11">
      <c r="A235">
        <v>90</v>
      </c>
      <c r="B235" t="b">
        <v>0</v>
      </c>
      <c r="C235" t="s">
        <v>40862</v>
      </c>
      <c r="D235">
        <v>1037022454355</v>
      </c>
      <c r="E235">
        <v>1</v>
      </c>
      <c r="F235">
        <v>6124286771</v>
      </c>
      <c r="G235">
        <v>200000</v>
      </c>
      <c r="H235" t="s">
        <v>40293</v>
      </c>
      <c r="I235">
        <v>520</v>
      </c>
      <c r="J235">
        <v>30</v>
      </c>
      <c r="K235">
        <v>30</v>
      </c>
    </row>
    <row r="236" spans="1:11">
      <c r="A236">
        <v>90</v>
      </c>
      <c r="B236" t="b">
        <v>0</v>
      </c>
      <c r="C236" t="s">
        <v>41938</v>
      </c>
      <c r="D236">
        <v>1037022454355</v>
      </c>
      <c r="E236">
        <v>1</v>
      </c>
      <c r="F236">
        <v>6127115338</v>
      </c>
      <c r="G236">
        <v>199000</v>
      </c>
      <c r="H236" t="s">
        <v>40293</v>
      </c>
      <c r="I236">
        <v>520</v>
      </c>
      <c r="J236">
        <v>1</v>
      </c>
      <c r="K236">
        <v>3</v>
      </c>
    </row>
    <row r="237" spans="1:11">
      <c r="A237">
        <v>90</v>
      </c>
      <c r="B237" t="b">
        <v>0</v>
      </c>
      <c r="C237" t="s">
        <v>43859</v>
      </c>
      <c r="D237">
        <v>1037022454355</v>
      </c>
      <c r="E237">
        <v>1</v>
      </c>
      <c r="F237">
        <v>6142850521</v>
      </c>
      <c r="G237">
        <v>139000</v>
      </c>
      <c r="H237" t="s">
        <v>40293</v>
      </c>
      <c r="I237">
        <v>526</v>
      </c>
      <c r="J237">
        <v>1</v>
      </c>
      <c r="K237">
        <v>2</v>
      </c>
    </row>
    <row r="238" spans="1:11">
      <c r="A238">
        <v>90</v>
      </c>
      <c r="B238" t="b">
        <v>0</v>
      </c>
      <c r="C238" t="s">
        <v>43090</v>
      </c>
      <c r="D238">
        <v>1037022454355</v>
      </c>
      <c r="E238">
        <v>1</v>
      </c>
      <c r="F238">
        <v>6099835131</v>
      </c>
      <c r="G238">
        <v>138900</v>
      </c>
      <c r="H238" t="s">
        <v>40293</v>
      </c>
      <c r="I238">
        <v>526</v>
      </c>
      <c r="J238">
        <v>4</v>
      </c>
      <c r="K238">
        <v>20</v>
      </c>
    </row>
    <row r="239" spans="1:11">
      <c r="A239">
        <v>90</v>
      </c>
      <c r="B239" t="b">
        <v>0</v>
      </c>
      <c r="C239" t="s">
        <v>40752</v>
      </c>
      <c r="D239">
        <v>1037022454355</v>
      </c>
      <c r="E239">
        <v>1</v>
      </c>
      <c r="F239">
        <v>6119932876</v>
      </c>
      <c r="G239">
        <v>1455000</v>
      </c>
      <c r="H239" t="s">
        <v>40293</v>
      </c>
      <c r="I239">
        <v>527</v>
      </c>
      <c r="J239">
        <v>6</v>
      </c>
      <c r="K239">
        <v>18</v>
      </c>
    </row>
    <row r="240" spans="1:11">
      <c r="A240">
        <v>90</v>
      </c>
      <c r="B240" t="b">
        <v>0</v>
      </c>
      <c r="C240" t="s">
        <v>42113</v>
      </c>
      <c r="D240">
        <v>1037022454355</v>
      </c>
      <c r="E240">
        <v>1</v>
      </c>
      <c r="F240">
        <v>6131594655</v>
      </c>
      <c r="G240">
        <v>1320000</v>
      </c>
      <c r="H240" t="s">
        <v>40293</v>
      </c>
      <c r="I240">
        <v>527</v>
      </c>
      <c r="J240">
        <v>8</v>
      </c>
      <c r="K240">
        <v>35</v>
      </c>
    </row>
    <row r="241" spans="1:11">
      <c r="A241">
        <v>90</v>
      </c>
      <c r="B241" t="b">
        <v>0</v>
      </c>
      <c r="C241" t="s">
        <v>44278</v>
      </c>
      <c r="D241">
        <v>1037022454355</v>
      </c>
      <c r="E241">
        <v>1</v>
      </c>
      <c r="F241">
        <v>6153366746</v>
      </c>
      <c r="G241">
        <v>1280000</v>
      </c>
      <c r="H241" t="s">
        <v>40293</v>
      </c>
      <c r="I241">
        <v>527</v>
      </c>
      <c r="J241">
        <v>2</v>
      </c>
      <c r="K241">
        <v>2</v>
      </c>
    </row>
    <row r="242" spans="1:11">
      <c r="A242">
        <v>90</v>
      </c>
      <c r="B242" t="b">
        <v>0</v>
      </c>
      <c r="C242" t="s">
        <v>45957</v>
      </c>
      <c r="D242">
        <v>1037022454355</v>
      </c>
      <c r="E242">
        <v>1</v>
      </c>
      <c r="F242">
        <v>6153396249</v>
      </c>
      <c r="G242">
        <v>1250000</v>
      </c>
      <c r="H242" t="s">
        <v>40293</v>
      </c>
      <c r="I242">
        <v>527</v>
      </c>
      <c r="J242">
        <v>2</v>
      </c>
      <c r="K242">
        <v>3</v>
      </c>
    </row>
    <row r="243" spans="1:11">
      <c r="A243">
        <v>90</v>
      </c>
      <c r="B243" t="b">
        <v>0</v>
      </c>
      <c r="C243" t="s">
        <v>44424</v>
      </c>
      <c r="D243">
        <v>1037022454355</v>
      </c>
      <c r="E243">
        <v>1</v>
      </c>
      <c r="F243">
        <v>6136239332</v>
      </c>
      <c r="G243">
        <v>1248000</v>
      </c>
      <c r="H243" t="s">
        <v>40293</v>
      </c>
      <c r="I243">
        <v>527</v>
      </c>
      <c r="J243">
        <v>19</v>
      </c>
      <c r="K243">
        <v>160</v>
      </c>
    </row>
    <row r="244" spans="1:11">
      <c r="A244">
        <v>90</v>
      </c>
      <c r="B244" t="b">
        <v>0</v>
      </c>
      <c r="C244" t="s">
        <v>45947</v>
      </c>
      <c r="D244">
        <v>1037022454355</v>
      </c>
      <c r="E244">
        <v>1</v>
      </c>
      <c r="F244">
        <v>6136586123</v>
      </c>
      <c r="G244">
        <v>1245000</v>
      </c>
      <c r="H244" t="s">
        <v>40293</v>
      </c>
      <c r="I244">
        <v>527</v>
      </c>
      <c r="J244">
        <v>43</v>
      </c>
      <c r="K244">
        <v>60</v>
      </c>
    </row>
    <row r="245" spans="1:11">
      <c r="A245">
        <v>90</v>
      </c>
      <c r="B245" t="b">
        <v>0</v>
      </c>
      <c r="C245" t="s">
        <v>44855</v>
      </c>
      <c r="D245">
        <v>1037022454355</v>
      </c>
      <c r="E245">
        <v>1</v>
      </c>
      <c r="F245">
        <v>6130576076</v>
      </c>
      <c r="G245">
        <v>1244000</v>
      </c>
      <c r="H245" t="s">
        <v>40293</v>
      </c>
      <c r="I245">
        <v>527</v>
      </c>
      <c r="J245">
        <v>11</v>
      </c>
      <c r="K245">
        <v>25</v>
      </c>
    </row>
    <row r="246" spans="1:11">
      <c r="A246">
        <v>90</v>
      </c>
      <c r="B246" t="b">
        <v>0</v>
      </c>
      <c r="C246" t="s">
        <v>46052</v>
      </c>
      <c r="D246">
        <v>1037022454355</v>
      </c>
      <c r="E246">
        <v>1</v>
      </c>
      <c r="F246">
        <v>6156735030</v>
      </c>
      <c r="G246">
        <v>1230000</v>
      </c>
      <c r="H246" t="s">
        <v>40293</v>
      </c>
      <c r="I246">
        <v>527</v>
      </c>
      <c r="J246">
        <v>1</v>
      </c>
      <c r="K246">
        <v>10</v>
      </c>
    </row>
    <row r="247" spans="1:11">
      <c r="A247">
        <v>90</v>
      </c>
      <c r="B247" t="b">
        <v>0</v>
      </c>
      <c r="C247" t="s">
        <v>42734</v>
      </c>
      <c r="D247">
        <v>1037022454355</v>
      </c>
      <c r="E247">
        <v>1</v>
      </c>
      <c r="F247">
        <v>6134391567</v>
      </c>
      <c r="G247">
        <v>50000</v>
      </c>
      <c r="H247" t="s">
        <v>40293</v>
      </c>
      <c r="I247">
        <v>562</v>
      </c>
      <c r="J247">
        <v>13</v>
      </c>
      <c r="K247">
        <v>20</v>
      </c>
    </row>
    <row r="248" spans="1:11">
      <c r="A248">
        <v>90</v>
      </c>
      <c r="B248" t="b">
        <v>0</v>
      </c>
      <c r="C248" t="s">
        <v>42863</v>
      </c>
      <c r="D248">
        <v>1037022454355</v>
      </c>
      <c r="E248">
        <v>1</v>
      </c>
      <c r="F248">
        <v>6133656162</v>
      </c>
      <c r="G248">
        <v>100000</v>
      </c>
      <c r="H248" t="s">
        <v>40293</v>
      </c>
      <c r="I248">
        <v>564</v>
      </c>
      <c r="J248">
        <v>10</v>
      </c>
      <c r="K248">
        <v>16</v>
      </c>
    </row>
    <row r="249" spans="1:11">
      <c r="A249">
        <v>90</v>
      </c>
      <c r="B249" t="b">
        <v>0</v>
      </c>
      <c r="C249" t="s">
        <v>44796</v>
      </c>
      <c r="D249">
        <v>1037022454355</v>
      </c>
      <c r="E249">
        <v>1</v>
      </c>
      <c r="F249">
        <v>6156756830</v>
      </c>
      <c r="G249">
        <v>120100</v>
      </c>
      <c r="H249" t="s">
        <v>40293</v>
      </c>
      <c r="I249">
        <v>568</v>
      </c>
      <c r="J249">
        <v>2</v>
      </c>
      <c r="K249">
        <v>2</v>
      </c>
    </row>
    <row r="250" spans="1:11">
      <c r="A250">
        <v>90</v>
      </c>
      <c r="B250" t="b">
        <v>0</v>
      </c>
      <c r="C250" t="s">
        <v>40389</v>
      </c>
      <c r="D250">
        <v>1037022454355</v>
      </c>
      <c r="E250">
        <v>1</v>
      </c>
      <c r="F250">
        <v>6108711233</v>
      </c>
      <c r="G250">
        <v>274800</v>
      </c>
      <c r="H250" t="s">
        <v>40293</v>
      </c>
      <c r="I250">
        <v>578</v>
      </c>
      <c r="J250">
        <v>2</v>
      </c>
      <c r="K250">
        <v>2</v>
      </c>
    </row>
    <row r="251" spans="1:11">
      <c r="A251">
        <v>90</v>
      </c>
      <c r="B251" t="b">
        <v>0</v>
      </c>
      <c r="C251" t="s">
        <v>40437</v>
      </c>
      <c r="D251">
        <v>1037022454355</v>
      </c>
      <c r="E251">
        <v>1</v>
      </c>
      <c r="F251">
        <v>6108589304</v>
      </c>
      <c r="G251">
        <v>274700</v>
      </c>
      <c r="H251" t="s">
        <v>40293</v>
      </c>
      <c r="I251">
        <v>578</v>
      </c>
      <c r="J251">
        <v>100</v>
      </c>
      <c r="K251">
        <v>100</v>
      </c>
    </row>
    <row r="252" spans="1:11">
      <c r="A252">
        <v>90</v>
      </c>
      <c r="B252" t="b">
        <v>0</v>
      </c>
      <c r="C252" t="s">
        <v>40896</v>
      </c>
      <c r="D252">
        <v>1037022454355</v>
      </c>
      <c r="E252">
        <v>1</v>
      </c>
      <c r="F252">
        <v>6097221174</v>
      </c>
      <c r="G252">
        <v>274500</v>
      </c>
      <c r="H252" t="s">
        <v>40293</v>
      </c>
      <c r="I252">
        <v>578</v>
      </c>
      <c r="J252">
        <v>13</v>
      </c>
      <c r="K252">
        <v>28</v>
      </c>
    </row>
    <row r="253" spans="1:11">
      <c r="A253">
        <v>90</v>
      </c>
      <c r="B253" t="b">
        <v>0</v>
      </c>
      <c r="C253" t="s">
        <v>42249</v>
      </c>
      <c r="D253">
        <v>1037022454355</v>
      </c>
      <c r="E253">
        <v>1</v>
      </c>
      <c r="F253">
        <v>6129906853</v>
      </c>
      <c r="G253">
        <v>254100</v>
      </c>
      <c r="H253" t="s">
        <v>40293</v>
      </c>
      <c r="I253">
        <v>578</v>
      </c>
      <c r="J253">
        <v>4</v>
      </c>
      <c r="K253">
        <v>4</v>
      </c>
    </row>
    <row r="254" spans="1:11">
      <c r="A254">
        <v>90</v>
      </c>
      <c r="B254" t="b">
        <v>0</v>
      </c>
      <c r="C254" t="s">
        <v>43681</v>
      </c>
      <c r="D254">
        <v>1037022454355</v>
      </c>
      <c r="E254">
        <v>1</v>
      </c>
      <c r="F254">
        <v>6138191191</v>
      </c>
      <c r="G254">
        <v>253800</v>
      </c>
      <c r="H254" t="s">
        <v>40293</v>
      </c>
      <c r="I254">
        <v>578</v>
      </c>
      <c r="J254">
        <v>1</v>
      </c>
      <c r="K254">
        <v>4</v>
      </c>
    </row>
    <row r="255" spans="1:11">
      <c r="A255">
        <v>90</v>
      </c>
      <c r="B255" t="b">
        <v>0</v>
      </c>
      <c r="C255" t="s">
        <v>46495</v>
      </c>
      <c r="D255">
        <v>1037022454355</v>
      </c>
      <c r="E255">
        <v>1</v>
      </c>
      <c r="F255">
        <v>6153108776</v>
      </c>
      <c r="G255">
        <v>253700</v>
      </c>
      <c r="H255" t="s">
        <v>40293</v>
      </c>
      <c r="I255">
        <v>578</v>
      </c>
      <c r="J255">
        <v>23</v>
      </c>
      <c r="K255">
        <v>25</v>
      </c>
    </row>
    <row r="256" spans="1:11">
      <c r="A256">
        <v>90</v>
      </c>
      <c r="B256" t="b">
        <v>0</v>
      </c>
      <c r="C256" t="s">
        <v>44379</v>
      </c>
      <c r="D256">
        <v>1037022454355</v>
      </c>
      <c r="E256">
        <v>1</v>
      </c>
      <c r="F256">
        <v>6155125537</v>
      </c>
      <c r="G256">
        <v>72290</v>
      </c>
      <c r="H256" t="s">
        <v>40293</v>
      </c>
      <c r="I256">
        <v>578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45319</v>
      </c>
      <c r="D257">
        <v>1037022454355</v>
      </c>
      <c r="E257">
        <v>1</v>
      </c>
      <c r="F257">
        <v>6155125476</v>
      </c>
      <c r="G257">
        <v>72290</v>
      </c>
      <c r="H257" t="s">
        <v>40293</v>
      </c>
      <c r="I257">
        <v>578</v>
      </c>
      <c r="J257">
        <v>1</v>
      </c>
      <c r="K257">
        <v>1</v>
      </c>
    </row>
    <row r="258" spans="1:11">
      <c r="A258">
        <v>90</v>
      </c>
      <c r="B258" t="b">
        <v>0</v>
      </c>
      <c r="C258" t="s">
        <v>45332</v>
      </c>
      <c r="D258">
        <v>1037022454355</v>
      </c>
      <c r="E258">
        <v>1</v>
      </c>
      <c r="F258">
        <v>6155125665</v>
      </c>
      <c r="G258">
        <v>72290</v>
      </c>
      <c r="H258" t="s">
        <v>40293</v>
      </c>
      <c r="I258">
        <v>578</v>
      </c>
      <c r="J258">
        <v>1</v>
      </c>
      <c r="K258">
        <v>1</v>
      </c>
    </row>
    <row r="259" spans="1:11">
      <c r="A259">
        <v>90</v>
      </c>
      <c r="B259" t="b">
        <v>0</v>
      </c>
      <c r="C259" t="s">
        <v>45332</v>
      </c>
      <c r="D259">
        <v>1037022454355</v>
      </c>
      <c r="E259">
        <v>1</v>
      </c>
      <c r="F259">
        <v>6155125666</v>
      </c>
      <c r="G259">
        <v>72290</v>
      </c>
      <c r="H259" t="s">
        <v>40293</v>
      </c>
      <c r="I259">
        <v>578</v>
      </c>
      <c r="J259">
        <v>1</v>
      </c>
      <c r="K259">
        <v>1</v>
      </c>
    </row>
    <row r="260" spans="1:11">
      <c r="A260">
        <v>90</v>
      </c>
      <c r="B260" t="b">
        <v>0</v>
      </c>
      <c r="C260" t="s">
        <v>45341</v>
      </c>
      <c r="D260">
        <v>1037022454355</v>
      </c>
      <c r="E260">
        <v>1</v>
      </c>
      <c r="F260">
        <v>6155125741</v>
      </c>
      <c r="G260">
        <v>72290</v>
      </c>
      <c r="H260" t="s">
        <v>40293</v>
      </c>
      <c r="I260">
        <v>578</v>
      </c>
      <c r="J260">
        <v>1</v>
      </c>
      <c r="K260">
        <v>1</v>
      </c>
    </row>
    <row r="261" spans="1:11">
      <c r="A261">
        <v>90</v>
      </c>
      <c r="B261" t="b">
        <v>0</v>
      </c>
      <c r="C261" t="s">
        <v>45350</v>
      </c>
      <c r="D261">
        <v>1037022454355</v>
      </c>
      <c r="E261">
        <v>1</v>
      </c>
      <c r="F261">
        <v>6155125822</v>
      </c>
      <c r="G261">
        <v>72290</v>
      </c>
      <c r="H261" t="s">
        <v>40293</v>
      </c>
      <c r="I261">
        <v>578</v>
      </c>
      <c r="J261">
        <v>1</v>
      </c>
      <c r="K261">
        <v>1</v>
      </c>
    </row>
    <row r="262" spans="1:11">
      <c r="A262">
        <v>90</v>
      </c>
      <c r="B262" t="b">
        <v>0</v>
      </c>
      <c r="C262" t="s">
        <v>45364</v>
      </c>
      <c r="D262">
        <v>1037022454355</v>
      </c>
      <c r="E262">
        <v>1</v>
      </c>
      <c r="F262">
        <v>6155125978</v>
      </c>
      <c r="G262">
        <v>72290</v>
      </c>
      <c r="H262" t="s">
        <v>40293</v>
      </c>
      <c r="I262">
        <v>578</v>
      </c>
      <c r="J262">
        <v>1</v>
      </c>
      <c r="K262">
        <v>1</v>
      </c>
    </row>
    <row r="263" spans="1:11">
      <c r="A263">
        <v>90</v>
      </c>
      <c r="B263" t="b">
        <v>0</v>
      </c>
      <c r="C263" t="s">
        <v>45373</v>
      </c>
      <c r="D263">
        <v>1037022454355</v>
      </c>
      <c r="E263">
        <v>1</v>
      </c>
      <c r="F263">
        <v>6155126123</v>
      </c>
      <c r="G263">
        <v>72290</v>
      </c>
      <c r="H263" t="s">
        <v>40293</v>
      </c>
      <c r="I263">
        <v>578</v>
      </c>
      <c r="J263">
        <v>1</v>
      </c>
      <c r="K263">
        <v>1</v>
      </c>
    </row>
    <row r="264" spans="1:11">
      <c r="A264">
        <v>90</v>
      </c>
      <c r="B264" t="b">
        <v>0</v>
      </c>
      <c r="C264" t="s">
        <v>43482</v>
      </c>
      <c r="D264">
        <v>1037022454355</v>
      </c>
      <c r="E264">
        <v>1</v>
      </c>
      <c r="F264">
        <v>6141083563</v>
      </c>
      <c r="G264">
        <v>100000</v>
      </c>
      <c r="H264" t="s">
        <v>40293</v>
      </c>
      <c r="I264">
        <v>580</v>
      </c>
      <c r="J264">
        <v>22</v>
      </c>
      <c r="K264">
        <v>33</v>
      </c>
    </row>
    <row r="265" spans="1:11">
      <c r="A265">
        <v>90</v>
      </c>
      <c r="B265" t="b">
        <v>0</v>
      </c>
      <c r="C265" t="s">
        <v>41115</v>
      </c>
      <c r="D265">
        <v>1037022454355</v>
      </c>
      <c r="E265">
        <v>1</v>
      </c>
      <c r="F265">
        <v>6078908520</v>
      </c>
      <c r="G265">
        <v>1242000</v>
      </c>
      <c r="H265" t="s">
        <v>40293</v>
      </c>
      <c r="I265">
        <v>582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41098</v>
      </c>
      <c r="D266">
        <v>1037022454355</v>
      </c>
      <c r="E266">
        <v>1</v>
      </c>
      <c r="F266">
        <v>6086477574</v>
      </c>
      <c r="G266">
        <v>1241000</v>
      </c>
      <c r="H266" t="s">
        <v>40293</v>
      </c>
      <c r="I266">
        <v>582</v>
      </c>
      <c r="J266">
        <v>6</v>
      </c>
      <c r="K266">
        <v>10</v>
      </c>
    </row>
    <row r="267" spans="1:11">
      <c r="A267">
        <v>90</v>
      </c>
      <c r="B267" t="b">
        <v>0</v>
      </c>
      <c r="C267" t="s">
        <v>43344</v>
      </c>
      <c r="D267">
        <v>1037022454355</v>
      </c>
      <c r="E267">
        <v>1</v>
      </c>
      <c r="F267">
        <v>6139556540</v>
      </c>
      <c r="G267">
        <v>1240000</v>
      </c>
      <c r="H267" t="s">
        <v>40293</v>
      </c>
      <c r="I267">
        <v>582</v>
      </c>
      <c r="J267">
        <v>1</v>
      </c>
      <c r="K267">
        <v>1</v>
      </c>
    </row>
    <row r="268" spans="1:11">
      <c r="A268">
        <v>90</v>
      </c>
      <c r="B268" t="b">
        <v>0</v>
      </c>
      <c r="C268" t="s">
        <v>44388</v>
      </c>
      <c r="D268">
        <v>1037022454355</v>
      </c>
      <c r="E268">
        <v>1</v>
      </c>
      <c r="F268">
        <v>6146163503</v>
      </c>
      <c r="G268">
        <v>1000000</v>
      </c>
      <c r="H268" t="s">
        <v>40293</v>
      </c>
      <c r="I268">
        <v>582</v>
      </c>
      <c r="J268">
        <v>3</v>
      </c>
      <c r="K268">
        <v>3</v>
      </c>
    </row>
    <row r="269" spans="1:11">
      <c r="A269">
        <v>90</v>
      </c>
      <c r="B269" t="b">
        <v>0</v>
      </c>
      <c r="C269" t="s">
        <v>46022</v>
      </c>
      <c r="D269">
        <v>1037022454355</v>
      </c>
      <c r="E269">
        <v>1</v>
      </c>
      <c r="F269">
        <v>6156870453</v>
      </c>
      <c r="G269">
        <v>1011000</v>
      </c>
      <c r="H269" t="s">
        <v>40293</v>
      </c>
      <c r="I269">
        <v>583</v>
      </c>
      <c r="J269">
        <v>4</v>
      </c>
      <c r="K269">
        <v>4</v>
      </c>
    </row>
    <row r="270" spans="1:11">
      <c r="A270">
        <v>90</v>
      </c>
      <c r="B270" t="b">
        <v>0</v>
      </c>
      <c r="C270" t="s">
        <v>41499</v>
      </c>
      <c r="D270">
        <v>1037022454355</v>
      </c>
      <c r="E270">
        <v>1</v>
      </c>
      <c r="F270">
        <v>6092810172</v>
      </c>
      <c r="G270">
        <v>1490000</v>
      </c>
      <c r="H270" t="s">
        <v>40293</v>
      </c>
      <c r="I270">
        <v>584</v>
      </c>
      <c r="J270">
        <v>6</v>
      </c>
      <c r="K270">
        <v>20</v>
      </c>
    </row>
    <row r="271" spans="1:11">
      <c r="A271">
        <v>90</v>
      </c>
      <c r="B271" t="b">
        <v>0</v>
      </c>
      <c r="C271" t="s">
        <v>41539</v>
      </c>
      <c r="D271">
        <v>1037022454355</v>
      </c>
      <c r="E271">
        <v>1</v>
      </c>
      <c r="F271">
        <v>6094908335</v>
      </c>
      <c r="G271">
        <v>1490000</v>
      </c>
      <c r="H271" t="s">
        <v>40293</v>
      </c>
      <c r="I271">
        <v>584</v>
      </c>
      <c r="J271">
        <v>20</v>
      </c>
      <c r="K271">
        <v>20</v>
      </c>
    </row>
    <row r="272" spans="1:11">
      <c r="A272">
        <v>90</v>
      </c>
      <c r="B272" t="b">
        <v>0</v>
      </c>
      <c r="C272" t="s">
        <v>43717</v>
      </c>
      <c r="D272">
        <v>1037022454355</v>
      </c>
      <c r="E272">
        <v>1</v>
      </c>
      <c r="F272">
        <v>6142507770</v>
      </c>
      <c r="G272">
        <v>2000000</v>
      </c>
      <c r="H272" t="s">
        <v>40293</v>
      </c>
      <c r="I272">
        <v>585</v>
      </c>
      <c r="J272">
        <v>7</v>
      </c>
      <c r="K272">
        <v>7</v>
      </c>
    </row>
    <row r="273" spans="1:11">
      <c r="A273">
        <v>90</v>
      </c>
      <c r="B273" t="b">
        <v>0</v>
      </c>
      <c r="C273" t="s">
        <v>44418</v>
      </c>
      <c r="D273">
        <v>1037022454355</v>
      </c>
      <c r="E273">
        <v>1</v>
      </c>
      <c r="F273">
        <v>6147609807</v>
      </c>
      <c r="G273">
        <v>457000</v>
      </c>
      <c r="H273" t="s">
        <v>40293</v>
      </c>
      <c r="I273">
        <v>585</v>
      </c>
      <c r="J273">
        <v>117</v>
      </c>
      <c r="K273">
        <v>120</v>
      </c>
    </row>
    <row r="274" spans="1:11">
      <c r="A274">
        <v>90</v>
      </c>
      <c r="B274" t="b">
        <v>0</v>
      </c>
      <c r="C274" t="s">
        <v>44997</v>
      </c>
      <c r="D274">
        <v>1037022454355</v>
      </c>
      <c r="E274">
        <v>1</v>
      </c>
      <c r="F274">
        <v>6152401287</v>
      </c>
      <c r="G274">
        <v>456000</v>
      </c>
      <c r="H274" t="s">
        <v>40293</v>
      </c>
      <c r="I274">
        <v>585</v>
      </c>
      <c r="J274">
        <v>1</v>
      </c>
      <c r="K274">
        <v>2</v>
      </c>
    </row>
    <row r="275" spans="1:11">
      <c r="A275">
        <v>90</v>
      </c>
      <c r="B275" t="b">
        <v>0</v>
      </c>
      <c r="C275" t="s">
        <v>40689</v>
      </c>
      <c r="D275">
        <v>1037022454355</v>
      </c>
      <c r="E275">
        <v>1</v>
      </c>
      <c r="F275">
        <v>6114386483</v>
      </c>
      <c r="G275">
        <v>999500</v>
      </c>
      <c r="H275" t="s">
        <v>40293</v>
      </c>
      <c r="I275">
        <v>587</v>
      </c>
      <c r="J275">
        <v>1</v>
      </c>
      <c r="K275">
        <v>2</v>
      </c>
    </row>
    <row r="276" spans="1:11">
      <c r="A276">
        <v>90</v>
      </c>
      <c r="B276" t="b">
        <v>0</v>
      </c>
      <c r="C276" t="s">
        <v>43362</v>
      </c>
      <c r="D276">
        <v>1037022454355</v>
      </c>
      <c r="E276">
        <v>1</v>
      </c>
      <c r="F276">
        <v>6139556923</v>
      </c>
      <c r="G276">
        <v>799400</v>
      </c>
      <c r="H276" t="s">
        <v>40293</v>
      </c>
      <c r="I276">
        <v>587</v>
      </c>
      <c r="J276">
        <v>18</v>
      </c>
      <c r="K276">
        <v>19</v>
      </c>
    </row>
    <row r="277" spans="1:11">
      <c r="A277">
        <v>30</v>
      </c>
      <c r="B277" t="b">
        <v>0</v>
      </c>
      <c r="C277" t="s">
        <v>44134</v>
      </c>
      <c r="D277">
        <v>1037022454355</v>
      </c>
      <c r="E277">
        <v>1</v>
      </c>
      <c r="F277">
        <v>6143739107</v>
      </c>
      <c r="G277">
        <v>798700</v>
      </c>
      <c r="H277" t="s">
        <v>40293</v>
      </c>
      <c r="I277">
        <v>587</v>
      </c>
      <c r="J277">
        <v>1</v>
      </c>
      <c r="K277">
        <v>1</v>
      </c>
    </row>
    <row r="278" spans="1:11">
      <c r="A278">
        <v>90</v>
      </c>
      <c r="B278" t="b">
        <v>0</v>
      </c>
      <c r="C278" t="s">
        <v>44870</v>
      </c>
      <c r="D278">
        <v>1037022454355</v>
      </c>
      <c r="E278">
        <v>1</v>
      </c>
      <c r="F278">
        <v>6147287984</v>
      </c>
      <c r="G278">
        <v>798600</v>
      </c>
      <c r="H278" t="s">
        <v>40293</v>
      </c>
      <c r="I278">
        <v>587</v>
      </c>
      <c r="J278">
        <v>2</v>
      </c>
      <c r="K278">
        <v>3</v>
      </c>
    </row>
    <row r="279" spans="1:11">
      <c r="A279">
        <v>90</v>
      </c>
      <c r="B279" t="b">
        <v>0</v>
      </c>
      <c r="C279" t="s">
        <v>42675</v>
      </c>
      <c r="D279">
        <v>1037022454355</v>
      </c>
      <c r="E279">
        <v>1</v>
      </c>
      <c r="F279">
        <v>6133765718</v>
      </c>
      <c r="G279">
        <v>2000000</v>
      </c>
      <c r="H279" t="s">
        <v>40293</v>
      </c>
      <c r="I279">
        <v>593</v>
      </c>
      <c r="J279">
        <v>2</v>
      </c>
      <c r="K279">
        <v>2</v>
      </c>
    </row>
    <row r="280" spans="1:11">
      <c r="A280">
        <v>90</v>
      </c>
      <c r="B280" t="b">
        <v>0</v>
      </c>
      <c r="C280" t="s">
        <v>41301</v>
      </c>
      <c r="D280">
        <v>1037022454355</v>
      </c>
      <c r="E280">
        <v>1</v>
      </c>
      <c r="F280">
        <v>6091363645</v>
      </c>
      <c r="G280">
        <v>1884000</v>
      </c>
      <c r="H280" t="s">
        <v>40293</v>
      </c>
      <c r="I280">
        <v>593</v>
      </c>
      <c r="J280">
        <v>4</v>
      </c>
      <c r="K280">
        <v>4</v>
      </c>
    </row>
    <row r="281" spans="1:11">
      <c r="A281">
        <v>90</v>
      </c>
      <c r="B281" t="b">
        <v>0</v>
      </c>
      <c r="C281" t="s">
        <v>41409</v>
      </c>
      <c r="D281">
        <v>1037022454355</v>
      </c>
      <c r="E281">
        <v>1</v>
      </c>
      <c r="F281">
        <v>6092349012</v>
      </c>
      <c r="G281">
        <v>1878000</v>
      </c>
      <c r="H281" t="s">
        <v>40293</v>
      </c>
      <c r="I281">
        <v>593</v>
      </c>
      <c r="J281">
        <v>2</v>
      </c>
      <c r="K281">
        <v>2</v>
      </c>
    </row>
    <row r="282" spans="1:11">
      <c r="A282">
        <v>90</v>
      </c>
      <c r="B282" t="b">
        <v>0</v>
      </c>
      <c r="C282" t="s">
        <v>46260</v>
      </c>
      <c r="D282">
        <v>1037022454355</v>
      </c>
      <c r="E282">
        <v>1</v>
      </c>
      <c r="F282">
        <v>6154449183</v>
      </c>
      <c r="G282">
        <v>1500000</v>
      </c>
      <c r="H282" t="s">
        <v>40293</v>
      </c>
      <c r="I282">
        <v>593</v>
      </c>
      <c r="J282">
        <v>15</v>
      </c>
      <c r="K282">
        <v>20</v>
      </c>
    </row>
    <row r="283" spans="1:11">
      <c r="A283">
        <v>90</v>
      </c>
      <c r="B283" t="b">
        <v>0</v>
      </c>
      <c r="C283" t="s">
        <v>42269</v>
      </c>
      <c r="D283">
        <v>1037022454355</v>
      </c>
      <c r="E283">
        <v>1</v>
      </c>
      <c r="F283">
        <v>6130563788</v>
      </c>
      <c r="G283">
        <v>2000000</v>
      </c>
      <c r="H283" t="s">
        <v>40293</v>
      </c>
      <c r="I283">
        <v>594</v>
      </c>
      <c r="J283">
        <v>1</v>
      </c>
      <c r="K283">
        <v>1</v>
      </c>
    </row>
    <row r="284" spans="1:11">
      <c r="A284">
        <v>90</v>
      </c>
      <c r="B284" t="b">
        <v>0</v>
      </c>
      <c r="C284" t="s">
        <v>43168</v>
      </c>
      <c r="D284">
        <v>1037022454355</v>
      </c>
      <c r="E284">
        <v>1</v>
      </c>
      <c r="F284">
        <v>6141485183</v>
      </c>
      <c r="G284">
        <v>1300000</v>
      </c>
      <c r="H284" t="s">
        <v>40293</v>
      </c>
      <c r="I284">
        <v>597</v>
      </c>
      <c r="J284">
        <v>4</v>
      </c>
      <c r="K284">
        <v>4</v>
      </c>
    </row>
    <row r="285" spans="1:11">
      <c r="A285">
        <v>90</v>
      </c>
      <c r="B285" t="b">
        <v>0</v>
      </c>
      <c r="C285" t="s">
        <v>42499</v>
      </c>
      <c r="D285">
        <v>1037022454355</v>
      </c>
      <c r="E285">
        <v>1</v>
      </c>
      <c r="F285">
        <v>6132184047</v>
      </c>
      <c r="G285">
        <v>1200000</v>
      </c>
      <c r="H285" t="s">
        <v>40293</v>
      </c>
      <c r="I285">
        <v>597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42473</v>
      </c>
      <c r="D286">
        <v>1037022454355</v>
      </c>
      <c r="E286">
        <v>1</v>
      </c>
      <c r="F286">
        <v>6133766270</v>
      </c>
      <c r="G286">
        <v>1100000</v>
      </c>
      <c r="H286" t="s">
        <v>40293</v>
      </c>
      <c r="I286">
        <v>597</v>
      </c>
      <c r="J286">
        <v>3</v>
      </c>
      <c r="K286">
        <v>13</v>
      </c>
    </row>
    <row r="287" spans="1:11">
      <c r="A287">
        <v>90</v>
      </c>
      <c r="B287" t="b">
        <v>0</v>
      </c>
      <c r="C287" t="s">
        <v>41324</v>
      </c>
      <c r="D287">
        <v>1037022454355</v>
      </c>
      <c r="E287">
        <v>1</v>
      </c>
      <c r="F287">
        <v>6091363971</v>
      </c>
      <c r="G287">
        <v>689900</v>
      </c>
      <c r="H287" t="s">
        <v>40293</v>
      </c>
      <c r="I287">
        <v>598</v>
      </c>
      <c r="J287">
        <v>2</v>
      </c>
      <c r="K287">
        <v>6</v>
      </c>
    </row>
    <row r="288" spans="1:11">
      <c r="A288">
        <v>90</v>
      </c>
      <c r="B288" t="b">
        <v>0</v>
      </c>
      <c r="C288" t="s">
        <v>41259</v>
      </c>
      <c r="D288">
        <v>1037022454355</v>
      </c>
      <c r="E288">
        <v>1</v>
      </c>
      <c r="F288">
        <v>6086477668</v>
      </c>
      <c r="G288">
        <v>689800</v>
      </c>
      <c r="H288" t="s">
        <v>40293</v>
      </c>
      <c r="I288">
        <v>598</v>
      </c>
      <c r="J288">
        <v>1</v>
      </c>
      <c r="K288">
        <v>6</v>
      </c>
    </row>
    <row r="289" spans="1:11">
      <c r="A289">
        <v>90</v>
      </c>
      <c r="B289" t="b">
        <v>0</v>
      </c>
      <c r="C289" t="s">
        <v>40721</v>
      </c>
      <c r="D289">
        <v>1037022454355</v>
      </c>
      <c r="E289">
        <v>1</v>
      </c>
      <c r="F289">
        <v>6107473198</v>
      </c>
      <c r="G289">
        <v>689500</v>
      </c>
      <c r="H289" t="s">
        <v>40293</v>
      </c>
      <c r="I289">
        <v>598</v>
      </c>
      <c r="J289">
        <v>4</v>
      </c>
      <c r="K289">
        <v>4</v>
      </c>
    </row>
    <row r="290" spans="1:11">
      <c r="A290">
        <v>90</v>
      </c>
      <c r="B290" t="b">
        <v>0</v>
      </c>
      <c r="C290" t="s">
        <v>41128</v>
      </c>
      <c r="D290">
        <v>1037022454355</v>
      </c>
      <c r="E290">
        <v>1</v>
      </c>
      <c r="F290">
        <v>6108727624</v>
      </c>
      <c r="G290">
        <v>688800</v>
      </c>
      <c r="H290" t="s">
        <v>40293</v>
      </c>
      <c r="I290">
        <v>598</v>
      </c>
      <c r="J290">
        <v>7</v>
      </c>
      <c r="K290">
        <v>7</v>
      </c>
    </row>
    <row r="291" spans="1:11">
      <c r="A291">
        <v>90</v>
      </c>
      <c r="B291" t="b">
        <v>0</v>
      </c>
      <c r="C291" t="s">
        <v>40806</v>
      </c>
      <c r="D291">
        <v>1037022454355</v>
      </c>
      <c r="E291">
        <v>1</v>
      </c>
      <c r="F291">
        <v>6115273983</v>
      </c>
      <c r="G291">
        <v>687900</v>
      </c>
      <c r="H291" t="s">
        <v>40293</v>
      </c>
      <c r="I291">
        <v>598</v>
      </c>
      <c r="J291">
        <v>3</v>
      </c>
      <c r="K291">
        <v>4</v>
      </c>
    </row>
    <row r="292" spans="1:11">
      <c r="A292">
        <v>90</v>
      </c>
      <c r="B292" t="b">
        <v>0</v>
      </c>
      <c r="C292" t="s">
        <v>42463</v>
      </c>
      <c r="D292">
        <v>1037022454355</v>
      </c>
      <c r="E292">
        <v>1</v>
      </c>
      <c r="F292">
        <v>6070512359</v>
      </c>
      <c r="G292">
        <v>600000</v>
      </c>
      <c r="H292" t="s">
        <v>40293</v>
      </c>
      <c r="I292">
        <v>598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46434</v>
      </c>
      <c r="D293">
        <v>1037022454355</v>
      </c>
      <c r="E293">
        <v>1</v>
      </c>
      <c r="F293">
        <v>6150552199</v>
      </c>
      <c r="G293">
        <v>399900</v>
      </c>
      <c r="H293" t="s">
        <v>40293</v>
      </c>
      <c r="I293">
        <v>598</v>
      </c>
      <c r="J293">
        <v>2</v>
      </c>
      <c r="K293">
        <v>2</v>
      </c>
    </row>
    <row r="294" spans="1:11">
      <c r="A294">
        <v>90</v>
      </c>
      <c r="B294" t="b">
        <v>0</v>
      </c>
      <c r="C294" t="s">
        <v>41738</v>
      </c>
      <c r="D294">
        <v>1037022454355</v>
      </c>
      <c r="E294">
        <v>1</v>
      </c>
      <c r="F294">
        <v>6067246321</v>
      </c>
      <c r="G294">
        <v>799900</v>
      </c>
      <c r="H294" t="s">
        <v>40293</v>
      </c>
      <c r="I294">
        <v>599</v>
      </c>
      <c r="J294">
        <v>6</v>
      </c>
      <c r="K294">
        <v>9</v>
      </c>
    </row>
    <row r="295" spans="1:11">
      <c r="A295">
        <v>90</v>
      </c>
      <c r="B295" t="b">
        <v>0</v>
      </c>
      <c r="C295" t="s">
        <v>42337</v>
      </c>
      <c r="D295">
        <v>1037022454355</v>
      </c>
      <c r="E295">
        <v>1</v>
      </c>
      <c r="F295">
        <v>6136171674</v>
      </c>
      <c r="G295">
        <v>799800</v>
      </c>
      <c r="H295" t="s">
        <v>40293</v>
      </c>
      <c r="I295">
        <v>599</v>
      </c>
      <c r="J295">
        <v>1</v>
      </c>
      <c r="K295">
        <v>1</v>
      </c>
    </row>
    <row r="296" spans="1:11">
      <c r="A296">
        <v>90</v>
      </c>
      <c r="B296" t="b">
        <v>0</v>
      </c>
      <c r="C296" t="s">
        <v>42199</v>
      </c>
      <c r="D296">
        <v>1037022454355</v>
      </c>
      <c r="E296">
        <v>1</v>
      </c>
      <c r="F296">
        <v>6130765885</v>
      </c>
      <c r="G296">
        <v>799800</v>
      </c>
      <c r="H296" t="s">
        <v>40293</v>
      </c>
      <c r="I296">
        <v>599</v>
      </c>
      <c r="J296">
        <v>1</v>
      </c>
      <c r="K296">
        <v>1</v>
      </c>
    </row>
    <row r="297" spans="1:11">
      <c r="A297">
        <v>90</v>
      </c>
      <c r="B297" t="b">
        <v>0</v>
      </c>
      <c r="C297" t="s">
        <v>41331</v>
      </c>
      <c r="D297">
        <v>1037022454355</v>
      </c>
      <c r="E297">
        <v>1</v>
      </c>
      <c r="F297">
        <v>6091364064</v>
      </c>
      <c r="G297">
        <v>1116000</v>
      </c>
      <c r="H297" t="s">
        <v>40293</v>
      </c>
      <c r="I297">
        <v>602</v>
      </c>
      <c r="J297">
        <v>6</v>
      </c>
      <c r="K297">
        <v>6</v>
      </c>
    </row>
    <row r="298" spans="1:11">
      <c r="A298">
        <v>90</v>
      </c>
      <c r="B298" t="b">
        <v>0</v>
      </c>
      <c r="C298" t="s">
        <v>41409</v>
      </c>
      <c r="D298">
        <v>1037022454355</v>
      </c>
      <c r="E298">
        <v>1</v>
      </c>
      <c r="F298">
        <v>6092349010</v>
      </c>
      <c r="G298">
        <v>1114000</v>
      </c>
      <c r="H298" t="s">
        <v>40293</v>
      </c>
      <c r="I298">
        <v>602</v>
      </c>
      <c r="J298">
        <v>2</v>
      </c>
      <c r="K298">
        <v>8</v>
      </c>
    </row>
    <row r="299" spans="1:11">
      <c r="A299">
        <v>90</v>
      </c>
      <c r="B299" t="b">
        <v>0</v>
      </c>
      <c r="C299" t="s">
        <v>41947</v>
      </c>
      <c r="D299">
        <v>1037022454355</v>
      </c>
      <c r="E299">
        <v>1</v>
      </c>
      <c r="F299">
        <v>6127079473</v>
      </c>
      <c r="G299">
        <v>900000</v>
      </c>
      <c r="H299" t="s">
        <v>40293</v>
      </c>
      <c r="I299">
        <v>602</v>
      </c>
      <c r="J299">
        <v>2</v>
      </c>
      <c r="K299">
        <v>4</v>
      </c>
    </row>
    <row r="300" spans="1:11">
      <c r="A300">
        <v>90</v>
      </c>
      <c r="B300" t="b">
        <v>0</v>
      </c>
      <c r="C300" t="s">
        <v>42771</v>
      </c>
      <c r="D300">
        <v>1037022454355</v>
      </c>
      <c r="E300">
        <v>1</v>
      </c>
      <c r="F300">
        <v>6135048926</v>
      </c>
      <c r="G300">
        <v>899000</v>
      </c>
      <c r="H300" t="s">
        <v>40293</v>
      </c>
      <c r="I300">
        <v>602</v>
      </c>
      <c r="J300">
        <v>1</v>
      </c>
      <c r="K300">
        <v>2</v>
      </c>
    </row>
    <row r="301" spans="1:11">
      <c r="A301">
        <v>90</v>
      </c>
      <c r="B301" t="b">
        <v>0</v>
      </c>
      <c r="C301" t="s">
        <v>43391</v>
      </c>
      <c r="D301">
        <v>1037022454355</v>
      </c>
      <c r="E301">
        <v>1</v>
      </c>
      <c r="F301">
        <v>6139556839</v>
      </c>
      <c r="G301">
        <v>1401000</v>
      </c>
      <c r="H301" t="s">
        <v>40293</v>
      </c>
      <c r="I301">
        <v>603</v>
      </c>
      <c r="J301">
        <v>2</v>
      </c>
      <c r="K301">
        <v>2</v>
      </c>
    </row>
    <row r="302" spans="1:11">
      <c r="A302">
        <v>90</v>
      </c>
      <c r="B302" t="b">
        <v>0</v>
      </c>
      <c r="C302" t="s">
        <v>43218</v>
      </c>
      <c r="D302">
        <v>1037022454355</v>
      </c>
      <c r="E302">
        <v>1</v>
      </c>
      <c r="F302">
        <v>6141314686</v>
      </c>
      <c r="G302">
        <v>1400000</v>
      </c>
      <c r="H302" t="s">
        <v>40293</v>
      </c>
      <c r="I302">
        <v>603</v>
      </c>
      <c r="J302">
        <v>2</v>
      </c>
      <c r="K302">
        <v>2</v>
      </c>
    </row>
    <row r="303" spans="1:11">
      <c r="A303">
        <v>30</v>
      </c>
      <c r="B303" t="b">
        <v>0</v>
      </c>
      <c r="C303" t="s">
        <v>46079</v>
      </c>
      <c r="D303">
        <v>1037022454355</v>
      </c>
      <c r="E303">
        <v>1</v>
      </c>
      <c r="F303">
        <v>6150678143</v>
      </c>
      <c r="G303">
        <v>1200000</v>
      </c>
      <c r="H303" t="s">
        <v>40293</v>
      </c>
      <c r="I303">
        <v>603</v>
      </c>
      <c r="J303">
        <v>4</v>
      </c>
      <c r="K303">
        <v>5</v>
      </c>
    </row>
    <row r="304" spans="1:11">
      <c r="A304">
        <v>90</v>
      </c>
      <c r="B304" t="b">
        <v>0</v>
      </c>
      <c r="C304" t="s">
        <v>46245</v>
      </c>
      <c r="D304">
        <v>1037022454355</v>
      </c>
      <c r="E304">
        <v>1</v>
      </c>
      <c r="F304">
        <v>6154055740</v>
      </c>
      <c r="G304">
        <v>500000</v>
      </c>
      <c r="H304" t="s">
        <v>40293</v>
      </c>
      <c r="I304">
        <v>605</v>
      </c>
      <c r="J304">
        <v>109</v>
      </c>
      <c r="K304">
        <v>114</v>
      </c>
    </row>
    <row r="305" spans="1:11">
      <c r="A305">
        <v>90</v>
      </c>
      <c r="B305" t="b">
        <v>0</v>
      </c>
      <c r="C305" t="s">
        <v>45118</v>
      </c>
      <c r="D305">
        <v>1037022454355</v>
      </c>
      <c r="E305">
        <v>1</v>
      </c>
      <c r="F305">
        <v>6155384673</v>
      </c>
      <c r="G305">
        <v>1501000</v>
      </c>
      <c r="H305" t="s">
        <v>40293</v>
      </c>
      <c r="I305">
        <v>607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43123</v>
      </c>
      <c r="D306">
        <v>1037022454355</v>
      </c>
      <c r="E306">
        <v>1</v>
      </c>
      <c r="F306">
        <v>6143712162</v>
      </c>
      <c r="G306">
        <v>600100</v>
      </c>
      <c r="H306" t="s">
        <v>40293</v>
      </c>
      <c r="I306">
        <v>608</v>
      </c>
      <c r="J306">
        <v>24</v>
      </c>
      <c r="K306">
        <v>30</v>
      </c>
    </row>
    <row r="307" spans="1:11">
      <c r="A307">
        <v>90</v>
      </c>
      <c r="B307" t="b">
        <v>0</v>
      </c>
      <c r="C307" t="s">
        <v>44873</v>
      </c>
      <c r="D307">
        <v>1037022454355</v>
      </c>
      <c r="E307">
        <v>1</v>
      </c>
      <c r="F307">
        <v>6149417935</v>
      </c>
      <c r="G307">
        <v>15000000</v>
      </c>
      <c r="H307" t="s">
        <v>40293</v>
      </c>
      <c r="I307">
        <v>620</v>
      </c>
      <c r="J307">
        <v>2</v>
      </c>
      <c r="K307">
        <v>3</v>
      </c>
    </row>
    <row r="308" spans="1:11">
      <c r="A308">
        <v>90</v>
      </c>
      <c r="B308" t="b">
        <v>0</v>
      </c>
      <c r="C308" t="s">
        <v>40307</v>
      </c>
      <c r="D308">
        <v>1037022454355</v>
      </c>
      <c r="E308">
        <v>1</v>
      </c>
      <c r="F308">
        <v>6111003011</v>
      </c>
      <c r="G308">
        <v>17580000</v>
      </c>
      <c r="H308" t="s">
        <v>40293</v>
      </c>
      <c r="I308">
        <v>621</v>
      </c>
      <c r="J308">
        <v>85</v>
      </c>
      <c r="K308">
        <v>100</v>
      </c>
    </row>
    <row r="309" spans="1:11">
      <c r="A309">
        <v>90</v>
      </c>
      <c r="B309" t="b">
        <v>0</v>
      </c>
      <c r="C309" t="s">
        <v>42748</v>
      </c>
      <c r="D309">
        <v>1037022454355</v>
      </c>
      <c r="E309">
        <v>1</v>
      </c>
      <c r="F309">
        <v>6135473703</v>
      </c>
      <c r="G309">
        <v>17570000</v>
      </c>
      <c r="H309" t="s">
        <v>40293</v>
      </c>
      <c r="I309">
        <v>621</v>
      </c>
      <c r="J309">
        <v>2</v>
      </c>
      <c r="K309">
        <v>2</v>
      </c>
    </row>
    <row r="310" spans="1:11">
      <c r="A310">
        <v>90</v>
      </c>
      <c r="B310" t="b">
        <v>0</v>
      </c>
      <c r="C310" t="s">
        <v>43729</v>
      </c>
      <c r="D310">
        <v>1037022454355</v>
      </c>
      <c r="E310">
        <v>1</v>
      </c>
      <c r="F310">
        <v>6139437820</v>
      </c>
      <c r="G310">
        <v>15510000</v>
      </c>
      <c r="H310" t="s">
        <v>40293</v>
      </c>
      <c r="I310">
        <v>621</v>
      </c>
      <c r="J310">
        <v>54</v>
      </c>
      <c r="K310">
        <v>59</v>
      </c>
    </row>
    <row r="311" spans="1:11">
      <c r="A311">
        <v>90</v>
      </c>
      <c r="B311" t="b">
        <v>0</v>
      </c>
      <c r="C311" t="s">
        <v>42932</v>
      </c>
      <c r="D311">
        <v>1037022454355</v>
      </c>
      <c r="E311">
        <v>1</v>
      </c>
      <c r="F311">
        <v>6141314378</v>
      </c>
      <c r="G311">
        <v>15000000</v>
      </c>
      <c r="H311" t="s">
        <v>40293</v>
      </c>
      <c r="I311">
        <v>621</v>
      </c>
      <c r="J311">
        <v>2</v>
      </c>
      <c r="K311">
        <v>2</v>
      </c>
    </row>
    <row r="312" spans="1:11">
      <c r="A312">
        <v>90</v>
      </c>
      <c r="B312" t="b">
        <v>0</v>
      </c>
      <c r="C312" t="s">
        <v>44993</v>
      </c>
      <c r="D312">
        <v>1037022454355</v>
      </c>
      <c r="E312">
        <v>1</v>
      </c>
      <c r="F312">
        <v>6148698422</v>
      </c>
      <c r="G312">
        <v>13020000</v>
      </c>
      <c r="H312" t="s">
        <v>40293</v>
      </c>
      <c r="I312">
        <v>621</v>
      </c>
      <c r="J312">
        <v>51</v>
      </c>
      <c r="K312">
        <v>55</v>
      </c>
    </row>
    <row r="313" spans="1:11">
      <c r="A313">
        <v>90</v>
      </c>
      <c r="B313" t="b">
        <v>0</v>
      </c>
      <c r="C313" t="s">
        <v>45384</v>
      </c>
      <c r="D313">
        <v>1037022454355</v>
      </c>
      <c r="E313">
        <v>1</v>
      </c>
      <c r="F313">
        <v>6136120807</v>
      </c>
      <c r="G313">
        <v>13000000</v>
      </c>
      <c r="H313" t="s">
        <v>40293</v>
      </c>
      <c r="I313">
        <v>621</v>
      </c>
      <c r="J313">
        <v>6</v>
      </c>
      <c r="K313">
        <v>24</v>
      </c>
    </row>
    <row r="314" spans="1:11">
      <c r="A314">
        <v>90</v>
      </c>
      <c r="B314" t="b">
        <v>0</v>
      </c>
      <c r="C314" t="s">
        <v>45077</v>
      </c>
      <c r="D314">
        <v>1037022454355</v>
      </c>
      <c r="E314">
        <v>1</v>
      </c>
      <c r="F314">
        <v>6151288172</v>
      </c>
      <c r="G314">
        <v>12890000</v>
      </c>
      <c r="H314" t="s">
        <v>40293</v>
      </c>
      <c r="I314">
        <v>621</v>
      </c>
      <c r="J314">
        <v>1</v>
      </c>
      <c r="K314">
        <v>1</v>
      </c>
    </row>
    <row r="315" spans="1:11">
      <c r="A315">
        <v>7</v>
      </c>
      <c r="B315" t="b">
        <v>0</v>
      </c>
      <c r="C315" t="s">
        <v>44812</v>
      </c>
      <c r="D315">
        <v>1037022454355</v>
      </c>
      <c r="E315">
        <v>1</v>
      </c>
      <c r="F315">
        <v>6155077304</v>
      </c>
      <c r="G315">
        <v>12500000</v>
      </c>
      <c r="H315" t="s">
        <v>40293</v>
      </c>
      <c r="I315">
        <v>621</v>
      </c>
      <c r="J315">
        <v>1</v>
      </c>
      <c r="K315">
        <v>1</v>
      </c>
    </row>
    <row r="316" spans="1:11">
      <c r="A316">
        <v>90</v>
      </c>
      <c r="B316" t="b">
        <v>0</v>
      </c>
      <c r="C316" t="s">
        <v>45269</v>
      </c>
      <c r="D316">
        <v>1037022454355</v>
      </c>
      <c r="E316">
        <v>1</v>
      </c>
      <c r="F316">
        <v>6153388126</v>
      </c>
      <c r="G316">
        <v>12500000</v>
      </c>
      <c r="H316" t="s">
        <v>40293</v>
      </c>
      <c r="I316">
        <v>621</v>
      </c>
      <c r="J316">
        <v>1</v>
      </c>
      <c r="K316">
        <v>2</v>
      </c>
    </row>
    <row r="317" spans="1:11">
      <c r="A317">
        <v>90</v>
      </c>
      <c r="B317" t="b">
        <v>0</v>
      </c>
      <c r="C317" t="s">
        <v>44102</v>
      </c>
      <c r="D317">
        <v>1037022454355</v>
      </c>
      <c r="E317">
        <v>1</v>
      </c>
      <c r="F317">
        <v>6156441058</v>
      </c>
      <c r="G317">
        <v>11790000</v>
      </c>
      <c r="H317" t="s">
        <v>40293</v>
      </c>
      <c r="I317">
        <v>621</v>
      </c>
      <c r="J317">
        <v>35</v>
      </c>
      <c r="K317">
        <v>35</v>
      </c>
    </row>
    <row r="318" spans="1:11">
      <c r="A318">
        <v>90</v>
      </c>
      <c r="B318" t="b">
        <v>0</v>
      </c>
      <c r="C318" t="s">
        <v>44069</v>
      </c>
      <c r="D318">
        <v>1037022454355</v>
      </c>
      <c r="E318">
        <v>1</v>
      </c>
      <c r="F318">
        <v>6156583342</v>
      </c>
      <c r="G318">
        <v>11790000</v>
      </c>
      <c r="H318" t="s">
        <v>40293</v>
      </c>
      <c r="I318">
        <v>621</v>
      </c>
      <c r="J318">
        <v>1</v>
      </c>
      <c r="K318">
        <v>1</v>
      </c>
    </row>
    <row r="319" spans="1:11">
      <c r="A319">
        <v>90</v>
      </c>
      <c r="B319" t="b">
        <v>0</v>
      </c>
      <c r="C319" t="s">
        <v>46029</v>
      </c>
      <c r="D319">
        <v>1037022454355</v>
      </c>
      <c r="E319">
        <v>1</v>
      </c>
      <c r="F319">
        <v>6151240522</v>
      </c>
      <c r="G319">
        <v>20000000</v>
      </c>
      <c r="H319" t="s">
        <v>40293</v>
      </c>
      <c r="I319">
        <v>622</v>
      </c>
      <c r="J319">
        <v>10</v>
      </c>
      <c r="K319">
        <v>10</v>
      </c>
    </row>
    <row r="320" spans="1:11">
      <c r="A320">
        <v>30</v>
      </c>
      <c r="B320" t="b">
        <v>0</v>
      </c>
      <c r="C320" t="s">
        <v>44982</v>
      </c>
      <c r="D320">
        <v>1037022454355</v>
      </c>
      <c r="E320">
        <v>1</v>
      </c>
      <c r="F320">
        <v>6153711817</v>
      </c>
      <c r="G320">
        <v>19980000</v>
      </c>
      <c r="H320" t="s">
        <v>40293</v>
      </c>
      <c r="I320">
        <v>622</v>
      </c>
      <c r="J320">
        <v>1</v>
      </c>
      <c r="K320">
        <v>2</v>
      </c>
    </row>
    <row r="321" spans="1:11">
      <c r="A321">
        <v>90</v>
      </c>
      <c r="B321" t="b">
        <v>0</v>
      </c>
      <c r="C321" t="s">
        <v>43382</v>
      </c>
      <c r="D321">
        <v>1037022454355</v>
      </c>
      <c r="E321">
        <v>1</v>
      </c>
      <c r="F321">
        <v>6139033108</v>
      </c>
      <c r="G321">
        <v>12500000</v>
      </c>
      <c r="H321" t="s">
        <v>40293</v>
      </c>
      <c r="I321">
        <v>623</v>
      </c>
      <c r="J321">
        <v>1</v>
      </c>
      <c r="K321">
        <v>1</v>
      </c>
    </row>
    <row r="322" spans="1:11">
      <c r="A322">
        <v>90</v>
      </c>
      <c r="B322" t="b">
        <v>0</v>
      </c>
      <c r="C322" t="s">
        <v>40944</v>
      </c>
      <c r="D322">
        <v>1037022454355</v>
      </c>
      <c r="E322">
        <v>1</v>
      </c>
      <c r="F322">
        <v>6108396181</v>
      </c>
      <c r="G322">
        <v>15000000</v>
      </c>
      <c r="H322" t="s">
        <v>40293</v>
      </c>
      <c r="I322">
        <v>624</v>
      </c>
      <c r="J322">
        <v>2</v>
      </c>
      <c r="K322">
        <v>4</v>
      </c>
    </row>
    <row r="323" spans="1:11">
      <c r="A323">
        <v>90</v>
      </c>
      <c r="B323" t="b">
        <v>0</v>
      </c>
      <c r="C323" t="s">
        <v>43628</v>
      </c>
      <c r="D323">
        <v>1037022454355</v>
      </c>
      <c r="E323">
        <v>1</v>
      </c>
      <c r="F323">
        <v>6140089622</v>
      </c>
      <c r="G323">
        <v>12000000</v>
      </c>
      <c r="H323" t="s">
        <v>40293</v>
      </c>
      <c r="I323">
        <v>624</v>
      </c>
      <c r="J323">
        <v>2</v>
      </c>
      <c r="K323">
        <v>2</v>
      </c>
    </row>
    <row r="324" spans="1:11">
      <c r="A324">
        <v>90</v>
      </c>
      <c r="B324" t="b">
        <v>0</v>
      </c>
      <c r="C324" t="s">
        <v>44284</v>
      </c>
      <c r="D324">
        <v>1037022454355</v>
      </c>
      <c r="E324">
        <v>1</v>
      </c>
      <c r="F324">
        <v>6149639510</v>
      </c>
      <c r="G324">
        <v>11000000</v>
      </c>
      <c r="H324" t="s">
        <v>40293</v>
      </c>
      <c r="I324">
        <v>624</v>
      </c>
      <c r="J324">
        <v>1</v>
      </c>
      <c r="K324">
        <v>2</v>
      </c>
    </row>
    <row r="325" spans="1:11">
      <c r="A325">
        <v>90</v>
      </c>
      <c r="B325" t="b">
        <v>0</v>
      </c>
      <c r="C325" t="s">
        <v>43519</v>
      </c>
      <c r="D325">
        <v>1037022454355</v>
      </c>
      <c r="E325">
        <v>1</v>
      </c>
      <c r="F325">
        <v>6139954906</v>
      </c>
      <c r="G325">
        <v>20000000</v>
      </c>
      <c r="H325" t="s">
        <v>40293</v>
      </c>
      <c r="I325">
        <v>626</v>
      </c>
      <c r="J325">
        <v>2</v>
      </c>
      <c r="K325">
        <v>2</v>
      </c>
    </row>
    <row r="326" spans="1:11">
      <c r="A326">
        <v>90</v>
      </c>
      <c r="B326" t="b">
        <v>0</v>
      </c>
      <c r="C326" t="s">
        <v>41330</v>
      </c>
      <c r="D326">
        <v>1037022454355</v>
      </c>
      <c r="E326">
        <v>1</v>
      </c>
      <c r="F326">
        <v>6089758410</v>
      </c>
      <c r="G326">
        <v>17380000</v>
      </c>
      <c r="H326" t="s">
        <v>40293</v>
      </c>
      <c r="I326">
        <v>626</v>
      </c>
      <c r="J326">
        <v>4</v>
      </c>
      <c r="K326">
        <v>4</v>
      </c>
    </row>
    <row r="327" spans="1:11">
      <c r="A327">
        <v>90</v>
      </c>
      <c r="B327" t="b">
        <v>0</v>
      </c>
      <c r="C327" t="s">
        <v>40982</v>
      </c>
      <c r="D327">
        <v>1037022454355</v>
      </c>
      <c r="E327">
        <v>1</v>
      </c>
      <c r="F327">
        <v>6090735058</v>
      </c>
      <c r="G327">
        <v>17350000</v>
      </c>
      <c r="H327" t="s">
        <v>40293</v>
      </c>
      <c r="I327">
        <v>626</v>
      </c>
      <c r="J327">
        <v>1</v>
      </c>
      <c r="K327">
        <v>7</v>
      </c>
    </row>
    <row r="328" spans="1:11">
      <c r="A328">
        <v>90</v>
      </c>
      <c r="B328" t="b">
        <v>0</v>
      </c>
      <c r="C328" t="s">
        <v>41406</v>
      </c>
      <c r="D328">
        <v>1037022454355</v>
      </c>
      <c r="E328">
        <v>1</v>
      </c>
      <c r="F328">
        <v>6080945685</v>
      </c>
      <c r="G328">
        <v>17000000</v>
      </c>
      <c r="H328" t="s">
        <v>40293</v>
      </c>
      <c r="I328">
        <v>626</v>
      </c>
      <c r="J328">
        <v>3</v>
      </c>
      <c r="K328">
        <v>5</v>
      </c>
    </row>
    <row r="329" spans="1:11">
      <c r="A329">
        <v>90</v>
      </c>
      <c r="B329" t="b">
        <v>0</v>
      </c>
      <c r="C329" t="s">
        <v>40503</v>
      </c>
      <c r="D329">
        <v>1037022454355</v>
      </c>
      <c r="E329">
        <v>1</v>
      </c>
      <c r="F329">
        <v>6081876847</v>
      </c>
      <c r="G329">
        <v>17000000</v>
      </c>
      <c r="H329" t="s">
        <v>40293</v>
      </c>
      <c r="I329">
        <v>626</v>
      </c>
      <c r="J329">
        <v>6</v>
      </c>
      <c r="K329">
        <v>6</v>
      </c>
    </row>
    <row r="330" spans="1:11">
      <c r="A330">
        <v>90</v>
      </c>
      <c r="B330" t="b">
        <v>0</v>
      </c>
      <c r="C330" t="s">
        <v>42065</v>
      </c>
      <c r="D330">
        <v>1037022454355</v>
      </c>
      <c r="E330">
        <v>1</v>
      </c>
      <c r="F330">
        <v>6131432933</v>
      </c>
      <c r="G330">
        <v>15480000</v>
      </c>
      <c r="H330" t="s">
        <v>40293</v>
      </c>
      <c r="I330">
        <v>626</v>
      </c>
      <c r="J330">
        <v>1</v>
      </c>
      <c r="K330">
        <v>1</v>
      </c>
    </row>
    <row r="331" spans="1:11">
      <c r="A331">
        <v>90</v>
      </c>
      <c r="B331" t="b">
        <v>0</v>
      </c>
      <c r="C331" t="s">
        <v>42741</v>
      </c>
      <c r="D331">
        <v>1037022454355</v>
      </c>
      <c r="E331">
        <v>1</v>
      </c>
      <c r="F331">
        <v>6123085667</v>
      </c>
      <c r="G331">
        <v>15460000</v>
      </c>
      <c r="H331" t="s">
        <v>40293</v>
      </c>
      <c r="I331">
        <v>626</v>
      </c>
      <c r="J331">
        <v>1</v>
      </c>
      <c r="K331">
        <v>5</v>
      </c>
    </row>
    <row r="332" spans="1:11">
      <c r="A332">
        <v>90</v>
      </c>
      <c r="B332" t="b">
        <v>0</v>
      </c>
      <c r="C332" t="s">
        <v>44963</v>
      </c>
      <c r="D332">
        <v>1037022454355</v>
      </c>
      <c r="E332">
        <v>1</v>
      </c>
      <c r="F332">
        <v>6147321870</v>
      </c>
      <c r="G332">
        <v>14900000</v>
      </c>
      <c r="H332" t="s">
        <v>40293</v>
      </c>
      <c r="I332">
        <v>626</v>
      </c>
      <c r="J332">
        <v>1</v>
      </c>
      <c r="K332">
        <v>1</v>
      </c>
    </row>
    <row r="333" spans="1:11">
      <c r="A333">
        <v>90</v>
      </c>
      <c r="B333" t="b">
        <v>0</v>
      </c>
      <c r="C333" t="s">
        <v>42637</v>
      </c>
      <c r="D333">
        <v>1037022454355</v>
      </c>
      <c r="E333">
        <v>1</v>
      </c>
      <c r="F333">
        <v>6135991797</v>
      </c>
      <c r="G333">
        <v>14050000</v>
      </c>
      <c r="H333" t="s">
        <v>40293</v>
      </c>
      <c r="I333">
        <v>626</v>
      </c>
      <c r="J333">
        <v>1</v>
      </c>
      <c r="K333">
        <v>1</v>
      </c>
    </row>
    <row r="334" spans="1:11">
      <c r="A334">
        <v>90</v>
      </c>
      <c r="B334" t="b">
        <v>0</v>
      </c>
      <c r="C334" t="s">
        <v>43319</v>
      </c>
      <c r="D334">
        <v>1037022454355</v>
      </c>
      <c r="E334">
        <v>1</v>
      </c>
      <c r="F334">
        <v>6139555890</v>
      </c>
      <c r="G334">
        <v>13490000</v>
      </c>
      <c r="H334" t="s">
        <v>40293</v>
      </c>
      <c r="I334">
        <v>626</v>
      </c>
      <c r="J334">
        <v>3</v>
      </c>
      <c r="K334">
        <v>3</v>
      </c>
    </row>
    <row r="335" spans="1:11">
      <c r="A335">
        <v>90</v>
      </c>
      <c r="B335" t="b">
        <v>0</v>
      </c>
      <c r="C335" t="s">
        <v>43623</v>
      </c>
      <c r="D335">
        <v>1037022454355</v>
      </c>
      <c r="E335">
        <v>1</v>
      </c>
      <c r="F335">
        <v>6141531280</v>
      </c>
      <c r="G335">
        <v>13470000</v>
      </c>
      <c r="H335" t="s">
        <v>40293</v>
      </c>
      <c r="I335">
        <v>626</v>
      </c>
      <c r="J335">
        <v>1</v>
      </c>
      <c r="K335">
        <v>5</v>
      </c>
    </row>
    <row r="336" spans="1:11">
      <c r="A336">
        <v>90</v>
      </c>
      <c r="B336" t="b">
        <v>0</v>
      </c>
      <c r="C336" t="s">
        <v>46025</v>
      </c>
      <c r="D336">
        <v>1037022454355</v>
      </c>
      <c r="E336">
        <v>1</v>
      </c>
      <c r="F336">
        <v>6147269486</v>
      </c>
      <c r="G336">
        <v>13460000</v>
      </c>
      <c r="H336" t="s">
        <v>40293</v>
      </c>
      <c r="I336">
        <v>626</v>
      </c>
      <c r="J336">
        <v>1</v>
      </c>
      <c r="K336">
        <v>10</v>
      </c>
    </row>
    <row r="337" spans="1:11">
      <c r="A337">
        <v>90</v>
      </c>
      <c r="B337" t="b">
        <v>0</v>
      </c>
      <c r="C337" t="s">
        <v>46560</v>
      </c>
      <c r="D337">
        <v>1037022454355</v>
      </c>
      <c r="E337">
        <v>1</v>
      </c>
      <c r="F337">
        <v>6153109359</v>
      </c>
      <c r="G337">
        <v>13450000</v>
      </c>
      <c r="H337" t="s">
        <v>40293</v>
      </c>
      <c r="I337">
        <v>626</v>
      </c>
      <c r="J337">
        <v>3</v>
      </c>
      <c r="K337">
        <v>3</v>
      </c>
    </row>
    <row r="338" spans="1:11">
      <c r="A338">
        <v>90</v>
      </c>
      <c r="B338" t="b">
        <v>0</v>
      </c>
      <c r="C338" t="s">
        <v>44426</v>
      </c>
      <c r="D338">
        <v>1037022454355</v>
      </c>
      <c r="E338">
        <v>1</v>
      </c>
      <c r="F338">
        <v>6153170478</v>
      </c>
      <c r="G338">
        <v>13440000</v>
      </c>
      <c r="H338" t="s">
        <v>40293</v>
      </c>
      <c r="I338">
        <v>626</v>
      </c>
      <c r="J338">
        <v>2</v>
      </c>
      <c r="K338">
        <v>2</v>
      </c>
    </row>
    <row r="339" spans="1:11">
      <c r="A339">
        <v>90</v>
      </c>
      <c r="B339" t="b">
        <v>0</v>
      </c>
      <c r="C339" t="s">
        <v>44591</v>
      </c>
      <c r="D339">
        <v>1037022454355</v>
      </c>
      <c r="E339">
        <v>1</v>
      </c>
      <c r="F339">
        <v>6153313922</v>
      </c>
      <c r="G339">
        <v>13440000</v>
      </c>
      <c r="H339" t="s">
        <v>40293</v>
      </c>
      <c r="I339">
        <v>626</v>
      </c>
      <c r="J339">
        <v>9</v>
      </c>
      <c r="K339">
        <v>9</v>
      </c>
    </row>
    <row r="340" spans="1:11">
      <c r="A340">
        <v>90</v>
      </c>
      <c r="B340" t="b">
        <v>0</v>
      </c>
      <c r="C340" t="s">
        <v>44069</v>
      </c>
      <c r="D340">
        <v>1037022454355</v>
      </c>
      <c r="E340">
        <v>1</v>
      </c>
      <c r="F340">
        <v>6156583343</v>
      </c>
      <c r="G340">
        <v>12330000</v>
      </c>
      <c r="H340" t="s">
        <v>40293</v>
      </c>
      <c r="I340">
        <v>626</v>
      </c>
      <c r="J340">
        <v>1</v>
      </c>
      <c r="K340">
        <v>1</v>
      </c>
    </row>
    <row r="341" spans="1:11">
      <c r="A341">
        <v>90</v>
      </c>
      <c r="B341" t="b">
        <v>0</v>
      </c>
      <c r="C341" t="s">
        <v>44061</v>
      </c>
      <c r="D341">
        <v>1037022454355</v>
      </c>
      <c r="E341">
        <v>1</v>
      </c>
      <c r="F341">
        <v>6155403624</v>
      </c>
      <c r="G341">
        <v>10200000</v>
      </c>
      <c r="H341" t="s">
        <v>40293</v>
      </c>
      <c r="I341">
        <v>626</v>
      </c>
      <c r="J341">
        <v>4</v>
      </c>
      <c r="K341">
        <v>5</v>
      </c>
    </row>
    <row r="342" spans="1:11">
      <c r="A342">
        <v>90</v>
      </c>
      <c r="B342" t="b">
        <v>0</v>
      </c>
      <c r="C342" t="s">
        <v>41477</v>
      </c>
      <c r="D342">
        <v>1037022454355</v>
      </c>
      <c r="E342">
        <v>1</v>
      </c>
      <c r="F342">
        <v>6113060265</v>
      </c>
      <c r="G342">
        <v>19950000</v>
      </c>
      <c r="H342" t="s">
        <v>40293</v>
      </c>
      <c r="I342">
        <v>627</v>
      </c>
      <c r="J342">
        <v>2</v>
      </c>
      <c r="K342">
        <v>2</v>
      </c>
    </row>
    <row r="343" spans="1:11">
      <c r="A343">
        <v>90</v>
      </c>
      <c r="B343" t="b">
        <v>0</v>
      </c>
      <c r="C343" t="s">
        <v>41990</v>
      </c>
      <c r="D343">
        <v>1037022454355</v>
      </c>
      <c r="E343">
        <v>1</v>
      </c>
      <c r="F343">
        <v>6118341619</v>
      </c>
      <c r="G343">
        <v>18700000</v>
      </c>
      <c r="H343" t="s">
        <v>40293</v>
      </c>
      <c r="I343">
        <v>627</v>
      </c>
      <c r="J343">
        <v>18</v>
      </c>
      <c r="K343">
        <v>19</v>
      </c>
    </row>
    <row r="344" spans="1:11">
      <c r="A344">
        <v>90</v>
      </c>
      <c r="B344" t="b">
        <v>0</v>
      </c>
      <c r="C344" t="s">
        <v>41915</v>
      </c>
      <c r="D344">
        <v>1037022454355</v>
      </c>
      <c r="E344">
        <v>1</v>
      </c>
      <c r="F344">
        <v>6127078795</v>
      </c>
      <c r="G344">
        <v>16000000</v>
      </c>
      <c r="H344" t="s">
        <v>40293</v>
      </c>
      <c r="I344">
        <v>627</v>
      </c>
      <c r="J344">
        <v>2</v>
      </c>
      <c r="K344">
        <v>2</v>
      </c>
    </row>
    <row r="345" spans="1:11">
      <c r="A345">
        <v>90</v>
      </c>
      <c r="B345" t="b">
        <v>0</v>
      </c>
      <c r="C345" t="s">
        <v>41804</v>
      </c>
      <c r="D345">
        <v>1037022454355</v>
      </c>
      <c r="E345">
        <v>1</v>
      </c>
      <c r="F345">
        <v>6124965931</v>
      </c>
      <c r="G345">
        <v>15990000</v>
      </c>
      <c r="H345" t="s">
        <v>40293</v>
      </c>
      <c r="I345">
        <v>627</v>
      </c>
      <c r="J345">
        <v>4</v>
      </c>
      <c r="K345">
        <v>20</v>
      </c>
    </row>
    <row r="346" spans="1:11">
      <c r="A346">
        <v>90</v>
      </c>
      <c r="B346" t="b">
        <v>0</v>
      </c>
      <c r="C346" t="s">
        <v>41400</v>
      </c>
      <c r="D346">
        <v>1037022454355</v>
      </c>
      <c r="E346">
        <v>1</v>
      </c>
      <c r="F346">
        <v>6124965772</v>
      </c>
      <c r="G346">
        <v>17000000</v>
      </c>
      <c r="H346" t="s">
        <v>40293</v>
      </c>
      <c r="I346">
        <v>629</v>
      </c>
      <c r="J346">
        <v>10</v>
      </c>
      <c r="K346">
        <v>20</v>
      </c>
    </row>
    <row r="347" spans="1:11">
      <c r="A347">
        <v>90</v>
      </c>
      <c r="B347" t="b">
        <v>0</v>
      </c>
      <c r="C347" t="s">
        <v>45623</v>
      </c>
      <c r="D347">
        <v>1037022454355</v>
      </c>
      <c r="E347">
        <v>1</v>
      </c>
      <c r="F347">
        <v>6155194625</v>
      </c>
      <c r="G347">
        <v>16990000</v>
      </c>
      <c r="H347" t="s">
        <v>40293</v>
      </c>
      <c r="I347">
        <v>629</v>
      </c>
      <c r="J347">
        <v>1</v>
      </c>
      <c r="K347">
        <v>1</v>
      </c>
    </row>
    <row r="348" spans="1:11">
      <c r="A348">
        <v>90</v>
      </c>
      <c r="B348" t="b">
        <v>0</v>
      </c>
      <c r="C348" t="s">
        <v>42977</v>
      </c>
      <c r="D348">
        <v>1037022454355</v>
      </c>
      <c r="E348">
        <v>1</v>
      </c>
      <c r="F348">
        <v>6140464175</v>
      </c>
      <c r="G348">
        <v>16980000</v>
      </c>
      <c r="H348" t="s">
        <v>40293</v>
      </c>
      <c r="I348">
        <v>629</v>
      </c>
      <c r="J348">
        <v>1</v>
      </c>
      <c r="K348">
        <v>5</v>
      </c>
    </row>
    <row r="349" spans="1:11">
      <c r="A349">
        <v>90</v>
      </c>
      <c r="B349" t="b">
        <v>0</v>
      </c>
      <c r="C349" t="s">
        <v>44050</v>
      </c>
      <c r="D349">
        <v>1037022454355</v>
      </c>
      <c r="E349">
        <v>1</v>
      </c>
      <c r="F349">
        <v>6148849910</v>
      </c>
      <c r="G349">
        <v>13500000</v>
      </c>
      <c r="H349" t="s">
        <v>40293</v>
      </c>
      <c r="I349">
        <v>630</v>
      </c>
      <c r="J349">
        <v>2</v>
      </c>
      <c r="K349">
        <v>2</v>
      </c>
    </row>
    <row r="350" spans="1:11">
      <c r="A350">
        <v>90</v>
      </c>
      <c r="B350" t="b">
        <v>0</v>
      </c>
      <c r="C350" t="s">
        <v>40403</v>
      </c>
      <c r="D350">
        <v>1037022454355</v>
      </c>
      <c r="E350">
        <v>1</v>
      </c>
      <c r="F350">
        <v>6120671906</v>
      </c>
      <c r="G350">
        <v>16860000</v>
      </c>
      <c r="H350" t="s">
        <v>40293</v>
      </c>
      <c r="I350">
        <v>631</v>
      </c>
      <c r="J350">
        <v>6</v>
      </c>
      <c r="K350">
        <v>10</v>
      </c>
    </row>
    <row r="351" spans="1:11">
      <c r="A351">
        <v>90</v>
      </c>
      <c r="B351" t="b">
        <v>0</v>
      </c>
      <c r="C351" t="s">
        <v>40398</v>
      </c>
      <c r="D351">
        <v>1037022454355</v>
      </c>
      <c r="E351">
        <v>1</v>
      </c>
      <c r="F351">
        <v>6125357530</v>
      </c>
      <c r="G351">
        <v>16500000</v>
      </c>
      <c r="H351" t="s">
        <v>40293</v>
      </c>
      <c r="I351">
        <v>631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41946</v>
      </c>
      <c r="D352">
        <v>1037022454355</v>
      </c>
      <c r="E352">
        <v>1</v>
      </c>
      <c r="F352">
        <v>6120628450</v>
      </c>
      <c r="G352">
        <v>16440000</v>
      </c>
      <c r="H352" t="s">
        <v>40293</v>
      </c>
      <c r="I352">
        <v>631</v>
      </c>
      <c r="J352">
        <v>3</v>
      </c>
      <c r="K352">
        <v>10</v>
      </c>
    </row>
    <row r="353" spans="1:11">
      <c r="A353">
        <v>90</v>
      </c>
      <c r="B353" t="b">
        <v>0</v>
      </c>
      <c r="C353" t="s">
        <v>41875</v>
      </c>
      <c r="D353">
        <v>1037022454355</v>
      </c>
      <c r="E353">
        <v>1</v>
      </c>
      <c r="F353">
        <v>6119145163</v>
      </c>
      <c r="G353">
        <v>16430000</v>
      </c>
      <c r="H353" t="s">
        <v>40293</v>
      </c>
      <c r="I353">
        <v>631</v>
      </c>
      <c r="J353">
        <v>4</v>
      </c>
      <c r="K353">
        <v>10</v>
      </c>
    </row>
    <row r="354" spans="1:11">
      <c r="A354">
        <v>90</v>
      </c>
      <c r="B354" t="b">
        <v>0</v>
      </c>
      <c r="C354" t="s">
        <v>46457</v>
      </c>
      <c r="D354">
        <v>1037022454355</v>
      </c>
      <c r="E354">
        <v>1</v>
      </c>
      <c r="F354">
        <v>6148291414</v>
      </c>
      <c r="G354">
        <v>16420000</v>
      </c>
      <c r="H354" t="s">
        <v>40293</v>
      </c>
      <c r="I354">
        <v>631</v>
      </c>
      <c r="J354">
        <v>7</v>
      </c>
      <c r="K354">
        <v>10</v>
      </c>
    </row>
    <row r="355" spans="1:11">
      <c r="A355">
        <v>90</v>
      </c>
      <c r="B355" t="b">
        <v>0</v>
      </c>
      <c r="C355" t="s">
        <v>44935</v>
      </c>
      <c r="D355">
        <v>1037022454355</v>
      </c>
      <c r="E355">
        <v>1</v>
      </c>
      <c r="F355">
        <v>6155939526</v>
      </c>
      <c r="G355">
        <v>16000000</v>
      </c>
      <c r="H355" t="s">
        <v>40293</v>
      </c>
      <c r="I355">
        <v>631</v>
      </c>
      <c r="J355">
        <v>3</v>
      </c>
      <c r="K355">
        <v>3</v>
      </c>
    </row>
    <row r="356" spans="1:11">
      <c r="A356">
        <v>90</v>
      </c>
      <c r="B356" t="b">
        <v>0</v>
      </c>
      <c r="C356" t="s">
        <v>42464</v>
      </c>
      <c r="D356">
        <v>1037022454355</v>
      </c>
      <c r="E356">
        <v>1</v>
      </c>
      <c r="F356">
        <v>6133314004</v>
      </c>
      <c r="G356">
        <v>15000000</v>
      </c>
      <c r="H356" t="s">
        <v>40293</v>
      </c>
      <c r="I356">
        <v>632</v>
      </c>
      <c r="J356">
        <v>4</v>
      </c>
      <c r="K356">
        <v>10</v>
      </c>
    </row>
    <row r="357" spans="1:11">
      <c r="A357">
        <v>90</v>
      </c>
      <c r="B357" t="b">
        <v>0</v>
      </c>
      <c r="C357" t="s">
        <v>44272</v>
      </c>
      <c r="D357">
        <v>1037022454355</v>
      </c>
      <c r="E357">
        <v>1</v>
      </c>
      <c r="F357">
        <v>6146591853</v>
      </c>
      <c r="G357">
        <v>6000000</v>
      </c>
      <c r="H357" t="s">
        <v>40293</v>
      </c>
      <c r="I357">
        <v>632</v>
      </c>
      <c r="J357">
        <v>7</v>
      </c>
      <c r="K357">
        <v>10</v>
      </c>
    </row>
    <row r="358" spans="1:11">
      <c r="A358">
        <v>90</v>
      </c>
      <c r="B358" t="b">
        <v>0</v>
      </c>
      <c r="C358" t="s">
        <v>40306</v>
      </c>
      <c r="D358">
        <v>1037022454355</v>
      </c>
      <c r="E358">
        <v>1</v>
      </c>
      <c r="F358">
        <v>6116049262</v>
      </c>
      <c r="G358">
        <v>16000000</v>
      </c>
      <c r="H358" t="s">
        <v>40293</v>
      </c>
      <c r="I358">
        <v>634</v>
      </c>
      <c r="J358">
        <v>7</v>
      </c>
      <c r="K358">
        <v>10</v>
      </c>
    </row>
    <row r="359" spans="1:11">
      <c r="A359">
        <v>90</v>
      </c>
      <c r="B359" t="b">
        <v>0</v>
      </c>
      <c r="C359" t="s">
        <v>43784</v>
      </c>
      <c r="D359">
        <v>1037022454355</v>
      </c>
      <c r="E359">
        <v>1</v>
      </c>
      <c r="F359">
        <v>6143470039</v>
      </c>
      <c r="G359">
        <v>323900000</v>
      </c>
      <c r="H359" t="s">
        <v>40293</v>
      </c>
      <c r="I359">
        <v>639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43974</v>
      </c>
      <c r="D360">
        <v>1037022454355</v>
      </c>
      <c r="E360">
        <v>1</v>
      </c>
      <c r="F360">
        <v>6143082256</v>
      </c>
      <c r="G360">
        <v>320000000</v>
      </c>
      <c r="H360" t="s">
        <v>40293</v>
      </c>
      <c r="I360">
        <v>639</v>
      </c>
      <c r="J360">
        <v>1</v>
      </c>
      <c r="K360">
        <v>1</v>
      </c>
    </row>
    <row r="361" spans="1:11">
      <c r="A361">
        <v>90</v>
      </c>
      <c r="B361" t="b">
        <v>0</v>
      </c>
      <c r="C361" t="s">
        <v>45409</v>
      </c>
      <c r="D361">
        <v>1037022454355</v>
      </c>
      <c r="E361">
        <v>1</v>
      </c>
      <c r="F361">
        <v>6152937772</v>
      </c>
      <c r="G361">
        <v>319900000</v>
      </c>
      <c r="H361" t="s">
        <v>40293</v>
      </c>
      <c r="I361">
        <v>639</v>
      </c>
      <c r="J361">
        <v>1</v>
      </c>
      <c r="K361">
        <v>1</v>
      </c>
    </row>
    <row r="362" spans="1:11">
      <c r="A362">
        <v>14</v>
      </c>
      <c r="B362" t="b">
        <v>0</v>
      </c>
      <c r="C362" t="s">
        <v>46518</v>
      </c>
      <c r="D362">
        <v>1037022454355</v>
      </c>
      <c r="E362">
        <v>1</v>
      </c>
      <c r="F362">
        <v>6144556467</v>
      </c>
      <c r="G362">
        <v>319700000</v>
      </c>
      <c r="H362" t="s">
        <v>40293</v>
      </c>
      <c r="I362">
        <v>639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43625</v>
      </c>
      <c r="D363">
        <v>1037022454355</v>
      </c>
      <c r="E363">
        <v>1</v>
      </c>
      <c r="F363">
        <v>6147200175</v>
      </c>
      <c r="G363">
        <v>343900000</v>
      </c>
      <c r="H363" t="s">
        <v>40293</v>
      </c>
      <c r="I363">
        <v>644</v>
      </c>
      <c r="J363">
        <v>2</v>
      </c>
      <c r="K363">
        <v>2</v>
      </c>
    </row>
    <row r="364" spans="1:11">
      <c r="A364">
        <v>90</v>
      </c>
      <c r="B364" t="b">
        <v>0</v>
      </c>
      <c r="C364" t="s">
        <v>40299</v>
      </c>
      <c r="D364">
        <v>1037022454355</v>
      </c>
      <c r="E364">
        <v>1</v>
      </c>
      <c r="F364">
        <v>6094908087</v>
      </c>
      <c r="G364">
        <v>4385000</v>
      </c>
      <c r="H364" t="s">
        <v>40293</v>
      </c>
      <c r="I364">
        <v>648</v>
      </c>
      <c r="J364">
        <v>10</v>
      </c>
      <c r="K364">
        <v>10</v>
      </c>
    </row>
    <row r="365" spans="1:11">
      <c r="A365">
        <v>90</v>
      </c>
      <c r="B365" t="b">
        <v>0</v>
      </c>
      <c r="C365" t="s">
        <v>41489</v>
      </c>
      <c r="D365">
        <v>1037022454355</v>
      </c>
      <c r="E365">
        <v>1</v>
      </c>
      <c r="F365">
        <v>6092809961</v>
      </c>
      <c r="G365">
        <v>4355000</v>
      </c>
      <c r="H365" t="s">
        <v>40293</v>
      </c>
      <c r="I365">
        <v>648</v>
      </c>
      <c r="J365">
        <v>2</v>
      </c>
      <c r="K365">
        <v>10</v>
      </c>
    </row>
    <row r="366" spans="1:11">
      <c r="A366">
        <v>90</v>
      </c>
      <c r="B366" t="b">
        <v>0</v>
      </c>
      <c r="C366" t="s">
        <v>45183</v>
      </c>
      <c r="D366">
        <v>1037022454355</v>
      </c>
      <c r="E366">
        <v>1</v>
      </c>
      <c r="F366">
        <v>6153026293</v>
      </c>
      <c r="G366">
        <v>4354000</v>
      </c>
      <c r="H366" t="s">
        <v>40293</v>
      </c>
      <c r="I366">
        <v>648</v>
      </c>
      <c r="J366">
        <v>2</v>
      </c>
      <c r="K366">
        <v>5</v>
      </c>
    </row>
    <row r="367" spans="1:11">
      <c r="A367">
        <v>30</v>
      </c>
      <c r="B367" t="b">
        <v>0</v>
      </c>
      <c r="C367" t="s">
        <v>44965</v>
      </c>
      <c r="D367">
        <v>1037022454355</v>
      </c>
      <c r="E367">
        <v>1</v>
      </c>
      <c r="F367">
        <v>6154624345</v>
      </c>
      <c r="G367">
        <v>4000000</v>
      </c>
      <c r="H367" t="s">
        <v>40293</v>
      </c>
      <c r="I367">
        <v>648</v>
      </c>
      <c r="J367">
        <v>1</v>
      </c>
      <c r="K367">
        <v>1</v>
      </c>
    </row>
    <row r="368" spans="1:11">
      <c r="A368">
        <v>90</v>
      </c>
      <c r="B368" t="b">
        <v>0</v>
      </c>
      <c r="C368" t="s">
        <v>46298</v>
      </c>
      <c r="D368">
        <v>1037022454355</v>
      </c>
      <c r="E368">
        <v>1</v>
      </c>
      <c r="F368">
        <v>6154449520</v>
      </c>
      <c r="G368">
        <v>5949000</v>
      </c>
      <c r="H368" t="s">
        <v>40293</v>
      </c>
      <c r="I368">
        <v>649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40959</v>
      </c>
      <c r="D369">
        <v>1037022454355</v>
      </c>
      <c r="E369">
        <v>1</v>
      </c>
      <c r="F369">
        <v>6108396444</v>
      </c>
      <c r="G369">
        <v>5000000</v>
      </c>
      <c r="H369" t="s">
        <v>40293</v>
      </c>
      <c r="I369">
        <v>651</v>
      </c>
      <c r="J369">
        <v>5</v>
      </c>
      <c r="K369">
        <v>5</v>
      </c>
    </row>
    <row r="370" spans="1:11">
      <c r="A370">
        <v>90</v>
      </c>
      <c r="B370" t="b">
        <v>0</v>
      </c>
      <c r="C370" t="s">
        <v>43790</v>
      </c>
      <c r="D370">
        <v>1037022454355</v>
      </c>
      <c r="E370">
        <v>1</v>
      </c>
      <c r="F370">
        <v>6138391190</v>
      </c>
      <c r="G370">
        <v>2500000</v>
      </c>
      <c r="H370" t="s">
        <v>40293</v>
      </c>
      <c r="I370">
        <v>651</v>
      </c>
      <c r="J370">
        <v>2</v>
      </c>
      <c r="K370">
        <v>5</v>
      </c>
    </row>
    <row r="371" spans="1:11">
      <c r="A371">
        <v>90</v>
      </c>
      <c r="B371" t="b">
        <v>0</v>
      </c>
      <c r="C371" t="s">
        <v>44877</v>
      </c>
      <c r="D371">
        <v>1037022454355</v>
      </c>
      <c r="E371">
        <v>1</v>
      </c>
      <c r="F371">
        <v>6153391321</v>
      </c>
      <c r="G371">
        <v>2401000</v>
      </c>
      <c r="H371" t="s">
        <v>40293</v>
      </c>
      <c r="I371">
        <v>651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41130</v>
      </c>
      <c r="D372">
        <v>1037022454355</v>
      </c>
      <c r="E372">
        <v>1</v>
      </c>
      <c r="F372">
        <v>6108396643</v>
      </c>
      <c r="G372">
        <v>5000000</v>
      </c>
      <c r="H372" t="s">
        <v>40293</v>
      </c>
      <c r="I372">
        <v>652</v>
      </c>
      <c r="J372">
        <v>2</v>
      </c>
      <c r="K372">
        <v>5</v>
      </c>
    </row>
    <row r="373" spans="1:11">
      <c r="A373">
        <v>90</v>
      </c>
      <c r="B373" t="b">
        <v>0</v>
      </c>
      <c r="C373" t="s">
        <v>46098</v>
      </c>
      <c r="D373">
        <v>1037022454355</v>
      </c>
      <c r="E373">
        <v>1</v>
      </c>
      <c r="F373">
        <v>6143534996</v>
      </c>
      <c r="G373">
        <v>5994000</v>
      </c>
      <c r="H373" t="s">
        <v>40293</v>
      </c>
      <c r="I373">
        <v>654</v>
      </c>
      <c r="J373">
        <v>28</v>
      </c>
      <c r="K373">
        <v>30</v>
      </c>
    </row>
    <row r="374" spans="1:11">
      <c r="A374">
        <v>7</v>
      </c>
      <c r="B374" t="b">
        <v>0</v>
      </c>
      <c r="C374" t="s">
        <v>45184</v>
      </c>
      <c r="D374">
        <v>1037022454355</v>
      </c>
      <c r="E374">
        <v>1</v>
      </c>
      <c r="F374">
        <v>6150667023</v>
      </c>
      <c r="G374">
        <v>3824000</v>
      </c>
      <c r="H374" t="s">
        <v>40293</v>
      </c>
      <c r="I374">
        <v>654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44115</v>
      </c>
      <c r="D375">
        <v>1037022454355</v>
      </c>
      <c r="E375">
        <v>1</v>
      </c>
      <c r="F375">
        <v>6143345630</v>
      </c>
      <c r="G375">
        <v>3823000</v>
      </c>
      <c r="H375" t="s">
        <v>40293</v>
      </c>
      <c r="I375">
        <v>654</v>
      </c>
      <c r="J375">
        <v>1</v>
      </c>
      <c r="K375">
        <v>5</v>
      </c>
    </row>
    <row r="376" spans="1:11">
      <c r="A376">
        <v>90</v>
      </c>
      <c r="B376" t="b">
        <v>0</v>
      </c>
      <c r="C376" t="s">
        <v>44478</v>
      </c>
      <c r="D376">
        <v>1037022454355</v>
      </c>
      <c r="E376">
        <v>1</v>
      </c>
      <c r="F376">
        <v>6153377853</v>
      </c>
      <c r="G376">
        <v>1000000</v>
      </c>
      <c r="H376" t="s">
        <v>40293</v>
      </c>
      <c r="I376">
        <v>654</v>
      </c>
      <c r="J376">
        <v>2</v>
      </c>
      <c r="K376">
        <v>6</v>
      </c>
    </row>
    <row r="377" spans="1:11">
      <c r="A377">
        <v>90</v>
      </c>
      <c r="B377" t="b">
        <v>0</v>
      </c>
      <c r="C377" t="s">
        <v>43164</v>
      </c>
      <c r="D377">
        <v>1037022454355</v>
      </c>
      <c r="E377">
        <v>1</v>
      </c>
      <c r="F377">
        <v>6143844340</v>
      </c>
      <c r="G377">
        <v>5940000</v>
      </c>
      <c r="H377" t="s">
        <v>40293</v>
      </c>
      <c r="I377">
        <v>655</v>
      </c>
      <c r="J377">
        <v>10</v>
      </c>
      <c r="K377">
        <v>10</v>
      </c>
    </row>
    <row r="378" spans="1:11">
      <c r="A378">
        <v>90</v>
      </c>
      <c r="B378" t="b">
        <v>0</v>
      </c>
      <c r="C378" t="s">
        <v>44069</v>
      </c>
      <c r="D378">
        <v>1037022454355</v>
      </c>
      <c r="E378">
        <v>1</v>
      </c>
      <c r="F378">
        <v>6156583351</v>
      </c>
      <c r="G378">
        <v>4236000</v>
      </c>
      <c r="H378" t="s">
        <v>40293</v>
      </c>
      <c r="I378">
        <v>655</v>
      </c>
      <c r="J378">
        <v>1</v>
      </c>
      <c r="K378">
        <v>1</v>
      </c>
    </row>
    <row r="379" spans="1:11">
      <c r="A379">
        <v>90</v>
      </c>
      <c r="B379" t="b">
        <v>0</v>
      </c>
      <c r="C379" t="s">
        <v>45832</v>
      </c>
      <c r="D379">
        <v>1037022454355</v>
      </c>
      <c r="E379">
        <v>1</v>
      </c>
      <c r="F379">
        <v>6153755315</v>
      </c>
      <c r="G379">
        <v>4200000</v>
      </c>
      <c r="H379" t="s">
        <v>40293</v>
      </c>
      <c r="I379">
        <v>655</v>
      </c>
      <c r="J379">
        <v>9</v>
      </c>
      <c r="K379">
        <v>50</v>
      </c>
    </row>
    <row r="380" spans="1:11">
      <c r="A380">
        <v>90</v>
      </c>
      <c r="B380" t="b">
        <v>0</v>
      </c>
      <c r="C380" t="s">
        <v>43108</v>
      </c>
      <c r="D380">
        <v>1037022454355</v>
      </c>
      <c r="E380">
        <v>1</v>
      </c>
      <c r="F380">
        <v>6140140104</v>
      </c>
      <c r="G380">
        <v>5996000</v>
      </c>
      <c r="H380" t="s">
        <v>40293</v>
      </c>
      <c r="I380">
        <v>656</v>
      </c>
      <c r="J380">
        <v>1</v>
      </c>
      <c r="K380">
        <v>1</v>
      </c>
    </row>
    <row r="381" spans="1:11">
      <c r="A381">
        <v>30</v>
      </c>
      <c r="B381" t="b">
        <v>0</v>
      </c>
      <c r="C381" t="s">
        <v>43490</v>
      </c>
      <c r="D381">
        <v>1037022454355</v>
      </c>
      <c r="E381">
        <v>1</v>
      </c>
      <c r="F381">
        <v>6141199114</v>
      </c>
      <c r="G381">
        <v>5948000</v>
      </c>
      <c r="H381" t="s">
        <v>40293</v>
      </c>
      <c r="I381">
        <v>656</v>
      </c>
      <c r="J381">
        <v>2</v>
      </c>
      <c r="K381">
        <v>2</v>
      </c>
    </row>
    <row r="382" spans="1:11">
      <c r="A382">
        <v>90</v>
      </c>
      <c r="B382" t="b">
        <v>0</v>
      </c>
      <c r="C382" t="s">
        <v>43560</v>
      </c>
      <c r="D382">
        <v>1037022454355</v>
      </c>
      <c r="E382">
        <v>1</v>
      </c>
      <c r="F382">
        <v>6141070462</v>
      </c>
      <c r="G382">
        <v>5594000</v>
      </c>
      <c r="H382" t="s">
        <v>40293</v>
      </c>
      <c r="I382">
        <v>656</v>
      </c>
      <c r="J382">
        <v>10</v>
      </c>
      <c r="K382">
        <v>10</v>
      </c>
    </row>
    <row r="383" spans="1:11">
      <c r="A383">
        <v>90</v>
      </c>
      <c r="B383" t="b">
        <v>0</v>
      </c>
      <c r="C383" t="s">
        <v>43164</v>
      </c>
      <c r="D383">
        <v>1037022454355</v>
      </c>
      <c r="E383">
        <v>1</v>
      </c>
      <c r="F383">
        <v>6143844339</v>
      </c>
      <c r="G383">
        <v>5592000</v>
      </c>
      <c r="H383" t="s">
        <v>40293</v>
      </c>
      <c r="I383">
        <v>656</v>
      </c>
      <c r="J383">
        <v>10</v>
      </c>
      <c r="K383">
        <v>10</v>
      </c>
    </row>
    <row r="384" spans="1:11">
      <c r="A384">
        <v>90</v>
      </c>
      <c r="B384" t="b">
        <v>0</v>
      </c>
      <c r="C384" t="s">
        <v>43564</v>
      </c>
      <c r="D384">
        <v>1037022454355</v>
      </c>
      <c r="E384">
        <v>1</v>
      </c>
      <c r="F384">
        <v>6124752108</v>
      </c>
      <c r="G384">
        <v>5590000</v>
      </c>
      <c r="H384" t="s">
        <v>40293</v>
      </c>
      <c r="I384">
        <v>656</v>
      </c>
      <c r="J384">
        <v>7</v>
      </c>
      <c r="K384">
        <v>30</v>
      </c>
    </row>
    <row r="385" spans="1:11">
      <c r="A385">
        <v>90</v>
      </c>
      <c r="B385" t="b">
        <v>0</v>
      </c>
      <c r="C385" t="s">
        <v>44092</v>
      </c>
      <c r="D385">
        <v>1037022454355</v>
      </c>
      <c r="E385">
        <v>1</v>
      </c>
      <c r="F385">
        <v>6151209638</v>
      </c>
      <c r="G385">
        <v>4000000</v>
      </c>
      <c r="H385" t="s">
        <v>40293</v>
      </c>
      <c r="I385">
        <v>656</v>
      </c>
      <c r="J385">
        <v>1</v>
      </c>
      <c r="K385">
        <v>10</v>
      </c>
    </row>
    <row r="386" spans="1:11">
      <c r="A386">
        <v>90</v>
      </c>
      <c r="B386" t="b">
        <v>0</v>
      </c>
      <c r="C386" t="s">
        <v>43200</v>
      </c>
      <c r="D386">
        <v>1037022454355</v>
      </c>
      <c r="E386">
        <v>1</v>
      </c>
      <c r="F386">
        <v>6143878139</v>
      </c>
      <c r="G386">
        <v>5787000</v>
      </c>
      <c r="H386" t="s">
        <v>40293</v>
      </c>
      <c r="I386">
        <v>657</v>
      </c>
      <c r="J386">
        <v>8</v>
      </c>
      <c r="K386">
        <v>10</v>
      </c>
    </row>
    <row r="387" spans="1:11">
      <c r="A387">
        <v>90</v>
      </c>
      <c r="B387" t="b">
        <v>0</v>
      </c>
      <c r="C387" t="s">
        <v>44623</v>
      </c>
      <c r="D387">
        <v>1037022454355</v>
      </c>
      <c r="E387">
        <v>1</v>
      </c>
      <c r="F387">
        <v>6143844341</v>
      </c>
      <c r="G387">
        <v>5786000</v>
      </c>
      <c r="H387" t="s">
        <v>40293</v>
      </c>
      <c r="I387">
        <v>657</v>
      </c>
      <c r="J387">
        <v>3</v>
      </c>
      <c r="K387">
        <v>10</v>
      </c>
    </row>
    <row r="388" spans="1:11">
      <c r="A388">
        <v>90</v>
      </c>
      <c r="B388" t="b">
        <v>0</v>
      </c>
      <c r="C388" t="s">
        <v>44065</v>
      </c>
      <c r="D388">
        <v>1037022454355</v>
      </c>
      <c r="E388">
        <v>1</v>
      </c>
      <c r="F388">
        <v>6151209345</v>
      </c>
      <c r="G388">
        <v>4000000</v>
      </c>
      <c r="H388" t="s">
        <v>40293</v>
      </c>
      <c r="I388">
        <v>657</v>
      </c>
      <c r="J388">
        <v>6</v>
      </c>
      <c r="K388">
        <v>10</v>
      </c>
    </row>
    <row r="389" spans="1:11">
      <c r="A389">
        <v>90</v>
      </c>
      <c r="B389" t="b">
        <v>0</v>
      </c>
      <c r="C389" t="s">
        <v>42605</v>
      </c>
      <c r="D389">
        <v>1037022454355</v>
      </c>
      <c r="E389">
        <v>1</v>
      </c>
      <c r="F389">
        <v>6107318504</v>
      </c>
      <c r="G389">
        <v>45000</v>
      </c>
      <c r="H389" t="s">
        <v>40293</v>
      </c>
      <c r="I389">
        <v>672</v>
      </c>
      <c r="J389">
        <v>47</v>
      </c>
      <c r="K389">
        <v>50</v>
      </c>
    </row>
    <row r="390" spans="1:11">
      <c r="A390">
        <v>90</v>
      </c>
      <c r="B390" t="b">
        <v>0</v>
      </c>
      <c r="C390" t="s">
        <v>42892</v>
      </c>
      <c r="D390">
        <v>1037022454355</v>
      </c>
      <c r="E390">
        <v>1</v>
      </c>
      <c r="F390">
        <v>6114994910</v>
      </c>
      <c r="G390">
        <v>44960</v>
      </c>
      <c r="H390" t="s">
        <v>40293</v>
      </c>
      <c r="I390">
        <v>672</v>
      </c>
      <c r="J390">
        <v>3</v>
      </c>
      <c r="K390">
        <v>10</v>
      </c>
    </row>
    <row r="391" spans="1:11">
      <c r="A391">
        <v>90</v>
      </c>
      <c r="B391" t="b">
        <v>0</v>
      </c>
      <c r="C391" t="s">
        <v>43387</v>
      </c>
      <c r="D391">
        <v>1037022454355</v>
      </c>
      <c r="E391">
        <v>1</v>
      </c>
      <c r="F391">
        <v>6086014535</v>
      </c>
      <c r="G391">
        <v>44900</v>
      </c>
      <c r="H391" t="s">
        <v>40293</v>
      </c>
      <c r="I391">
        <v>672</v>
      </c>
      <c r="J391">
        <v>2</v>
      </c>
      <c r="K391">
        <v>132</v>
      </c>
    </row>
    <row r="392" spans="1:11">
      <c r="A392">
        <v>90</v>
      </c>
      <c r="B392" t="b">
        <v>0</v>
      </c>
      <c r="C392" t="s">
        <v>45805</v>
      </c>
      <c r="D392">
        <v>1037022454355</v>
      </c>
      <c r="E392">
        <v>1</v>
      </c>
      <c r="F392">
        <v>6148544971</v>
      </c>
      <c r="G392">
        <v>4000000</v>
      </c>
      <c r="H392" t="s">
        <v>40293</v>
      </c>
      <c r="I392">
        <v>689</v>
      </c>
      <c r="J392">
        <v>5</v>
      </c>
      <c r="K392">
        <v>5</v>
      </c>
    </row>
    <row r="393" spans="1:11">
      <c r="A393">
        <v>90</v>
      </c>
      <c r="B393" t="b">
        <v>0</v>
      </c>
      <c r="C393" t="s">
        <v>45805</v>
      </c>
      <c r="D393">
        <v>1037022454355</v>
      </c>
      <c r="E393">
        <v>1</v>
      </c>
      <c r="F393">
        <v>6148544970</v>
      </c>
      <c r="G393">
        <v>4000000</v>
      </c>
      <c r="H393" t="s">
        <v>40293</v>
      </c>
      <c r="I393">
        <v>691</v>
      </c>
      <c r="J393">
        <v>11</v>
      </c>
      <c r="K393">
        <v>11</v>
      </c>
    </row>
    <row r="394" spans="1:11">
      <c r="A394">
        <v>90</v>
      </c>
      <c r="B394" t="b">
        <v>0</v>
      </c>
      <c r="C394" t="s">
        <v>46558</v>
      </c>
      <c r="D394">
        <v>1037022454355</v>
      </c>
      <c r="E394">
        <v>1</v>
      </c>
      <c r="F394">
        <v>6148554577</v>
      </c>
      <c r="G394">
        <v>400000</v>
      </c>
      <c r="H394" t="s">
        <v>40293</v>
      </c>
      <c r="I394">
        <v>820</v>
      </c>
      <c r="J394">
        <v>7</v>
      </c>
      <c r="K394">
        <v>8</v>
      </c>
    </row>
    <row r="395" spans="1:11">
      <c r="A395">
        <v>90</v>
      </c>
      <c r="B395" t="b">
        <v>0</v>
      </c>
      <c r="C395" t="s">
        <v>46558</v>
      </c>
      <c r="D395">
        <v>1037022454355</v>
      </c>
      <c r="E395">
        <v>1</v>
      </c>
      <c r="F395">
        <v>6148554578</v>
      </c>
      <c r="G395">
        <v>400000</v>
      </c>
      <c r="H395" t="s">
        <v>40293</v>
      </c>
      <c r="I395">
        <v>821</v>
      </c>
      <c r="J395">
        <v>8</v>
      </c>
      <c r="K395">
        <v>9</v>
      </c>
    </row>
    <row r="396" spans="1:11">
      <c r="A396">
        <v>90</v>
      </c>
      <c r="B396" t="b">
        <v>0</v>
      </c>
      <c r="C396" t="s">
        <v>46558</v>
      </c>
      <c r="D396">
        <v>1037022454355</v>
      </c>
      <c r="E396">
        <v>1</v>
      </c>
      <c r="F396">
        <v>6148554580</v>
      </c>
      <c r="G396">
        <v>400000</v>
      </c>
      <c r="H396" t="s">
        <v>40293</v>
      </c>
      <c r="I396">
        <v>822</v>
      </c>
      <c r="J396">
        <v>8</v>
      </c>
      <c r="K396">
        <v>9</v>
      </c>
    </row>
    <row r="397" spans="1:11">
      <c r="A397">
        <v>90</v>
      </c>
      <c r="B397" t="b">
        <v>0</v>
      </c>
      <c r="C397" t="s">
        <v>46558</v>
      </c>
      <c r="D397">
        <v>1037022454355</v>
      </c>
      <c r="E397">
        <v>1</v>
      </c>
      <c r="F397">
        <v>6148554581</v>
      </c>
      <c r="G397">
        <v>400000</v>
      </c>
      <c r="H397" t="s">
        <v>40293</v>
      </c>
      <c r="I397">
        <v>823</v>
      </c>
      <c r="J397">
        <v>2</v>
      </c>
      <c r="K397">
        <v>3</v>
      </c>
    </row>
    <row r="398" spans="1:11">
      <c r="A398">
        <v>90</v>
      </c>
      <c r="B398" t="b">
        <v>0</v>
      </c>
      <c r="C398" t="s">
        <v>46558</v>
      </c>
      <c r="D398">
        <v>1037022454355</v>
      </c>
      <c r="E398">
        <v>1</v>
      </c>
      <c r="F398">
        <v>6148554579</v>
      </c>
      <c r="G398">
        <v>1900000</v>
      </c>
      <c r="H398" t="s">
        <v>40293</v>
      </c>
      <c r="I398">
        <v>825</v>
      </c>
      <c r="J398">
        <v>9</v>
      </c>
      <c r="K398">
        <v>9</v>
      </c>
    </row>
    <row r="399" spans="1:11">
      <c r="A399">
        <v>90</v>
      </c>
      <c r="B399" t="b">
        <v>0</v>
      </c>
      <c r="C399" t="s">
        <v>46558</v>
      </c>
      <c r="D399">
        <v>1037022454355</v>
      </c>
      <c r="E399">
        <v>1</v>
      </c>
      <c r="F399">
        <v>6148554582</v>
      </c>
      <c r="G399">
        <v>1900000</v>
      </c>
      <c r="H399" t="s">
        <v>40293</v>
      </c>
      <c r="I399">
        <v>826</v>
      </c>
      <c r="J399">
        <v>8</v>
      </c>
      <c r="K399">
        <v>8</v>
      </c>
    </row>
    <row r="400" spans="1:11">
      <c r="A400">
        <v>90</v>
      </c>
      <c r="B400" t="b">
        <v>0</v>
      </c>
      <c r="C400" t="s">
        <v>46558</v>
      </c>
      <c r="D400">
        <v>1037022454355</v>
      </c>
      <c r="E400">
        <v>1</v>
      </c>
      <c r="F400">
        <v>6148554583</v>
      </c>
      <c r="G400">
        <v>2900000</v>
      </c>
      <c r="H400" t="s">
        <v>40293</v>
      </c>
      <c r="I400">
        <v>828</v>
      </c>
      <c r="J400">
        <v>8</v>
      </c>
      <c r="K400">
        <v>8</v>
      </c>
    </row>
    <row r="401" spans="1:11">
      <c r="A401">
        <v>90</v>
      </c>
      <c r="B401" t="b">
        <v>0</v>
      </c>
      <c r="C401" t="s">
        <v>44086</v>
      </c>
      <c r="D401">
        <v>1037022454355</v>
      </c>
      <c r="E401">
        <v>1</v>
      </c>
      <c r="F401">
        <v>6148522582</v>
      </c>
      <c r="G401">
        <v>300000</v>
      </c>
      <c r="H401" t="s">
        <v>40293</v>
      </c>
      <c r="I401">
        <v>834</v>
      </c>
      <c r="J401">
        <v>8</v>
      </c>
      <c r="K401">
        <v>8</v>
      </c>
    </row>
    <row r="402" spans="1:11">
      <c r="A402">
        <v>90</v>
      </c>
      <c r="B402" t="b">
        <v>0</v>
      </c>
      <c r="C402" t="s">
        <v>44086</v>
      </c>
      <c r="D402">
        <v>1037022454355</v>
      </c>
      <c r="E402">
        <v>1</v>
      </c>
      <c r="F402">
        <v>6148522580</v>
      </c>
      <c r="G402">
        <v>300000</v>
      </c>
      <c r="H402" t="s">
        <v>40293</v>
      </c>
      <c r="I402">
        <v>835</v>
      </c>
      <c r="J402">
        <v>9</v>
      </c>
      <c r="K402">
        <v>9</v>
      </c>
    </row>
    <row r="403" spans="1:11">
      <c r="A403">
        <v>90</v>
      </c>
      <c r="B403" t="b">
        <v>0</v>
      </c>
      <c r="C403" t="s">
        <v>44086</v>
      </c>
      <c r="D403">
        <v>1037022454355</v>
      </c>
      <c r="E403">
        <v>1</v>
      </c>
      <c r="F403">
        <v>6148522579</v>
      </c>
      <c r="G403">
        <v>300000</v>
      </c>
      <c r="H403" t="s">
        <v>40293</v>
      </c>
      <c r="I403">
        <v>836</v>
      </c>
      <c r="J403">
        <v>11</v>
      </c>
      <c r="K403">
        <v>11</v>
      </c>
    </row>
    <row r="404" spans="1:11">
      <c r="A404">
        <v>90</v>
      </c>
      <c r="B404" t="b">
        <v>0</v>
      </c>
      <c r="C404" t="s">
        <v>44086</v>
      </c>
      <c r="D404">
        <v>1037022454355</v>
      </c>
      <c r="E404">
        <v>1</v>
      </c>
      <c r="F404">
        <v>6148522586</v>
      </c>
      <c r="G404">
        <v>900000</v>
      </c>
      <c r="H404" t="s">
        <v>40293</v>
      </c>
      <c r="I404">
        <v>837</v>
      </c>
      <c r="J404">
        <v>9</v>
      </c>
      <c r="K404">
        <v>9</v>
      </c>
    </row>
    <row r="405" spans="1:11">
      <c r="A405">
        <v>90</v>
      </c>
      <c r="B405" t="b">
        <v>0</v>
      </c>
      <c r="C405" t="s">
        <v>44086</v>
      </c>
      <c r="D405">
        <v>1037022454355</v>
      </c>
      <c r="E405">
        <v>1</v>
      </c>
      <c r="F405">
        <v>6148522585</v>
      </c>
      <c r="G405">
        <v>900000</v>
      </c>
      <c r="H405" t="s">
        <v>40293</v>
      </c>
      <c r="I405">
        <v>838</v>
      </c>
      <c r="J405">
        <v>8</v>
      </c>
      <c r="K405">
        <v>8</v>
      </c>
    </row>
    <row r="406" spans="1:11">
      <c r="A406">
        <v>90</v>
      </c>
      <c r="B406" t="b">
        <v>0</v>
      </c>
      <c r="C406" t="s">
        <v>44086</v>
      </c>
      <c r="D406">
        <v>1037022454355</v>
      </c>
      <c r="E406">
        <v>1</v>
      </c>
      <c r="F406">
        <v>6148522584</v>
      </c>
      <c r="G406">
        <v>900000</v>
      </c>
      <c r="H406" t="s">
        <v>40293</v>
      </c>
      <c r="I406">
        <v>839</v>
      </c>
      <c r="J406">
        <v>7</v>
      </c>
      <c r="K406">
        <v>7</v>
      </c>
    </row>
    <row r="407" spans="1:11">
      <c r="A407">
        <v>90</v>
      </c>
      <c r="B407" t="b">
        <v>0</v>
      </c>
      <c r="C407" t="s">
        <v>44086</v>
      </c>
      <c r="D407">
        <v>1037022454355</v>
      </c>
      <c r="E407">
        <v>1</v>
      </c>
      <c r="F407">
        <v>6148522581</v>
      </c>
      <c r="G407">
        <v>900000</v>
      </c>
      <c r="H407" t="s">
        <v>40293</v>
      </c>
      <c r="I407">
        <v>840</v>
      </c>
      <c r="J407">
        <v>5</v>
      </c>
      <c r="K407">
        <v>5</v>
      </c>
    </row>
    <row r="408" spans="1:11">
      <c r="A408">
        <v>90</v>
      </c>
      <c r="B408" t="b">
        <v>0</v>
      </c>
      <c r="C408" t="s">
        <v>44086</v>
      </c>
      <c r="D408">
        <v>1037022454355</v>
      </c>
      <c r="E408">
        <v>1</v>
      </c>
      <c r="F408">
        <v>6148522583</v>
      </c>
      <c r="G408">
        <v>3000000</v>
      </c>
      <c r="H408" t="s">
        <v>40293</v>
      </c>
      <c r="I408">
        <v>843</v>
      </c>
      <c r="J408">
        <v>4</v>
      </c>
      <c r="K408">
        <v>4</v>
      </c>
    </row>
    <row r="409" spans="1:11">
      <c r="A409">
        <v>90</v>
      </c>
      <c r="B409" t="b">
        <v>0</v>
      </c>
      <c r="C409" t="s">
        <v>45774</v>
      </c>
      <c r="D409">
        <v>1037022454355</v>
      </c>
      <c r="E409">
        <v>1</v>
      </c>
      <c r="F409">
        <v>6148544517</v>
      </c>
      <c r="G409">
        <v>200000</v>
      </c>
      <c r="H409" t="s">
        <v>40293</v>
      </c>
      <c r="I409">
        <v>879</v>
      </c>
      <c r="J409">
        <v>14</v>
      </c>
      <c r="K409">
        <v>14</v>
      </c>
    </row>
    <row r="410" spans="1:11">
      <c r="A410">
        <v>90</v>
      </c>
      <c r="B410" t="b">
        <v>0</v>
      </c>
      <c r="C410" t="s">
        <v>45774</v>
      </c>
      <c r="D410">
        <v>1037022454355</v>
      </c>
      <c r="E410">
        <v>1</v>
      </c>
      <c r="F410">
        <v>6148544525</v>
      </c>
      <c r="G410">
        <v>200000</v>
      </c>
      <c r="H410" t="s">
        <v>40293</v>
      </c>
      <c r="I410">
        <v>880</v>
      </c>
      <c r="J410">
        <v>19</v>
      </c>
      <c r="K410">
        <v>19</v>
      </c>
    </row>
    <row r="411" spans="1:11">
      <c r="A411">
        <v>90</v>
      </c>
      <c r="B411" t="b">
        <v>0</v>
      </c>
      <c r="C411" t="s">
        <v>45774</v>
      </c>
      <c r="D411">
        <v>1037022454355</v>
      </c>
      <c r="E411">
        <v>1</v>
      </c>
      <c r="F411">
        <v>6148544529</v>
      </c>
      <c r="G411">
        <v>200000</v>
      </c>
      <c r="H411" t="s">
        <v>40293</v>
      </c>
      <c r="I411">
        <v>881</v>
      </c>
      <c r="J411">
        <v>10</v>
      </c>
      <c r="K411">
        <v>10</v>
      </c>
    </row>
    <row r="412" spans="1:11">
      <c r="A412">
        <v>90</v>
      </c>
      <c r="B412" t="b">
        <v>0</v>
      </c>
      <c r="C412" t="s">
        <v>45774</v>
      </c>
      <c r="D412">
        <v>1037022454355</v>
      </c>
      <c r="E412">
        <v>1</v>
      </c>
      <c r="F412">
        <v>6148544519</v>
      </c>
      <c r="G412">
        <v>200000</v>
      </c>
      <c r="H412" t="s">
        <v>40293</v>
      </c>
      <c r="I412">
        <v>882</v>
      </c>
      <c r="J412">
        <v>14</v>
      </c>
      <c r="K412">
        <v>14</v>
      </c>
    </row>
    <row r="413" spans="1:11">
      <c r="A413">
        <v>90</v>
      </c>
      <c r="B413" t="b">
        <v>0</v>
      </c>
      <c r="C413" t="s">
        <v>45774</v>
      </c>
      <c r="D413">
        <v>1037022454355</v>
      </c>
      <c r="E413">
        <v>1</v>
      </c>
      <c r="F413">
        <v>6148544531</v>
      </c>
      <c r="G413">
        <v>200000</v>
      </c>
      <c r="H413" t="s">
        <v>40293</v>
      </c>
      <c r="I413">
        <v>883</v>
      </c>
      <c r="J413">
        <v>14</v>
      </c>
      <c r="K413">
        <v>14</v>
      </c>
    </row>
    <row r="414" spans="1:11">
      <c r="A414">
        <v>90</v>
      </c>
      <c r="B414" t="b">
        <v>0</v>
      </c>
      <c r="C414" t="s">
        <v>45774</v>
      </c>
      <c r="D414">
        <v>1037022454355</v>
      </c>
      <c r="E414">
        <v>1</v>
      </c>
      <c r="F414">
        <v>6148544523</v>
      </c>
      <c r="G414">
        <v>200000</v>
      </c>
      <c r="H414" t="s">
        <v>40293</v>
      </c>
      <c r="I414">
        <v>884</v>
      </c>
      <c r="J414">
        <v>14</v>
      </c>
      <c r="K414">
        <v>14</v>
      </c>
    </row>
    <row r="415" spans="1:11">
      <c r="A415">
        <v>90</v>
      </c>
      <c r="B415" t="b">
        <v>0</v>
      </c>
      <c r="C415" t="s">
        <v>45774</v>
      </c>
      <c r="D415">
        <v>1037022454355</v>
      </c>
      <c r="E415">
        <v>1</v>
      </c>
      <c r="F415">
        <v>6148544527</v>
      </c>
      <c r="G415">
        <v>200000</v>
      </c>
      <c r="H415" t="s">
        <v>40293</v>
      </c>
      <c r="I415">
        <v>885</v>
      </c>
      <c r="J415">
        <v>15</v>
      </c>
      <c r="K415">
        <v>15</v>
      </c>
    </row>
    <row r="416" spans="1:11">
      <c r="A416">
        <v>90</v>
      </c>
      <c r="B416" t="b">
        <v>0</v>
      </c>
      <c r="C416" t="s">
        <v>45774</v>
      </c>
      <c r="D416">
        <v>1037022454355</v>
      </c>
      <c r="E416">
        <v>1</v>
      </c>
      <c r="F416">
        <v>6148544521</v>
      </c>
      <c r="G416">
        <v>600000</v>
      </c>
      <c r="H416" t="s">
        <v>40293</v>
      </c>
      <c r="I416">
        <v>886</v>
      </c>
      <c r="J416">
        <v>25</v>
      </c>
      <c r="K416">
        <v>25</v>
      </c>
    </row>
    <row r="417" spans="1:11">
      <c r="A417">
        <v>90</v>
      </c>
      <c r="B417" t="b">
        <v>0</v>
      </c>
      <c r="C417" t="s">
        <v>45774</v>
      </c>
      <c r="D417">
        <v>1037022454355</v>
      </c>
      <c r="E417">
        <v>1</v>
      </c>
      <c r="F417">
        <v>6148544516</v>
      </c>
      <c r="G417">
        <v>900000</v>
      </c>
      <c r="H417" t="s">
        <v>40293</v>
      </c>
      <c r="I417">
        <v>887</v>
      </c>
      <c r="J417">
        <v>10</v>
      </c>
      <c r="K417">
        <v>13</v>
      </c>
    </row>
    <row r="418" spans="1:11">
      <c r="A418">
        <v>90</v>
      </c>
      <c r="B418" t="b">
        <v>0</v>
      </c>
      <c r="C418" t="s">
        <v>45774</v>
      </c>
      <c r="D418">
        <v>1037022454355</v>
      </c>
      <c r="E418">
        <v>1</v>
      </c>
      <c r="F418">
        <v>6148544524</v>
      </c>
      <c r="G418">
        <v>900000</v>
      </c>
      <c r="H418" t="s">
        <v>40293</v>
      </c>
      <c r="I418">
        <v>888</v>
      </c>
      <c r="J418">
        <v>8</v>
      </c>
      <c r="K418">
        <v>8</v>
      </c>
    </row>
    <row r="419" spans="1:11">
      <c r="A419">
        <v>90</v>
      </c>
      <c r="B419" t="b">
        <v>0</v>
      </c>
      <c r="C419" t="s">
        <v>45774</v>
      </c>
      <c r="D419">
        <v>1037022454355</v>
      </c>
      <c r="E419">
        <v>1</v>
      </c>
      <c r="F419">
        <v>6148544528</v>
      </c>
      <c r="G419">
        <v>900000</v>
      </c>
      <c r="H419" t="s">
        <v>40293</v>
      </c>
      <c r="I419">
        <v>889</v>
      </c>
      <c r="J419">
        <v>9</v>
      </c>
      <c r="K419">
        <v>9</v>
      </c>
    </row>
    <row r="420" spans="1:11">
      <c r="A420">
        <v>90</v>
      </c>
      <c r="B420" t="b">
        <v>0</v>
      </c>
      <c r="C420" t="s">
        <v>45774</v>
      </c>
      <c r="D420">
        <v>1037022454355</v>
      </c>
      <c r="E420">
        <v>1</v>
      </c>
      <c r="F420">
        <v>6148544518</v>
      </c>
      <c r="G420">
        <v>900000</v>
      </c>
      <c r="H420" t="s">
        <v>40293</v>
      </c>
      <c r="I420">
        <v>890</v>
      </c>
      <c r="J420">
        <v>3</v>
      </c>
      <c r="K420">
        <v>3</v>
      </c>
    </row>
    <row r="421" spans="1:11">
      <c r="A421">
        <v>90</v>
      </c>
      <c r="B421" t="b">
        <v>0</v>
      </c>
      <c r="C421" t="s">
        <v>45774</v>
      </c>
      <c r="D421">
        <v>1037022454355</v>
      </c>
      <c r="E421">
        <v>1</v>
      </c>
      <c r="F421">
        <v>6148544530</v>
      </c>
      <c r="G421">
        <v>900000</v>
      </c>
      <c r="H421" t="s">
        <v>40293</v>
      </c>
      <c r="I421">
        <v>891</v>
      </c>
      <c r="J421">
        <v>6</v>
      </c>
      <c r="K421">
        <v>9</v>
      </c>
    </row>
    <row r="422" spans="1:11">
      <c r="A422">
        <v>90</v>
      </c>
      <c r="B422" t="b">
        <v>0</v>
      </c>
      <c r="C422" t="s">
        <v>45774</v>
      </c>
      <c r="D422">
        <v>1037022454355</v>
      </c>
      <c r="E422">
        <v>1</v>
      </c>
      <c r="F422">
        <v>6148544522</v>
      </c>
      <c r="G422">
        <v>900000</v>
      </c>
      <c r="H422" t="s">
        <v>40293</v>
      </c>
      <c r="I422">
        <v>892</v>
      </c>
      <c r="J422">
        <v>8</v>
      </c>
      <c r="K422">
        <v>8</v>
      </c>
    </row>
    <row r="423" spans="1:11">
      <c r="A423">
        <v>90</v>
      </c>
      <c r="B423" t="b">
        <v>0</v>
      </c>
      <c r="C423" t="s">
        <v>45774</v>
      </c>
      <c r="D423">
        <v>1037022454355</v>
      </c>
      <c r="E423">
        <v>1</v>
      </c>
      <c r="F423">
        <v>6148544526</v>
      </c>
      <c r="G423">
        <v>900000</v>
      </c>
      <c r="H423" t="s">
        <v>40293</v>
      </c>
      <c r="I423">
        <v>893</v>
      </c>
      <c r="J423">
        <v>10</v>
      </c>
      <c r="K423">
        <v>10</v>
      </c>
    </row>
    <row r="424" spans="1:11">
      <c r="A424">
        <v>90</v>
      </c>
      <c r="B424" t="b">
        <v>0</v>
      </c>
      <c r="C424" t="s">
        <v>45774</v>
      </c>
      <c r="D424">
        <v>1037022454355</v>
      </c>
      <c r="E424">
        <v>1</v>
      </c>
      <c r="F424">
        <v>6148544520</v>
      </c>
      <c r="G424">
        <v>1200000</v>
      </c>
      <c r="H424" t="s">
        <v>40293</v>
      </c>
      <c r="I424">
        <v>894</v>
      </c>
      <c r="J424">
        <v>99</v>
      </c>
      <c r="K424">
        <v>100</v>
      </c>
    </row>
    <row r="425" spans="1:11">
      <c r="A425">
        <v>90</v>
      </c>
      <c r="B425" t="b">
        <v>0</v>
      </c>
      <c r="C425" t="s">
        <v>46109</v>
      </c>
      <c r="D425">
        <v>1037022454355</v>
      </c>
      <c r="E425">
        <v>1</v>
      </c>
      <c r="F425">
        <v>6148548801</v>
      </c>
      <c r="G425">
        <v>15000000</v>
      </c>
      <c r="H425" t="s">
        <v>40293</v>
      </c>
      <c r="I425">
        <v>987</v>
      </c>
      <c r="J425">
        <v>17</v>
      </c>
      <c r="K425">
        <v>17</v>
      </c>
    </row>
    <row r="426" spans="1:11">
      <c r="A426">
        <v>90</v>
      </c>
      <c r="B426" t="b">
        <v>0</v>
      </c>
      <c r="C426" t="s">
        <v>46109</v>
      </c>
      <c r="D426">
        <v>1037022454355</v>
      </c>
      <c r="E426">
        <v>1</v>
      </c>
      <c r="F426">
        <v>6148548802</v>
      </c>
      <c r="G426">
        <v>5900000</v>
      </c>
      <c r="H426" t="s">
        <v>40293</v>
      </c>
      <c r="I426">
        <v>988</v>
      </c>
      <c r="J426">
        <v>14</v>
      </c>
      <c r="K426">
        <v>14</v>
      </c>
    </row>
    <row r="427" spans="1:11">
      <c r="A427">
        <v>90</v>
      </c>
      <c r="B427" t="b">
        <v>0</v>
      </c>
      <c r="C427" t="s">
        <v>45942</v>
      </c>
      <c r="D427">
        <v>1037022454355</v>
      </c>
      <c r="E427">
        <v>1</v>
      </c>
      <c r="F427">
        <v>6148546432</v>
      </c>
      <c r="G427">
        <v>900000</v>
      </c>
      <c r="H427" t="s">
        <v>40293</v>
      </c>
      <c r="I427">
        <v>1096</v>
      </c>
      <c r="J427">
        <v>7</v>
      </c>
      <c r="K427">
        <v>7</v>
      </c>
    </row>
    <row r="428" spans="1:11">
      <c r="A428">
        <v>90</v>
      </c>
      <c r="B428" t="b">
        <v>0</v>
      </c>
      <c r="C428" t="s">
        <v>45247</v>
      </c>
      <c r="D428">
        <v>1037022454355</v>
      </c>
      <c r="E428">
        <v>1</v>
      </c>
      <c r="F428">
        <v>6148551230</v>
      </c>
      <c r="G428">
        <v>400000</v>
      </c>
      <c r="H428" t="s">
        <v>40293</v>
      </c>
      <c r="I428">
        <v>1105</v>
      </c>
      <c r="J428">
        <v>4</v>
      </c>
      <c r="K428">
        <v>4</v>
      </c>
    </row>
    <row r="429" spans="1:11">
      <c r="A429">
        <v>90</v>
      </c>
      <c r="B429" t="b">
        <v>0</v>
      </c>
      <c r="C429" t="s">
        <v>46061</v>
      </c>
      <c r="D429">
        <v>1037022454355</v>
      </c>
      <c r="E429">
        <v>1</v>
      </c>
      <c r="F429">
        <v>6148547989</v>
      </c>
      <c r="G429">
        <v>400000</v>
      </c>
      <c r="H429" t="s">
        <v>40293</v>
      </c>
      <c r="I429">
        <v>1113</v>
      </c>
      <c r="J429">
        <v>5</v>
      </c>
      <c r="K429">
        <v>5</v>
      </c>
    </row>
    <row r="430" spans="1:11">
      <c r="A430">
        <v>90</v>
      </c>
      <c r="B430" t="b">
        <v>0</v>
      </c>
      <c r="C430" t="s">
        <v>46061</v>
      </c>
      <c r="D430">
        <v>1037022454355</v>
      </c>
      <c r="E430">
        <v>1</v>
      </c>
      <c r="F430">
        <v>6148547990</v>
      </c>
      <c r="G430">
        <v>400000</v>
      </c>
      <c r="H430" t="s">
        <v>40293</v>
      </c>
      <c r="I430">
        <v>1114</v>
      </c>
      <c r="J430">
        <v>5</v>
      </c>
      <c r="K430">
        <v>5</v>
      </c>
    </row>
    <row r="431" spans="1:11">
      <c r="A431">
        <v>90</v>
      </c>
      <c r="B431" t="b">
        <v>0</v>
      </c>
      <c r="C431" t="s">
        <v>41070</v>
      </c>
      <c r="D431">
        <v>1037022454355</v>
      </c>
      <c r="E431">
        <v>1</v>
      </c>
      <c r="F431">
        <v>6107612394</v>
      </c>
      <c r="G431">
        <v>1528000</v>
      </c>
      <c r="H431" t="s">
        <v>40293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41894</v>
      </c>
      <c r="D432">
        <v>1037022454355</v>
      </c>
      <c r="E432">
        <v>1</v>
      </c>
      <c r="F432">
        <v>6128545414</v>
      </c>
      <c r="G432">
        <v>1490000</v>
      </c>
      <c r="H432" t="s">
        <v>40293</v>
      </c>
      <c r="I432">
        <v>1182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43341</v>
      </c>
      <c r="D433">
        <v>1037022454355</v>
      </c>
      <c r="E433">
        <v>1</v>
      </c>
      <c r="F433">
        <v>6126416481</v>
      </c>
      <c r="G433">
        <v>740000</v>
      </c>
      <c r="H433" t="s">
        <v>40293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44723</v>
      </c>
      <c r="D434">
        <v>1037022454355</v>
      </c>
      <c r="E434">
        <v>1</v>
      </c>
      <c r="F434">
        <v>6151283855</v>
      </c>
      <c r="G434">
        <v>732700</v>
      </c>
      <c r="H434" t="s">
        <v>40293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44319</v>
      </c>
      <c r="D435">
        <v>1037022454355</v>
      </c>
      <c r="E435">
        <v>1</v>
      </c>
      <c r="F435">
        <v>6147575703</v>
      </c>
      <c r="G435">
        <v>400000</v>
      </c>
      <c r="H435" t="s">
        <v>40293</v>
      </c>
      <c r="I435">
        <v>1182</v>
      </c>
      <c r="J435">
        <v>21</v>
      </c>
      <c r="K435">
        <v>35</v>
      </c>
    </row>
    <row r="436" spans="1:11">
      <c r="A436">
        <v>30</v>
      </c>
      <c r="B436" t="b">
        <v>0</v>
      </c>
      <c r="C436" t="s">
        <v>44117</v>
      </c>
      <c r="D436">
        <v>1037022454355</v>
      </c>
      <c r="E436">
        <v>1</v>
      </c>
      <c r="F436">
        <v>6157108205</v>
      </c>
      <c r="G436">
        <v>399900</v>
      </c>
      <c r="H436" t="s">
        <v>40293</v>
      </c>
      <c r="I436">
        <v>1182</v>
      </c>
      <c r="J436">
        <v>18</v>
      </c>
      <c r="K436">
        <v>20</v>
      </c>
    </row>
    <row r="437" spans="1:11">
      <c r="A437">
        <v>90</v>
      </c>
      <c r="B437" t="b">
        <v>0</v>
      </c>
      <c r="C437" t="s">
        <v>41908</v>
      </c>
      <c r="D437">
        <v>1037022454355</v>
      </c>
      <c r="E437">
        <v>1</v>
      </c>
      <c r="F437">
        <v>6099618739</v>
      </c>
      <c r="G437">
        <v>573500</v>
      </c>
      <c r="H437" t="s">
        <v>40293</v>
      </c>
      <c r="I437">
        <v>1183</v>
      </c>
      <c r="J437">
        <v>38</v>
      </c>
      <c r="K437">
        <v>40</v>
      </c>
    </row>
    <row r="438" spans="1:11">
      <c r="A438">
        <v>90</v>
      </c>
      <c r="B438" t="b">
        <v>0</v>
      </c>
      <c r="C438" t="s">
        <v>42564</v>
      </c>
      <c r="D438">
        <v>1037022454355</v>
      </c>
      <c r="E438">
        <v>1</v>
      </c>
      <c r="F438">
        <v>6089982205</v>
      </c>
      <c r="G438">
        <v>529000</v>
      </c>
      <c r="H438" t="s">
        <v>40293</v>
      </c>
      <c r="I438">
        <v>1183</v>
      </c>
      <c r="J438">
        <v>5</v>
      </c>
      <c r="K438">
        <v>21</v>
      </c>
    </row>
    <row r="439" spans="1:11">
      <c r="A439">
        <v>30</v>
      </c>
      <c r="B439" t="b">
        <v>0</v>
      </c>
      <c r="C439" t="s">
        <v>43313</v>
      </c>
      <c r="D439">
        <v>1037022454355</v>
      </c>
      <c r="E439">
        <v>1</v>
      </c>
      <c r="F439">
        <v>6140243880</v>
      </c>
      <c r="G439">
        <v>4375000</v>
      </c>
      <c r="H439" t="s">
        <v>40293</v>
      </c>
      <c r="I439">
        <v>1190</v>
      </c>
      <c r="J439">
        <v>10</v>
      </c>
      <c r="K439">
        <v>10</v>
      </c>
    </row>
    <row r="440" spans="1:11">
      <c r="A440">
        <v>90</v>
      </c>
      <c r="B440" t="b">
        <v>0</v>
      </c>
      <c r="C440" t="s">
        <v>40662</v>
      </c>
      <c r="D440">
        <v>1037022454355</v>
      </c>
      <c r="E440">
        <v>1</v>
      </c>
      <c r="F440">
        <v>6116581264</v>
      </c>
      <c r="G440">
        <v>5000000</v>
      </c>
      <c r="H440" t="s">
        <v>40293</v>
      </c>
      <c r="I440">
        <v>1192</v>
      </c>
      <c r="J440">
        <v>4</v>
      </c>
      <c r="K440">
        <v>4</v>
      </c>
    </row>
    <row r="441" spans="1:11">
      <c r="A441">
        <v>90</v>
      </c>
      <c r="B441" t="b">
        <v>0</v>
      </c>
      <c r="C441" t="s">
        <v>41266</v>
      </c>
      <c r="D441">
        <v>1037022454355</v>
      </c>
      <c r="E441">
        <v>1</v>
      </c>
      <c r="F441">
        <v>6103978782</v>
      </c>
      <c r="G441">
        <v>120000</v>
      </c>
      <c r="H441" t="s">
        <v>40293</v>
      </c>
      <c r="I441">
        <v>1195</v>
      </c>
      <c r="J441">
        <v>71</v>
      </c>
      <c r="K441">
        <v>109</v>
      </c>
    </row>
    <row r="442" spans="1:11">
      <c r="A442">
        <v>90</v>
      </c>
      <c r="B442" t="b">
        <v>0</v>
      </c>
      <c r="C442" t="s">
        <v>43398</v>
      </c>
      <c r="D442">
        <v>1037022454355</v>
      </c>
      <c r="E442">
        <v>1</v>
      </c>
      <c r="F442">
        <v>6143916218</v>
      </c>
      <c r="G442">
        <v>140100</v>
      </c>
      <c r="H442" t="s">
        <v>40293</v>
      </c>
      <c r="I442">
        <v>1201</v>
      </c>
      <c r="J442">
        <v>12</v>
      </c>
      <c r="K442">
        <v>20</v>
      </c>
    </row>
    <row r="443" spans="1:11">
      <c r="A443">
        <v>90</v>
      </c>
      <c r="B443" t="b">
        <v>0</v>
      </c>
      <c r="C443" t="s">
        <v>45479</v>
      </c>
      <c r="D443">
        <v>1037022454355</v>
      </c>
      <c r="E443">
        <v>1</v>
      </c>
      <c r="F443">
        <v>6150343273</v>
      </c>
      <c r="G443">
        <v>120900</v>
      </c>
      <c r="H443" t="s">
        <v>40293</v>
      </c>
      <c r="I443">
        <v>1201</v>
      </c>
      <c r="J443">
        <v>5</v>
      </c>
      <c r="K443">
        <v>5</v>
      </c>
    </row>
    <row r="444" spans="1:11">
      <c r="A444">
        <v>90</v>
      </c>
      <c r="B444" t="b">
        <v>0</v>
      </c>
      <c r="C444" t="s">
        <v>41312</v>
      </c>
      <c r="D444">
        <v>1037022454355</v>
      </c>
      <c r="E444">
        <v>1</v>
      </c>
      <c r="F444">
        <v>6090348028</v>
      </c>
      <c r="G444">
        <v>20000</v>
      </c>
      <c r="H444" t="s">
        <v>40293</v>
      </c>
      <c r="I444">
        <v>1223</v>
      </c>
      <c r="J444">
        <v>50</v>
      </c>
      <c r="K444">
        <v>50</v>
      </c>
    </row>
    <row r="445" spans="1:11">
      <c r="A445">
        <v>90</v>
      </c>
      <c r="B445" t="b">
        <v>0</v>
      </c>
      <c r="C445" t="s">
        <v>41434</v>
      </c>
      <c r="D445">
        <v>1037022454355</v>
      </c>
      <c r="E445">
        <v>1</v>
      </c>
      <c r="F445">
        <v>6080094396</v>
      </c>
      <c r="G445">
        <v>3498</v>
      </c>
      <c r="H445" t="s">
        <v>40293</v>
      </c>
      <c r="I445">
        <v>1229</v>
      </c>
      <c r="J445">
        <v>93</v>
      </c>
      <c r="K445">
        <v>93</v>
      </c>
    </row>
    <row r="446" spans="1:11">
      <c r="A446">
        <v>90</v>
      </c>
      <c r="B446" t="b">
        <v>0</v>
      </c>
      <c r="C446" t="s">
        <v>41379</v>
      </c>
      <c r="D446">
        <v>1037022454355</v>
      </c>
      <c r="E446">
        <v>1</v>
      </c>
      <c r="F446">
        <v>6101457840</v>
      </c>
      <c r="G446">
        <v>20</v>
      </c>
      <c r="H446" t="s">
        <v>40293</v>
      </c>
      <c r="I446">
        <v>1230</v>
      </c>
      <c r="J446">
        <v>64</v>
      </c>
      <c r="K446">
        <v>86</v>
      </c>
    </row>
    <row r="447" spans="1:11">
      <c r="A447">
        <v>90</v>
      </c>
      <c r="B447" t="b">
        <v>0</v>
      </c>
      <c r="C447" t="s">
        <v>42765</v>
      </c>
      <c r="D447">
        <v>1037022454355</v>
      </c>
      <c r="E447">
        <v>1</v>
      </c>
      <c r="F447">
        <v>6134655402</v>
      </c>
      <c r="G447">
        <v>739900</v>
      </c>
      <c r="H447" t="s">
        <v>40293</v>
      </c>
      <c r="I447">
        <v>1236</v>
      </c>
      <c r="J447">
        <v>25</v>
      </c>
      <c r="K447">
        <v>100</v>
      </c>
    </row>
    <row r="448" spans="1:11">
      <c r="A448">
        <v>90</v>
      </c>
      <c r="B448" t="b">
        <v>0</v>
      </c>
      <c r="C448" t="s">
        <v>46005</v>
      </c>
      <c r="D448">
        <v>1037022454355</v>
      </c>
      <c r="E448">
        <v>1</v>
      </c>
      <c r="F448">
        <v>6148547181</v>
      </c>
      <c r="G448">
        <v>900000</v>
      </c>
      <c r="H448" t="s">
        <v>40293</v>
      </c>
      <c r="I448">
        <v>1245</v>
      </c>
      <c r="J448">
        <v>1</v>
      </c>
      <c r="K448">
        <v>2</v>
      </c>
    </row>
    <row r="449" spans="1:11">
      <c r="A449">
        <v>90</v>
      </c>
      <c r="B449" t="b">
        <v>0</v>
      </c>
      <c r="C449" t="s">
        <v>41396</v>
      </c>
      <c r="D449">
        <v>1037022454355</v>
      </c>
      <c r="E449">
        <v>1</v>
      </c>
      <c r="F449">
        <v>6091365542</v>
      </c>
      <c r="G449">
        <v>1287000</v>
      </c>
      <c r="H449" t="s">
        <v>40293</v>
      </c>
      <c r="I449">
        <v>1248</v>
      </c>
      <c r="J449">
        <v>24</v>
      </c>
      <c r="K449">
        <v>25</v>
      </c>
    </row>
    <row r="450" spans="1:11">
      <c r="A450">
        <v>90</v>
      </c>
      <c r="B450" t="b">
        <v>0</v>
      </c>
      <c r="C450" t="s">
        <v>41374</v>
      </c>
      <c r="D450">
        <v>1037022454355</v>
      </c>
      <c r="E450">
        <v>1</v>
      </c>
      <c r="F450">
        <v>6102965079</v>
      </c>
      <c r="G450">
        <v>1276000</v>
      </c>
      <c r="H450" t="s">
        <v>40293</v>
      </c>
      <c r="I450">
        <v>1248</v>
      </c>
      <c r="J450">
        <v>18</v>
      </c>
      <c r="K450">
        <v>100</v>
      </c>
    </row>
    <row r="451" spans="1:11">
      <c r="A451">
        <v>90</v>
      </c>
      <c r="B451" t="b">
        <v>0</v>
      </c>
      <c r="C451" t="s">
        <v>45975</v>
      </c>
      <c r="D451">
        <v>1037022454355</v>
      </c>
      <c r="E451">
        <v>1</v>
      </c>
      <c r="F451">
        <v>6148153583</v>
      </c>
      <c r="G451">
        <v>1086000</v>
      </c>
      <c r="H451" t="s">
        <v>40293</v>
      </c>
      <c r="I451">
        <v>1248</v>
      </c>
      <c r="J451">
        <v>1</v>
      </c>
      <c r="K451">
        <v>1</v>
      </c>
    </row>
    <row r="452" spans="1:11">
      <c r="A452">
        <v>90</v>
      </c>
      <c r="B452" t="b">
        <v>0</v>
      </c>
      <c r="C452" t="s">
        <v>42908</v>
      </c>
      <c r="D452">
        <v>1037022454355</v>
      </c>
      <c r="E452">
        <v>1</v>
      </c>
      <c r="F452">
        <v>6106088204</v>
      </c>
      <c r="G452">
        <v>1083000</v>
      </c>
      <c r="H452" t="s">
        <v>40293</v>
      </c>
      <c r="I452">
        <v>1248</v>
      </c>
      <c r="J452">
        <v>13</v>
      </c>
      <c r="K452">
        <v>32</v>
      </c>
    </row>
    <row r="453" spans="1:11">
      <c r="A453">
        <v>90</v>
      </c>
      <c r="B453" t="b">
        <v>0</v>
      </c>
      <c r="C453" t="s">
        <v>44355</v>
      </c>
      <c r="D453">
        <v>1037022454355</v>
      </c>
      <c r="E453">
        <v>1</v>
      </c>
      <c r="F453">
        <v>6150066515</v>
      </c>
      <c r="G453">
        <v>1080000</v>
      </c>
      <c r="H453" t="s">
        <v>40293</v>
      </c>
      <c r="I453">
        <v>1248</v>
      </c>
      <c r="J453">
        <v>1</v>
      </c>
      <c r="K453">
        <v>3</v>
      </c>
    </row>
    <row r="454" spans="1:11">
      <c r="A454">
        <v>90</v>
      </c>
      <c r="B454" t="b">
        <v>0</v>
      </c>
      <c r="C454" t="s">
        <v>41608</v>
      </c>
      <c r="D454">
        <v>1037022454355</v>
      </c>
      <c r="E454">
        <v>1</v>
      </c>
      <c r="F454">
        <v>6094090665</v>
      </c>
      <c r="G454">
        <v>660000</v>
      </c>
      <c r="H454" t="s">
        <v>40293</v>
      </c>
      <c r="I454">
        <v>1256</v>
      </c>
      <c r="J454">
        <v>300</v>
      </c>
      <c r="K454">
        <v>300</v>
      </c>
    </row>
    <row r="455" spans="1:11">
      <c r="A455">
        <v>90</v>
      </c>
      <c r="B455" t="b">
        <v>0</v>
      </c>
      <c r="C455" t="s">
        <v>41446</v>
      </c>
      <c r="D455">
        <v>1037022454355</v>
      </c>
      <c r="E455">
        <v>1</v>
      </c>
      <c r="F455">
        <v>6073246253</v>
      </c>
      <c r="G455">
        <v>659600</v>
      </c>
      <c r="H455" t="s">
        <v>40293</v>
      </c>
      <c r="I455">
        <v>1256</v>
      </c>
      <c r="J455">
        <v>15</v>
      </c>
      <c r="K455">
        <v>25</v>
      </c>
    </row>
    <row r="456" spans="1:11">
      <c r="A456">
        <v>90</v>
      </c>
      <c r="B456" t="b">
        <v>0</v>
      </c>
      <c r="C456" t="s">
        <v>41752</v>
      </c>
      <c r="D456">
        <v>1037022454355</v>
      </c>
      <c r="E456">
        <v>1</v>
      </c>
      <c r="F456">
        <v>6113787604</v>
      </c>
      <c r="G456">
        <v>950000</v>
      </c>
      <c r="H456" t="s">
        <v>40293</v>
      </c>
      <c r="I456">
        <v>1266</v>
      </c>
      <c r="J456">
        <v>6</v>
      </c>
      <c r="K456">
        <v>25</v>
      </c>
    </row>
    <row r="457" spans="1:11">
      <c r="A457">
        <v>90</v>
      </c>
      <c r="B457" t="b">
        <v>0</v>
      </c>
      <c r="C457" t="s">
        <v>44222</v>
      </c>
      <c r="D457">
        <v>1037022454355</v>
      </c>
      <c r="E457">
        <v>1</v>
      </c>
      <c r="F457">
        <v>6149900756</v>
      </c>
      <c r="G457">
        <v>750000</v>
      </c>
      <c r="H457" t="s">
        <v>40293</v>
      </c>
      <c r="I457">
        <v>1306</v>
      </c>
      <c r="J457">
        <v>11</v>
      </c>
      <c r="K457">
        <v>35</v>
      </c>
    </row>
    <row r="458" spans="1:11">
      <c r="A458">
        <v>90</v>
      </c>
      <c r="B458" t="b">
        <v>0</v>
      </c>
      <c r="C458" t="s">
        <v>41071</v>
      </c>
      <c r="D458">
        <v>1037022454355</v>
      </c>
      <c r="E458">
        <v>1</v>
      </c>
      <c r="F458">
        <v>6097257707</v>
      </c>
      <c r="G458">
        <v>349900</v>
      </c>
      <c r="H458" t="s">
        <v>40293</v>
      </c>
      <c r="I458">
        <v>1317</v>
      </c>
      <c r="J458">
        <v>29</v>
      </c>
      <c r="K458">
        <v>29</v>
      </c>
    </row>
    <row r="459" spans="1:11">
      <c r="A459">
        <v>90</v>
      </c>
      <c r="B459" t="b">
        <v>0</v>
      </c>
      <c r="C459" t="s">
        <v>41431</v>
      </c>
      <c r="D459">
        <v>1037022454355</v>
      </c>
      <c r="E459">
        <v>1</v>
      </c>
      <c r="F459">
        <v>6113452165</v>
      </c>
      <c r="G459">
        <v>99990</v>
      </c>
      <c r="H459" t="s">
        <v>40293</v>
      </c>
      <c r="I459">
        <v>1317</v>
      </c>
      <c r="J459">
        <v>1</v>
      </c>
      <c r="K459">
        <v>2</v>
      </c>
    </row>
    <row r="460" spans="1:11">
      <c r="A460">
        <v>90</v>
      </c>
      <c r="B460" t="b">
        <v>0</v>
      </c>
      <c r="C460" t="s">
        <v>44521</v>
      </c>
      <c r="D460">
        <v>1037022454355</v>
      </c>
      <c r="E460">
        <v>1</v>
      </c>
      <c r="F460">
        <v>6072310456</v>
      </c>
      <c r="G460">
        <v>90000</v>
      </c>
      <c r="H460" t="s">
        <v>40293</v>
      </c>
      <c r="I460">
        <v>1317</v>
      </c>
      <c r="J460">
        <v>50</v>
      </c>
      <c r="K460">
        <v>100</v>
      </c>
    </row>
    <row r="461" spans="1:11">
      <c r="A461">
        <v>90</v>
      </c>
      <c r="B461" t="b">
        <v>0</v>
      </c>
      <c r="C461" t="s">
        <v>42674</v>
      </c>
      <c r="D461">
        <v>1037022454355</v>
      </c>
      <c r="E461">
        <v>1</v>
      </c>
      <c r="F461">
        <v>6133732655</v>
      </c>
      <c r="G461">
        <v>650000</v>
      </c>
      <c r="H461" t="s">
        <v>40293</v>
      </c>
      <c r="I461">
        <v>1319</v>
      </c>
      <c r="J461">
        <v>120</v>
      </c>
      <c r="K461">
        <v>120</v>
      </c>
    </row>
    <row r="462" spans="1:11">
      <c r="A462">
        <v>90</v>
      </c>
      <c r="B462" t="b">
        <v>0</v>
      </c>
      <c r="C462" t="s">
        <v>41629</v>
      </c>
      <c r="D462">
        <v>1037022454355</v>
      </c>
      <c r="E462">
        <v>1</v>
      </c>
      <c r="F462">
        <v>6067876953</v>
      </c>
      <c r="G462">
        <v>618800</v>
      </c>
      <c r="H462" t="s">
        <v>40293</v>
      </c>
      <c r="I462">
        <v>1319</v>
      </c>
      <c r="J462">
        <v>12</v>
      </c>
      <c r="K462">
        <v>30</v>
      </c>
    </row>
    <row r="463" spans="1:11">
      <c r="A463">
        <v>90</v>
      </c>
      <c r="B463" t="b">
        <v>0</v>
      </c>
      <c r="C463" t="s">
        <v>41585</v>
      </c>
      <c r="D463">
        <v>1037022454355</v>
      </c>
      <c r="E463">
        <v>1</v>
      </c>
      <c r="F463">
        <v>6122532876</v>
      </c>
      <c r="G463">
        <v>616800</v>
      </c>
      <c r="H463" t="s">
        <v>40293</v>
      </c>
      <c r="I463">
        <v>1319</v>
      </c>
      <c r="J463">
        <v>90</v>
      </c>
      <c r="K463">
        <v>150</v>
      </c>
    </row>
    <row r="464" spans="1:11">
      <c r="A464">
        <v>90</v>
      </c>
      <c r="B464" t="b">
        <v>0</v>
      </c>
      <c r="C464" t="s">
        <v>43839</v>
      </c>
      <c r="D464">
        <v>1037022454355</v>
      </c>
      <c r="E464">
        <v>1</v>
      </c>
      <c r="F464">
        <v>6144913450</v>
      </c>
      <c r="G464">
        <v>21000</v>
      </c>
      <c r="H464" t="s">
        <v>40293</v>
      </c>
      <c r="I464">
        <v>1333</v>
      </c>
      <c r="J464">
        <v>1</v>
      </c>
      <c r="K464">
        <v>1</v>
      </c>
    </row>
    <row r="465" spans="1:11">
      <c r="A465">
        <v>90</v>
      </c>
      <c r="B465" t="b">
        <v>0</v>
      </c>
      <c r="C465" t="s">
        <v>43160</v>
      </c>
      <c r="D465">
        <v>1037022454355</v>
      </c>
      <c r="E465">
        <v>1</v>
      </c>
      <c r="F465">
        <v>6146400115</v>
      </c>
      <c r="G465">
        <v>1498000</v>
      </c>
      <c r="H465" t="s">
        <v>40293</v>
      </c>
      <c r="I465">
        <v>1335</v>
      </c>
      <c r="J465">
        <v>5</v>
      </c>
      <c r="K465">
        <v>10</v>
      </c>
    </row>
    <row r="466" spans="1:11">
      <c r="A466">
        <v>90</v>
      </c>
      <c r="B466" t="b">
        <v>0</v>
      </c>
      <c r="C466" t="s">
        <v>44679</v>
      </c>
      <c r="D466">
        <v>1037022454355</v>
      </c>
      <c r="E466">
        <v>1</v>
      </c>
      <c r="F466">
        <v>6148432494</v>
      </c>
      <c r="G466">
        <v>1294000</v>
      </c>
      <c r="H466" t="s">
        <v>40293</v>
      </c>
      <c r="I466">
        <v>1335</v>
      </c>
      <c r="J466">
        <v>2</v>
      </c>
      <c r="K466">
        <v>2</v>
      </c>
    </row>
    <row r="467" spans="1:11">
      <c r="A467">
        <v>90</v>
      </c>
      <c r="B467" t="b">
        <v>0</v>
      </c>
      <c r="C467" t="s">
        <v>45466</v>
      </c>
      <c r="D467">
        <v>1037022454355</v>
      </c>
      <c r="E467">
        <v>1</v>
      </c>
      <c r="F467">
        <v>6150638086</v>
      </c>
      <c r="G467">
        <v>1249000</v>
      </c>
      <c r="H467" t="s">
        <v>40293</v>
      </c>
      <c r="I467">
        <v>1335</v>
      </c>
      <c r="J467">
        <v>24</v>
      </c>
      <c r="K467">
        <v>25</v>
      </c>
    </row>
    <row r="468" spans="1:11">
      <c r="A468">
        <v>90</v>
      </c>
      <c r="B468" t="b">
        <v>0</v>
      </c>
      <c r="C468" t="s">
        <v>44977</v>
      </c>
      <c r="D468">
        <v>1037022454355</v>
      </c>
      <c r="E468">
        <v>1</v>
      </c>
      <c r="F468">
        <v>6156174833</v>
      </c>
      <c r="G468">
        <v>1247000</v>
      </c>
      <c r="H468" t="s">
        <v>40293</v>
      </c>
      <c r="I468">
        <v>1335</v>
      </c>
      <c r="J468">
        <v>14</v>
      </c>
      <c r="K468">
        <v>14</v>
      </c>
    </row>
    <row r="469" spans="1:11">
      <c r="A469">
        <v>90</v>
      </c>
      <c r="B469" t="b">
        <v>0</v>
      </c>
      <c r="C469" t="s">
        <v>46163</v>
      </c>
      <c r="D469">
        <v>1037022454355</v>
      </c>
      <c r="E469">
        <v>1</v>
      </c>
      <c r="F469">
        <v>6141176776</v>
      </c>
      <c r="G469">
        <v>1246000</v>
      </c>
      <c r="H469" t="s">
        <v>40293</v>
      </c>
      <c r="I469">
        <v>1335</v>
      </c>
      <c r="J469">
        <v>31</v>
      </c>
      <c r="K469">
        <v>33</v>
      </c>
    </row>
    <row r="470" spans="1:11">
      <c r="A470">
        <v>90</v>
      </c>
      <c r="B470" t="b">
        <v>0</v>
      </c>
      <c r="C470" t="s">
        <v>44223</v>
      </c>
      <c r="D470">
        <v>1037022454355</v>
      </c>
      <c r="E470">
        <v>1</v>
      </c>
      <c r="F470">
        <v>6153406933</v>
      </c>
      <c r="G470">
        <v>1137000</v>
      </c>
      <c r="H470" t="s">
        <v>40293</v>
      </c>
      <c r="I470">
        <v>1335</v>
      </c>
      <c r="J470">
        <v>2</v>
      </c>
      <c r="K470">
        <v>5</v>
      </c>
    </row>
    <row r="471" spans="1:11">
      <c r="A471">
        <v>30</v>
      </c>
      <c r="B471" t="b">
        <v>0</v>
      </c>
      <c r="C471" t="s">
        <v>46115</v>
      </c>
      <c r="D471">
        <v>1037022454355</v>
      </c>
      <c r="E471">
        <v>1</v>
      </c>
      <c r="F471">
        <v>6156609761</v>
      </c>
      <c r="G471">
        <v>897000</v>
      </c>
      <c r="H471" t="s">
        <v>40293</v>
      </c>
      <c r="I471">
        <v>1335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41684</v>
      </c>
      <c r="D472">
        <v>1037022454355</v>
      </c>
      <c r="E472">
        <v>1</v>
      </c>
      <c r="F472">
        <v>6113654871</v>
      </c>
      <c r="G472">
        <v>74000</v>
      </c>
      <c r="H472" t="s">
        <v>40293</v>
      </c>
      <c r="I472">
        <v>1353</v>
      </c>
      <c r="J472">
        <v>1</v>
      </c>
      <c r="K472">
        <v>2</v>
      </c>
    </row>
    <row r="473" spans="1:11">
      <c r="A473">
        <v>90</v>
      </c>
      <c r="B473" t="b">
        <v>0</v>
      </c>
      <c r="C473" t="s">
        <v>41245</v>
      </c>
      <c r="D473">
        <v>1037022454355</v>
      </c>
      <c r="E473">
        <v>1</v>
      </c>
      <c r="F473">
        <v>6103978443</v>
      </c>
      <c r="G473">
        <v>73000</v>
      </c>
      <c r="H473" t="s">
        <v>40293</v>
      </c>
      <c r="I473">
        <v>1353</v>
      </c>
      <c r="J473">
        <v>11</v>
      </c>
      <c r="K473">
        <v>200</v>
      </c>
    </row>
    <row r="474" spans="1:11">
      <c r="A474">
        <v>90</v>
      </c>
      <c r="B474" t="b">
        <v>0</v>
      </c>
      <c r="C474" t="s">
        <v>40606</v>
      </c>
      <c r="D474">
        <v>1037022454355</v>
      </c>
      <c r="E474">
        <v>1</v>
      </c>
      <c r="F474">
        <v>6111140803</v>
      </c>
      <c r="G474">
        <v>1240000</v>
      </c>
      <c r="H474" t="s">
        <v>40293</v>
      </c>
      <c r="I474">
        <v>1355</v>
      </c>
      <c r="J474">
        <v>2</v>
      </c>
      <c r="K474">
        <v>17</v>
      </c>
    </row>
    <row r="475" spans="1:11">
      <c r="A475">
        <v>90</v>
      </c>
      <c r="B475" t="b">
        <v>0</v>
      </c>
      <c r="C475" t="s">
        <v>40537</v>
      </c>
      <c r="D475">
        <v>1037022454355</v>
      </c>
      <c r="E475">
        <v>1</v>
      </c>
      <c r="F475">
        <v>6067853016</v>
      </c>
      <c r="G475">
        <v>1238000</v>
      </c>
      <c r="H475" t="s">
        <v>40293</v>
      </c>
      <c r="I475">
        <v>1355</v>
      </c>
      <c r="J475">
        <v>88</v>
      </c>
      <c r="K475">
        <v>100</v>
      </c>
    </row>
    <row r="476" spans="1:11">
      <c r="A476">
        <v>90</v>
      </c>
      <c r="B476" t="b">
        <v>0</v>
      </c>
      <c r="C476" t="s">
        <v>41030</v>
      </c>
      <c r="D476">
        <v>1037022454355</v>
      </c>
      <c r="E476">
        <v>1</v>
      </c>
      <c r="F476">
        <v>6119932276</v>
      </c>
      <c r="G476">
        <v>1238000</v>
      </c>
      <c r="H476" t="s">
        <v>40293</v>
      </c>
      <c r="I476">
        <v>1355</v>
      </c>
      <c r="J476">
        <v>3</v>
      </c>
      <c r="K476">
        <v>14</v>
      </c>
    </row>
    <row r="477" spans="1:11">
      <c r="A477">
        <v>90</v>
      </c>
      <c r="B477" t="b">
        <v>0</v>
      </c>
      <c r="C477" t="s">
        <v>44229</v>
      </c>
      <c r="D477">
        <v>1037022454355</v>
      </c>
      <c r="E477">
        <v>1</v>
      </c>
      <c r="F477">
        <v>6153407051</v>
      </c>
      <c r="G477">
        <v>1200000</v>
      </c>
      <c r="H477" t="s">
        <v>40293</v>
      </c>
      <c r="I477">
        <v>1355</v>
      </c>
      <c r="J477">
        <v>1</v>
      </c>
      <c r="K477">
        <v>3</v>
      </c>
    </row>
    <row r="478" spans="1:11">
      <c r="A478">
        <v>90</v>
      </c>
      <c r="B478" t="b">
        <v>0</v>
      </c>
      <c r="C478" t="s">
        <v>45749</v>
      </c>
      <c r="D478">
        <v>1037022454355</v>
      </c>
      <c r="E478">
        <v>1</v>
      </c>
      <c r="F478">
        <v>6128424757</v>
      </c>
      <c r="G478">
        <v>1199000</v>
      </c>
      <c r="H478" t="s">
        <v>40293</v>
      </c>
      <c r="I478">
        <v>1355</v>
      </c>
      <c r="J478">
        <v>54</v>
      </c>
      <c r="K478">
        <v>70</v>
      </c>
    </row>
    <row r="479" spans="1:11">
      <c r="A479">
        <v>90</v>
      </c>
      <c r="B479" t="b">
        <v>0</v>
      </c>
      <c r="C479" t="s">
        <v>46185</v>
      </c>
      <c r="D479">
        <v>1037022454355</v>
      </c>
      <c r="E479">
        <v>1</v>
      </c>
      <c r="F479">
        <v>6154022123</v>
      </c>
      <c r="G479">
        <v>1198000</v>
      </c>
      <c r="H479" t="s">
        <v>40293</v>
      </c>
      <c r="I479">
        <v>1355</v>
      </c>
      <c r="J479">
        <v>23</v>
      </c>
      <c r="K479">
        <v>25</v>
      </c>
    </row>
    <row r="480" spans="1:11">
      <c r="A480">
        <v>90</v>
      </c>
      <c r="B480" t="b">
        <v>0</v>
      </c>
      <c r="C480" t="s">
        <v>45371</v>
      </c>
      <c r="D480">
        <v>1037022454355</v>
      </c>
      <c r="E480">
        <v>1</v>
      </c>
      <c r="F480">
        <v>6156174669</v>
      </c>
      <c r="G480">
        <v>1197000</v>
      </c>
      <c r="H480" t="s">
        <v>40293</v>
      </c>
      <c r="I480">
        <v>1355</v>
      </c>
      <c r="J480">
        <v>3</v>
      </c>
      <c r="K480">
        <v>9</v>
      </c>
    </row>
    <row r="481" spans="1:11">
      <c r="A481">
        <v>90</v>
      </c>
      <c r="B481" t="b">
        <v>0</v>
      </c>
      <c r="C481" t="s">
        <v>45178</v>
      </c>
      <c r="D481">
        <v>1037022454355</v>
      </c>
      <c r="E481">
        <v>1</v>
      </c>
      <c r="F481">
        <v>6157306316</v>
      </c>
      <c r="G481">
        <v>1196000</v>
      </c>
      <c r="H481" t="s">
        <v>40293</v>
      </c>
      <c r="I481">
        <v>1355</v>
      </c>
      <c r="J481">
        <v>15</v>
      </c>
      <c r="K481">
        <v>20</v>
      </c>
    </row>
    <row r="482" spans="1:11">
      <c r="A482">
        <v>90</v>
      </c>
      <c r="B482" t="b">
        <v>0</v>
      </c>
      <c r="C482" t="s">
        <v>46214</v>
      </c>
      <c r="D482">
        <v>1037022454355</v>
      </c>
      <c r="E482">
        <v>1</v>
      </c>
      <c r="F482">
        <v>6153629253</v>
      </c>
      <c r="G482">
        <v>1195000</v>
      </c>
      <c r="H482" t="s">
        <v>40293</v>
      </c>
      <c r="I482">
        <v>1355</v>
      </c>
      <c r="J482">
        <v>8</v>
      </c>
      <c r="K482">
        <v>8</v>
      </c>
    </row>
    <row r="483" spans="1:11">
      <c r="A483">
        <v>90</v>
      </c>
      <c r="B483" t="b">
        <v>0</v>
      </c>
      <c r="C483" t="s">
        <v>41362</v>
      </c>
      <c r="D483">
        <v>1037022454355</v>
      </c>
      <c r="E483">
        <v>1</v>
      </c>
      <c r="F483">
        <v>6106831264</v>
      </c>
      <c r="G483">
        <v>35000</v>
      </c>
      <c r="H483" t="s">
        <v>40293</v>
      </c>
      <c r="I483">
        <v>1403</v>
      </c>
      <c r="J483">
        <v>57</v>
      </c>
      <c r="K483">
        <v>100</v>
      </c>
    </row>
    <row r="484" spans="1:11">
      <c r="A484">
        <v>90</v>
      </c>
      <c r="B484" t="b">
        <v>0</v>
      </c>
      <c r="C484" t="s">
        <v>44586</v>
      </c>
      <c r="D484">
        <v>1037022454355</v>
      </c>
      <c r="E484">
        <v>1</v>
      </c>
      <c r="F484">
        <v>6148431439</v>
      </c>
      <c r="G484">
        <v>34990</v>
      </c>
      <c r="H484" t="s">
        <v>40293</v>
      </c>
      <c r="I484">
        <v>1403</v>
      </c>
      <c r="J484">
        <v>16</v>
      </c>
      <c r="K484">
        <v>50</v>
      </c>
    </row>
    <row r="485" spans="1:11">
      <c r="A485">
        <v>90</v>
      </c>
      <c r="B485" t="b">
        <v>0</v>
      </c>
      <c r="C485" t="s">
        <v>45801</v>
      </c>
      <c r="D485">
        <v>1037022454355</v>
      </c>
      <c r="E485">
        <v>1</v>
      </c>
      <c r="F485">
        <v>6152739213</v>
      </c>
      <c r="G485">
        <v>1000000</v>
      </c>
      <c r="H485" t="s">
        <v>40293</v>
      </c>
      <c r="I485">
        <v>1405</v>
      </c>
      <c r="J485">
        <v>22</v>
      </c>
      <c r="K485">
        <v>22</v>
      </c>
    </row>
    <row r="486" spans="1:11">
      <c r="A486">
        <v>30</v>
      </c>
      <c r="B486" t="b">
        <v>0</v>
      </c>
      <c r="C486" t="s">
        <v>45705</v>
      </c>
      <c r="D486">
        <v>1037022454355</v>
      </c>
      <c r="E486">
        <v>1</v>
      </c>
      <c r="F486">
        <v>6152738129</v>
      </c>
      <c r="G486">
        <v>950000</v>
      </c>
      <c r="H486" t="s">
        <v>40293</v>
      </c>
      <c r="I486">
        <v>1405</v>
      </c>
      <c r="J486">
        <v>143</v>
      </c>
      <c r="K486">
        <v>177</v>
      </c>
    </row>
    <row r="487" spans="1:11">
      <c r="A487">
        <v>90</v>
      </c>
      <c r="B487" t="b">
        <v>0</v>
      </c>
      <c r="C487" t="s">
        <v>44228</v>
      </c>
      <c r="D487">
        <v>1037022454355</v>
      </c>
      <c r="E487">
        <v>1</v>
      </c>
      <c r="F487">
        <v>6156239286</v>
      </c>
      <c r="G487">
        <v>939300</v>
      </c>
      <c r="H487" t="s">
        <v>40293</v>
      </c>
      <c r="I487">
        <v>1405</v>
      </c>
      <c r="J487">
        <v>23</v>
      </c>
      <c r="K487">
        <v>24</v>
      </c>
    </row>
    <row r="488" spans="1:11">
      <c r="A488">
        <v>90</v>
      </c>
      <c r="B488" t="b">
        <v>0</v>
      </c>
      <c r="C488" t="s">
        <v>45095</v>
      </c>
      <c r="D488">
        <v>1037022454355</v>
      </c>
      <c r="E488">
        <v>1</v>
      </c>
      <c r="F488">
        <v>6156841918</v>
      </c>
      <c r="G488">
        <v>939000</v>
      </c>
      <c r="H488" t="s">
        <v>40293</v>
      </c>
      <c r="I488">
        <v>1405</v>
      </c>
      <c r="J488">
        <v>2</v>
      </c>
      <c r="K488">
        <v>2</v>
      </c>
    </row>
    <row r="489" spans="1:11">
      <c r="A489">
        <v>30</v>
      </c>
      <c r="B489" t="b">
        <v>0</v>
      </c>
      <c r="C489" t="s">
        <v>46069</v>
      </c>
      <c r="D489">
        <v>1037022454355</v>
      </c>
      <c r="E489">
        <v>1</v>
      </c>
      <c r="F489">
        <v>6156603649</v>
      </c>
      <c r="G489">
        <v>939000</v>
      </c>
      <c r="H489" t="s">
        <v>40293</v>
      </c>
      <c r="I489">
        <v>1405</v>
      </c>
      <c r="J489">
        <v>19</v>
      </c>
      <c r="K489">
        <v>50</v>
      </c>
    </row>
    <row r="490" spans="1:11">
      <c r="A490">
        <v>90</v>
      </c>
      <c r="B490" t="b">
        <v>0</v>
      </c>
      <c r="C490" t="s">
        <v>40968</v>
      </c>
      <c r="D490">
        <v>1037022454355</v>
      </c>
      <c r="E490">
        <v>1</v>
      </c>
      <c r="F490">
        <v>6090243165</v>
      </c>
      <c r="G490">
        <v>1051000</v>
      </c>
      <c r="H490" t="s">
        <v>40293</v>
      </c>
      <c r="I490">
        <v>1422</v>
      </c>
      <c r="J490">
        <v>1</v>
      </c>
      <c r="K490">
        <v>1</v>
      </c>
    </row>
    <row r="491" spans="1:11">
      <c r="A491">
        <v>90</v>
      </c>
      <c r="B491" t="b">
        <v>0</v>
      </c>
      <c r="C491" t="s">
        <v>41608</v>
      </c>
      <c r="D491">
        <v>1037022454355</v>
      </c>
      <c r="E491">
        <v>1</v>
      </c>
      <c r="F491">
        <v>6094090663</v>
      </c>
      <c r="G491">
        <v>750000</v>
      </c>
      <c r="H491" t="s">
        <v>40293</v>
      </c>
      <c r="I491">
        <v>1422</v>
      </c>
      <c r="J491">
        <v>176</v>
      </c>
      <c r="K491">
        <v>200</v>
      </c>
    </row>
    <row r="492" spans="1:11">
      <c r="A492">
        <v>90</v>
      </c>
      <c r="B492" t="b">
        <v>0</v>
      </c>
      <c r="C492" t="s">
        <v>40632</v>
      </c>
      <c r="D492">
        <v>1037022454355</v>
      </c>
      <c r="E492">
        <v>1</v>
      </c>
      <c r="F492">
        <v>6097268638</v>
      </c>
      <c r="G492">
        <v>723900</v>
      </c>
      <c r="H492" t="s">
        <v>40293</v>
      </c>
      <c r="I492">
        <v>1422</v>
      </c>
      <c r="J492">
        <v>8</v>
      </c>
      <c r="K492">
        <v>8</v>
      </c>
    </row>
    <row r="493" spans="1:11">
      <c r="A493">
        <v>90</v>
      </c>
      <c r="B493" t="b">
        <v>0</v>
      </c>
      <c r="C493" t="s">
        <v>41407</v>
      </c>
      <c r="D493">
        <v>1037022454355</v>
      </c>
      <c r="E493">
        <v>1</v>
      </c>
      <c r="F493">
        <v>6073245231</v>
      </c>
      <c r="G493">
        <v>699900</v>
      </c>
      <c r="H493" t="s">
        <v>40293</v>
      </c>
      <c r="I493">
        <v>1422</v>
      </c>
      <c r="J493">
        <v>20</v>
      </c>
      <c r="K493">
        <v>25</v>
      </c>
    </row>
    <row r="494" spans="1:11">
      <c r="A494">
        <v>90</v>
      </c>
      <c r="B494" t="b">
        <v>0</v>
      </c>
      <c r="C494" t="s">
        <v>43404</v>
      </c>
      <c r="D494">
        <v>1037022454355</v>
      </c>
      <c r="E494">
        <v>1</v>
      </c>
      <c r="F494">
        <v>6099908919</v>
      </c>
      <c r="G494">
        <v>693000</v>
      </c>
      <c r="H494" t="s">
        <v>40293</v>
      </c>
      <c r="I494">
        <v>1422</v>
      </c>
      <c r="J494">
        <v>2</v>
      </c>
      <c r="K494">
        <v>2</v>
      </c>
    </row>
    <row r="495" spans="1:11">
      <c r="A495">
        <v>90</v>
      </c>
      <c r="B495" t="b">
        <v>0</v>
      </c>
      <c r="C495" t="s">
        <v>43069</v>
      </c>
      <c r="D495">
        <v>1037022454355</v>
      </c>
      <c r="E495">
        <v>1</v>
      </c>
      <c r="F495">
        <v>6143907414</v>
      </c>
      <c r="G495">
        <v>688900</v>
      </c>
      <c r="H495" t="s">
        <v>40293</v>
      </c>
      <c r="I495">
        <v>1422</v>
      </c>
      <c r="J495">
        <v>9</v>
      </c>
      <c r="K495">
        <v>14</v>
      </c>
    </row>
    <row r="496" spans="1:11">
      <c r="A496">
        <v>90</v>
      </c>
      <c r="B496" t="b">
        <v>0</v>
      </c>
      <c r="C496" t="s">
        <v>43107</v>
      </c>
      <c r="D496">
        <v>1037022454355</v>
      </c>
      <c r="E496">
        <v>1</v>
      </c>
      <c r="F496">
        <v>6144825927</v>
      </c>
      <c r="G496">
        <v>688300</v>
      </c>
      <c r="H496" t="s">
        <v>40293</v>
      </c>
      <c r="I496">
        <v>1422</v>
      </c>
      <c r="J496">
        <v>6</v>
      </c>
      <c r="K496">
        <v>6</v>
      </c>
    </row>
    <row r="497" spans="1:11">
      <c r="A497">
        <v>90</v>
      </c>
      <c r="B497" t="b">
        <v>0</v>
      </c>
      <c r="C497" t="s">
        <v>45728</v>
      </c>
      <c r="D497">
        <v>1037022454355</v>
      </c>
      <c r="E497">
        <v>1</v>
      </c>
      <c r="F497">
        <v>6152738382</v>
      </c>
      <c r="G497">
        <v>686000</v>
      </c>
      <c r="H497" t="s">
        <v>40293</v>
      </c>
      <c r="I497">
        <v>1422</v>
      </c>
      <c r="J497">
        <v>1</v>
      </c>
      <c r="K497">
        <v>16</v>
      </c>
    </row>
    <row r="498" spans="1:11">
      <c r="A498">
        <v>30</v>
      </c>
      <c r="B498" t="b">
        <v>0</v>
      </c>
      <c r="C498" t="s">
        <v>44884</v>
      </c>
      <c r="D498">
        <v>1037022454355</v>
      </c>
      <c r="E498">
        <v>1</v>
      </c>
      <c r="F498">
        <v>6152563777</v>
      </c>
      <c r="G498">
        <v>4999000</v>
      </c>
      <c r="H498" t="s">
        <v>40293</v>
      </c>
      <c r="I498">
        <v>1436</v>
      </c>
      <c r="J498">
        <v>9</v>
      </c>
      <c r="K498">
        <v>9</v>
      </c>
    </row>
    <row r="499" spans="1:11">
      <c r="A499">
        <v>90</v>
      </c>
      <c r="B499" t="b">
        <v>0</v>
      </c>
      <c r="C499" t="s">
        <v>45172</v>
      </c>
      <c r="D499">
        <v>1037022454355</v>
      </c>
      <c r="E499">
        <v>1</v>
      </c>
      <c r="F499">
        <v>6151256746</v>
      </c>
      <c r="G499">
        <v>4999000</v>
      </c>
      <c r="H499" t="s">
        <v>40293</v>
      </c>
      <c r="I499">
        <v>1436</v>
      </c>
      <c r="J499">
        <v>2</v>
      </c>
      <c r="K499">
        <v>2</v>
      </c>
    </row>
    <row r="500" spans="1:11">
      <c r="A500">
        <v>90</v>
      </c>
      <c r="B500" t="b">
        <v>0</v>
      </c>
      <c r="C500" t="s">
        <v>40361</v>
      </c>
      <c r="D500">
        <v>1037022454355</v>
      </c>
      <c r="E500">
        <v>1</v>
      </c>
      <c r="F500">
        <v>6110642452</v>
      </c>
      <c r="G500">
        <v>100000</v>
      </c>
      <c r="H500" t="s">
        <v>40293</v>
      </c>
      <c r="I500">
        <v>1445</v>
      </c>
      <c r="J500">
        <v>469</v>
      </c>
      <c r="K500">
        <v>475</v>
      </c>
    </row>
    <row r="501" spans="1:11">
      <c r="A501">
        <v>90</v>
      </c>
      <c r="B501" t="b">
        <v>0</v>
      </c>
      <c r="C501" t="s">
        <v>40580</v>
      </c>
      <c r="D501">
        <v>1037022454355</v>
      </c>
      <c r="E501">
        <v>1</v>
      </c>
      <c r="F501">
        <v>6091118981</v>
      </c>
      <c r="G501">
        <v>1200000</v>
      </c>
      <c r="H501" t="s">
        <v>40293</v>
      </c>
      <c r="I501">
        <v>1447</v>
      </c>
      <c r="J501">
        <v>1</v>
      </c>
      <c r="K501">
        <v>3</v>
      </c>
    </row>
    <row r="502" spans="1:11">
      <c r="A502">
        <v>90</v>
      </c>
      <c r="B502" t="b">
        <v>0</v>
      </c>
      <c r="C502" t="s">
        <v>40493</v>
      </c>
      <c r="D502">
        <v>1037022454355</v>
      </c>
      <c r="E502">
        <v>1</v>
      </c>
      <c r="F502">
        <v>6091215485</v>
      </c>
      <c r="G502">
        <v>750000</v>
      </c>
      <c r="H502" t="s">
        <v>40293</v>
      </c>
      <c r="I502">
        <v>1447</v>
      </c>
      <c r="J502">
        <v>84</v>
      </c>
      <c r="K502">
        <v>100</v>
      </c>
    </row>
    <row r="503" spans="1:11">
      <c r="A503">
        <v>90</v>
      </c>
      <c r="B503" t="b">
        <v>0</v>
      </c>
      <c r="C503" t="s">
        <v>40941</v>
      </c>
      <c r="D503">
        <v>1037022454355</v>
      </c>
      <c r="E503">
        <v>1</v>
      </c>
      <c r="F503">
        <v>6100597291</v>
      </c>
      <c r="G503">
        <v>740000</v>
      </c>
      <c r="H503" t="s">
        <v>40293</v>
      </c>
      <c r="I503">
        <v>1447</v>
      </c>
      <c r="J503">
        <v>20</v>
      </c>
      <c r="K503">
        <v>20</v>
      </c>
    </row>
    <row r="504" spans="1:11">
      <c r="A504">
        <v>90</v>
      </c>
      <c r="B504" t="b">
        <v>0</v>
      </c>
      <c r="C504" t="s">
        <v>41276</v>
      </c>
      <c r="D504">
        <v>1037022454355</v>
      </c>
      <c r="E504">
        <v>1</v>
      </c>
      <c r="F504">
        <v>6101619683</v>
      </c>
      <c r="G504">
        <v>738200</v>
      </c>
      <c r="H504" t="s">
        <v>40293</v>
      </c>
      <c r="I504">
        <v>1447</v>
      </c>
      <c r="J504">
        <v>17</v>
      </c>
      <c r="K504">
        <v>17</v>
      </c>
    </row>
    <row r="505" spans="1:11">
      <c r="A505">
        <v>90</v>
      </c>
      <c r="B505" t="b">
        <v>0</v>
      </c>
      <c r="C505" t="s">
        <v>41638</v>
      </c>
      <c r="D505">
        <v>1037022454355</v>
      </c>
      <c r="E505">
        <v>1</v>
      </c>
      <c r="F505">
        <v>6119931443</v>
      </c>
      <c r="G505">
        <v>719700</v>
      </c>
      <c r="H505" t="s">
        <v>40293</v>
      </c>
      <c r="I505">
        <v>1447</v>
      </c>
      <c r="J505">
        <v>12</v>
      </c>
      <c r="K505">
        <v>48</v>
      </c>
    </row>
    <row r="506" spans="1:11">
      <c r="A506">
        <v>90</v>
      </c>
      <c r="B506" t="b">
        <v>0</v>
      </c>
      <c r="C506" t="s">
        <v>45563</v>
      </c>
      <c r="D506">
        <v>1037022454355</v>
      </c>
      <c r="E506">
        <v>1</v>
      </c>
      <c r="F506">
        <v>6149901552</v>
      </c>
      <c r="G506">
        <v>719500</v>
      </c>
      <c r="H506" t="s">
        <v>40293</v>
      </c>
      <c r="I506">
        <v>1447</v>
      </c>
      <c r="J506">
        <v>8</v>
      </c>
      <c r="K506">
        <v>25</v>
      </c>
    </row>
    <row r="507" spans="1:11">
      <c r="A507">
        <v>90</v>
      </c>
      <c r="B507" t="b">
        <v>0</v>
      </c>
      <c r="C507" t="s">
        <v>41989</v>
      </c>
      <c r="D507">
        <v>1037022454355</v>
      </c>
      <c r="E507">
        <v>1</v>
      </c>
      <c r="F507">
        <v>6127025076</v>
      </c>
      <c r="G507">
        <v>100000</v>
      </c>
      <c r="H507" t="s">
        <v>40293</v>
      </c>
      <c r="I507">
        <v>1539</v>
      </c>
      <c r="J507">
        <v>13</v>
      </c>
      <c r="K507">
        <v>20</v>
      </c>
    </row>
    <row r="508" spans="1:11">
      <c r="A508">
        <v>90</v>
      </c>
      <c r="B508" t="b">
        <v>0</v>
      </c>
      <c r="C508" t="s">
        <v>41458</v>
      </c>
      <c r="D508">
        <v>1037022454355</v>
      </c>
      <c r="E508">
        <v>1</v>
      </c>
      <c r="F508">
        <v>6104998696</v>
      </c>
      <c r="G508">
        <v>1042000</v>
      </c>
      <c r="H508" t="s">
        <v>40293</v>
      </c>
      <c r="I508">
        <v>1541</v>
      </c>
      <c r="J508">
        <v>20</v>
      </c>
      <c r="K508">
        <v>20</v>
      </c>
    </row>
    <row r="509" spans="1:11">
      <c r="A509">
        <v>90</v>
      </c>
      <c r="B509" t="b">
        <v>0</v>
      </c>
      <c r="C509" t="s">
        <v>40937</v>
      </c>
      <c r="D509">
        <v>1037022454355</v>
      </c>
      <c r="E509">
        <v>1</v>
      </c>
      <c r="F509">
        <v>6071826869</v>
      </c>
      <c r="G509">
        <v>997600</v>
      </c>
      <c r="H509" t="s">
        <v>40293</v>
      </c>
      <c r="I509">
        <v>1541</v>
      </c>
      <c r="J509">
        <v>32</v>
      </c>
      <c r="K509">
        <v>50</v>
      </c>
    </row>
    <row r="510" spans="1:11">
      <c r="A510">
        <v>90</v>
      </c>
      <c r="B510" t="b">
        <v>0</v>
      </c>
      <c r="C510" t="s">
        <v>42449</v>
      </c>
      <c r="D510">
        <v>1037022454355</v>
      </c>
      <c r="E510">
        <v>1</v>
      </c>
      <c r="F510">
        <v>6068640770</v>
      </c>
      <c r="G510">
        <v>994800</v>
      </c>
      <c r="H510" t="s">
        <v>40293</v>
      </c>
      <c r="I510">
        <v>1541</v>
      </c>
      <c r="J510">
        <v>12</v>
      </c>
      <c r="K510">
        <v>15</v>
      </c>
    </row>
    <row r="511" spans="1:11">
      <c r="A511">
        <v>90</v>
      </c>
      <c r="B511" t="b">
        <v>0</v>
      </c>
      <c r="C511" t="s">
        <v>42356</v>
      </c>
      <c r="D511">
        <v>1037022454355</v>
      </c>
      <c r="E511">
        <v>1</v>
      </c>
      <c r="F511">
        <v>6137910049</v>
      </c>
      <c r="G511">
        <v>980000</v>
      </c>
      <c r="H511" t="s">
        <v>40293</v>
      </c>
      <c r="I511">
        <v>1541</v>
      </c>
      <c r="J511">
        <v>2</v>
      </c>
      <c r="K511">
        <v>2</v>
      </c>
    </row>
    <row r="512" spans="1:11">
      <c r="A512">
        <v>90</v>
      </c>
      <c r="B512" t="b">
        <v>0</v>
      </c>
      <c r="C512" t="s">
        <v>43116</v>
      </c>
      <c r="D512">
        <v>1037022454355</v>
      </c>
      <c r="E512">
        <v>1</v>
      </c>
      <c r="F512">
        <v>6138244908</v>
      </c>
      <c r="G512">
        <v>900000</v>
      </c>
      <c r="H512" t="s">
        <v>40293</v>
      </c>
      <c r="I512">
        <v>1541</v>
      </c>
      <c r="J512">
        <v>54</v>
      </c>
      <c r="K512">
        <v>131</v>
      </c>
    </row>
    <row r="513" spans="1:11">
      <c r="A513">
        <v>90</v>
      </c>
      <c r="B513" t="b">
        <v>0</v>
      </c>
      <c r="C513" t="s">
        <v>46360</v>
      </c>
      <c r="D513">
        <v>1037022454355</v>
      </c>
      <c r="E513">
        <v>1</v>
      </c>
      <c r="F513">
        <v>6152945682</v>
      </c>
      <c r="G513">
        <v>899900</v>
      </c>
      <c r="H513" t="s">
        <v>40293</v>
      </c>
      <c r="I513">
        <v>1541</v>
      </c>
      <c r="J513">
        <v>24</v>
      </c>
      <c r="K513">
        <v>25</v>
      </c>
    </row>
    <row r="514" spans="1:11">
      <c r="A514">
        <v>90</v>
      </c>
      <c r="B514" t="b">
        <v>0</v>
      </c>
      <c r="C514" t="s">
        <v>44893</v>
      </c>
      <c r="D514">
        <v>1037022454355</v>
      </c>
      <c r="E514">
        <v>1</v>
      </c>
      <c r="F514">
        <v>6153415855</v>
      </c>
      <c r="G514">
        <v>898000</v>
      </c>
      <c r="H514" t="s">
        <v>40293</v>
      </c>
      <c r="I514">
        <v>1541</v>
      </c>
      <c r="J514">
        <v>15</v>
      </c>
      <c r="K514">
        <v>15</v>
      </c>
    </row>
    <row r="515" spans="1:11">
      <c r="A515">
        <v>90</v>
      </c>
      <c r="B515" t="b">
        <v>0</v>
      </c>
      <c r="C515" t="s">
        <v>44710</v>
      </c>
      <c r="D515">
        <v>1037022454355</v>
      </c>
      <c r="E515">
        <v>1</v>
      </c>
      <c r="F515">
        <v>6131852275</v>
      </c>
      <c r="G515">
        <v>897200</v>
      </c>
      <c r="H515" t="s">
        <v>40293</v>
      </c>
      <c r="I515">
        <v>1541</v>
      </c>
      <c r="J515">
        <v>73</v>
      </c>
      <c r="K515">
        <v>100</v>
      </c>
    </row>
    <row r="516" spans="1:11">
      <c r="A516">
        <v>90</v>
      </c>
      <c r="B516" t="b">
        <v>0</v>
      </c>
      <c r="C516" t="s">
        <v>45041</v>
      </c>
      <c r="D516">
        <v>1037022454355</v>
      </c>
      <c r="E516">
        <v>1</v>
      </c>
      <c r="F516">
        <v>6156694488</v>
      </c>
      <c r="G516">
        <v>897100</v>
      </c>
      <c r="H516" t="s">
        <v>40293</v>
      </c>
      <c r="I516">
        <v>1541</v>
      </c>
      <c r="J516">
        <v>9</v>
      </c>
      <c r="K516">
        <v>10</v>
      </c>
    </row>
    <row r="517" spans="1:11">
      <c r="A517">
        <v>90</v>
      </c>
      <c r="B517" t="b">
        <v>0</v>
      </c>
      <c r="C517" t="s">
        <v>45803</v>
      </c>
      <c r="D517">
        <v>1037022454355</v>
      </c>
      <c r="E517">
        <v>1</v>
      </c>
      <c r="F517">
        <v>6153623991</v>
      </c>
      <c r="G517">
        <v>897000</v>
      </c>
      <c r="H517" t="s">
        <v>40293</v>
      </c>
      <c r="I517">
        <v>1541</v>
      </c>
      <c r="J517">
        <v>7</v>
      </c>
      <c r="K517">
        <v>8</v>
      </c>
    </row>
    <row r="518" spans="1:11">
      <c r="A518">
        <v>90</v>
      </c>
      <c r="B518" t="b">
        <v>0</v>
      </c>
      <c r="C518" t="s">
        <v>42485</v>
      </c>
      <c r="D518">
        <v>1037022454355</v>
      </c>
      <c r="E518">
        <v>1</v>
      </c>
      <c r="F518">
        <v>6136705126</v>
      </c>
      <c r="G518">
        <v>100</v>
      </c>
      <c r="H518" t="s">
        <v>40293</v>
      </c>
      <c r="I518">
        <v>1814</v>
      </c>
      <c r="J518">
        <v>100</v>
      </c>
      <c r="K518">
        <v>100</v>
      </c>
    </row>
    <row r="519" spans="1:11">
      <c r="A519">
        <v>90</v>
      </c>
      <c r="B519" t="b">
        <v>0</v>
      </c>
      <c r="C519" t="s">
        <v>43516</v>
      </c>
      <c r="D519">
        <v>1037022454355</v>
      </c>
      <c r="E519">
        <v>1</v>
      </c>
      <c r="F519">
        <v>6143100558</v>
      </c>
      <c r="G519">
        <v>30</v>
      </c>
      <c r="H519" t="s">
        <v>40293</v>
      </c>
      <c r="I519">
        <v>1816</v>
      </c>
      <c r="J519">
        <v>161666</v>
      </c>
      <c r="K519">
        <v>161666</v>
      </c>
    </row>
    <row r="520" spans="1:11">
      <c r="A520">
        <v>90</v>
      </c>
      <c r="B520" t="b">
        <v>0</v>
      </c>
      <c r="C520" t="s">
        <v>40888</v>
      </c>
      <c r="D520">
        <v>1037022454355</v>
      </c>
      <c r="E520">
        <v>1</v>
      </c>
      <c r="F520">
        <v>6115931606</v>
      </c>
      <c r="G520">
        <v>390.1</v>
      </c>
      <c r="H520" t="s">
        <v>40293</v>
      </c>
      <c r="I520">
        <v>1820</v>
      </c>
      <c r="J520">
        <v>5262</v>
      </c>
      <c r="K520">
        <v>5262</v>
      </c>
    </row>
    <row r="521" spans="1:11">
      <c r="A521">
        <v>90</v>
      </c>
      <c r="B521" t="b">
        <v>0</v>
      </c>
      <c r="C521" t="s">
        <v>40484</v>
      </c>
      <c r="D521">
        <v>1037022454355</v>
      </c>
      <c r="E521">
        <v>1</v>
      </c>
      <c r="F521">
        <v>6120380483</v>
      </c>
      <c r="G521">
        <v>375</v>
      </c>
      <c r="H521" t="s">
        <v>40293</v>
      </c>
      <c r="I521">
        <v>1820</v>
      </c>
      <c r="J521">
        <v>157236</v>
      </c>
      <c r="K521">
        <v>173236</v>
      </c>
    </row>
    <row r="522" spans="1:11">
      <c r="A522">
        <v>90</v>
      </c>
      <c r="B522" t="b">
        <v>0</v>
      </c>
      <c r="C522" t="s">
        <v>42646</v>
      </c>
      <c r="D522">
        <v>1037022454355</v>
      </c>
      <c r="E522">
        <v>1</v>
      </c>
      <c r="F522">
        <v>6105124619</v>
      </c>
      <c r="G522">
        <v>374.7</v>
      </c>
      <c r="H522" t="s">
        <v>40293</v>
      </c>
      <c r="I522">
        <v>1820</v>
      </c>
      <c r="J522">
        <v>70767</v>
      </c>
      <c r="K522">
        <v>121137</v>
      </c>
    </row>
    <row r="523" spans="1:11">
      <c r="A523">
        <v>90</v>
      </c>
      <c r="B523" t="b">
        <v>0</v>
      </c>
      <c r="C523" t="s">
        <v>40624</v>
      </c>
      <c r="D523">
        <v>1037022454355</v>
      </c>
      <c r="E523">
        <v>1</v>
      </c>
      <c r="F523">
        <v>6094658847</v>
      </c>
      <c r="G523">
        <v>50010</v>
      </c>
      <c r="H523" t="s">
        <v>40293</v>
      </c>
      <c r="I523">
        <v>1824</v>
      </c>
      <c r="J523">
        <v>200</v>
      </c>
      <c r="K523">
        <v>200</v>
      </c>
    </row>
    <row r="524" spans="1:11">
      <c r="A524">
        <v>90</v>
      </c>
      <c r="B524" t="b">
        <v>0</v>
      </c>
      <c r="C524" t="s">
        <v>40962</v>
      </c>
      <c r="D524">
        <v>1037022454355</v>
      </c>
      <c r="E524">
        <v>1</v>
      </c>
      <c r="F524">
        <v>6096206788</v>
      </c>
      <c r="G524">
        <v>265</v>
      </c>
      <c r="H524" t="s">
        <v>40293</v>
      </c>
      <c r="I524">
        <v>1832</v>
      </c>
      <c r="J524">
        <v>8</v>
      </c>
      <c r="K524">
        <v>1208</v>
      </c>
    </row>
    <row r="525" spans="1:11">
      <c r="A525">
        <v>90</v>
      </c>
      <c r="B525" t="b">
        <v>0</v>
      </c>
      <c r="C525" t="s">
        <v>45321</v>
      </c>
      <c r="D525">
        <v>1037022454355</v>
      </c>
      <c r="E525">
        <v>1</v>
      </c>
      <c r="F525">
        <v>6156796685</v>
      </c>
      <c r="G525">
        <v>9990000</v>
      </c>
      <c r="H525" t="s">
        <v>40293</v>
      </c>
      <c r="I525">
        <v>1855</v>
      </c>
      <c r="J525">
        <v>1</v>
      </c>
      <c r="K525">
        <v>2</v>
      </c>
    </row>
    <row r="526" spans="1:11">
      <c r="A526">
        <v>90</v>
      </c>
      <c r="B526" t="b">
        <v>0</v>
      </c>
      <c r="C526" t="s">
        <v>41568</v>
      </c>
      <c r="D526">
        <v>1037022454355</v>
      </c>
      <c r="E526">
        <v>1</v>
      </c>
      <c r="F526">
        <v>6111358632</v>
      </c>
      <c r="G526">
        <v>798000</v>
      </c>
      <c r="H526" t="s">
        <v>40293</v>
      </c>
      <c r="I526">
        <v>1875</v>
      </c>
      <c r="J526">
        <v>2</v>
      </c>
      <c r="K526">
        <v>2</v>
      </c>
    </row>
    <row r="527" spans="1:11">
      <c r="A527">
        <v>90</v>
      </c>
      <c r="B527" t="b">
        <v>0</v>
      </c>
      <c r="C527" t="s">
        <v>43813</v>
      </c>
      <c r="D527">
        <v>1037022454355</v>
      </c>
      <c r="E527">
        <v>1</v>
      </c>
      <c r="F527">
        <v>6142305995</v>
      </c>
      <c r="G527">
        <v>654900</v>
      </c>
      <c r="H527" t="s">
        <v>40293</v>
      </c>
      <c r="I527">
        <v>1875</v>
      </c>
      <c r="J527">
        <v>1</v>
      </c>
      <c r="K527">
        <v>7</v>
      </c>
    </row>
    <row r="528" spans="1:11">
      <c r="A528">
        <v>90</v>
      </c>
      <c r="B528" t="b">
        <v>0</v>
      </c>
      <c r="C528" t="s">
        <v>45030</v>
      </c>
      <c r="D528">
        <v>1037022454355</v>
      </c>
      <c r="E528">
        <v>1</v>
      </c>
      <c r="F528">
        <v>6152401728</v>
      </c>
      <c r="G528">
        <v>9000</v>
      </c>
      <c r="H528" t="s">
        <v>40293</v>
      </c>
      <c r="I528">
        <v>1875</v>
      </c>
      <c r="J528">
        <v>5</v>
      </c>
      <c r="K528">
        <v>5</v>
      </c>
    </row>
    <row r="529" spans="1:11">
      <c r="A529">
        <v>90</v>
      </c>
      <c r="B529" t="b">
        <v>0</v>
      </c>
      <c r="C529" t="s">
        <v>45861</v>
      </c>
      <c r="D529">
        <v>1037022454355</v>
      </c>
      <c r="E529">
        <v>1</v>
      </c>
      <c r="F529">
        <v>6081338309</v>
      </c>
      <c r="G529">
        <v>1328000</v>
      </c>
      <c r="H529" t="s">
        <v>40293</v>
      </c>
      <c r="I529">
        <v>1877</v>
      </c>
      <c r="J529">
        <v>35</v>
      </c>
      <c r="K529">
        <v>35</v>
      </c>
    </row>
    <row r="530" spans="1:11">
      <c r="A530">
        <v>90</v>
      </c>
      <c r="B530" t="b">
        <v>0</v>
      </c>
      <c r="C530" t="s">
        <v>44810</v>
      </c>
      <c r="D530">
        <v>1037022454355</v>
      </c>
      <c r="E530">
        <v>1</v>
      </c>
      <c r="F530">
        <v>6152104010</v>
      </c>
      <c r="G530">
        <v>1300000</v>
      </c>
      <c r="H530" t="s">
        <v>40293</v>
      </c>
      <c r="I530">
        <v>1877</v>
      </c>
      <c r="J530">
        <v>101</v>
      </c>
      <c r="K530">
        <v>101</v>
      </c>
    </row>
    <row r="531" spans="1:11">
      <c r="A531">
        <v>90</v>
      </c>
      <c r="B531" t="b">
        <v>0</v>
      </c>
      <c r="C531" t="s">
        <v>40336</v>
      </c>
      <c r="D531">
        <v>1037022454355</v>
      </c>
      <c r="E531">
        <v>1</v>
      </c>
      <c r="F531">
        <v>6077547632</v>
      </c>
      <c r="G531">
        <v>968000</v>
      </c>
      <c r="H531" t="s">
        <v>40293</v>
      </c>
      <c r="I531">
        <v>1877</v>
      </c>
      <c r="J531">
        <v>215</v>
      </c>
      <c r="K531">
        <v>329</v>
      </c>
    </row>
    <row r="532" spans="1:11">
      <c r="A532">
        <v>30</v>
      </c>
      <c r="B532" t="b">
        <v>0</v>
      </c>
      <c r="C532" t="s">
        <v>45771</v>
      </c>
      <c r="D532">
        <v>1037022454355</v>
      </c>
      <c r="E532">
        <v>1</v>
      </c>
      <c r="F532">
        <v>6147725278</v>
      </c>
      <c r="G532">
        <v>893500</v>
      </c>
      <c r="H532" t="s">
        <v>40293</v>
      </c>
      <c r="I532">
        <v>1877</v>
      </c>
      <c r="J532">
        <v>8</v>
      </c>
      <c r="K532">
        <v>16</v>
      </c>
    </row>
    <row r="533" spans="1:11">
      <c r="A533">
        <v>90</v>
      </c>
      <c r="B533" t="b">
        <v>0</v>
      </c>
      <c r="C533" t="s">
        <v>40604</v>
      </c>
      <c r="D533">
        <v>1037022454355</v>
      </c>
      <c r="E533">
        <v>1</v>
      </c>
      <c r="F533">
        <v>6087285616</v>
      </c>
      <c r="G533">
        <v>9900000</v>
      </c>
      <c r="H533" t="s">
        <v>40293</v>
      </c>
      <c r="I533">
        <v>1944</v>
      </c>
      <c r="J533">
        <v>1</v>
      </c>
      <c r="K533">
        <v>5</v>
      </c>
    </row>
    <row r="534" spans="1:11">
      <c r="A534">
        <v>90</v>
      </c>
      <c r="B534" t="b">
        <v>0</v>
      </c>
      <c r="C534" t="s">
        <v>41316</v>
      </c>
      <c r="D534">
        <v>1037022454355</v>
      </c>
      <c r="E534">
        <v>1</v>
      </c>
      <c r="F534">
        <v>6122427973</v>
      </c>
      <c r="G534">
        <v>9800000</v>
      </c>
      <c r="H534" t="s">
        <v>40293</v>
      </c>
      <c r="I534">
        <v>1944</v>
      </c>
      <c r="J534">
        <v>11</v>
      </c>
      <c r="K534">
        <v>18</v>
      </c>
    </row>
    <row r="535" spans="1:11">
      <c r="A535">
        <v>30</v>
      </c>
      <c r="B535" t="b">
        <v>0</v>
      </c>
      <c r="C535" t="s">
        <v>45068</v>
      </c>
      <c r="D535">
        <v>1037022454355</v>
      </c>
      <c r="E535">
        <v>1</v>
      </c>
      <c r="F535">
        <v>6154624560</v>
      </c>
      <c r="G535">
        <v>9000000</v>
      </c>
      <c r="H535" t="s">
        <v>40293</v>
      </c>
      <c r="I535">
        <v>1944</v>
      </c>
      <c r="J535">
        <v>1</v>
      </c>
      <c r="K535">
        <v>2</v>
      </c>
    </row>
    <row r="536" spans="1:11">
      <c r="A536">
        <v>90</v>
      </c>
      <c r="B536" t="b">
        <v>0</v>
      </c>
      <c r="C536" t="s">
        <v>40653</v>
      </c>
      <c r="D536">
        <v>1037022454355</v>
      </c>
      <c r="E536">
        <v>1</v>
      </c>
      <c r="F536">
        <v>6121037593</v>
      </c>
      <c r="G536">
        <v>1448000</v>
      </c>
      <c r="H536" t="s">
        <v>40293</v>
      </c>
      <c r="I536">
        <v>1952</v>
      </c>
      <c r="J536">
        <v>21</v>
      </c>
      <c r="K536">
        <v>21</v>
      </c>
    </row>
    <row r="537" spans="1:11">
      <c r="A537">
        <v>7</v>
      </c>
      <c r="B537" t="b">
        <v>0</v>
      </c>
      <c r="C537" t="s">
        <v>44843</v>
      </c>
      <c r="D537">
        <v>1037022454355</v>
      </c>
      <c r="E537">
        <v>1</v>
      </c>
      <c r="F537">
        <v>6152563227</v>
      </c>
      <c r="G537">
        <v>1248000</v>
      </c>
      <c r="H537" t="s">
        <v>40293</v>
      </c>
      <c r="I537">
        <v>1952</v>
      </c>
      <c r="J537">
        <v>1</v>
      </c>
      <c r="K537">
        <v>1</v>
      </c>
    </row>
    <row r="538" spans="1:11">
      <c r="A538">
        <v>7</v>
      </c>
      <c r="B538" t="b">
        <v>0</v>
      </c>
      <c r="C538" t="s">
        <v>44843</v>
      </c>
      <c r="D538">
        <v>1037022454355</v>
      </c>
      <c r="E538">
        <v>1</v>
      </c>
      <c r="F538">
        <v>6152563228</v>
      </c>
      <c r="G538">
        <v>1248000</v>
      </c>
      <c r="H538" t="s">
        <v>40293</v>
      </c>
      <c r="I538">
        <v>1952</v>
      </c>
      <c r="J538">
        <v>1</v>
      </c>
      <c r="K538">
        <v>1</v>
      </c>
    </row>
    <row r="539" spans="1:11">
      <c r="A539">
        <v>90</v>
      </c>
      <c r="B539" t="b">
        <v>0</v>
      </c>
      <c r="C539" t="s">
        <v>44278</v>
      </c>
      <c r="D539">
        <v>1037022454355</v>
      </c>
      <c r="E539">
        <v>1</v>
      </c>
      <c r="F539">
        <v>6153366743</v>
      </c>
      <c r="G539">
        <v>1245000</v>
      </c>
      <c r="H539" t="s">
        <v>40293</v>
      </c>
      <c r="I539">
        <v>1952</v>
      </c>
      <c r="J539">
        <v>1</v>
      </c>
      <c r="K539">
        <v>1</v>
      </c>
    </row>
    <row r="540" spans="1:11">
      <c r="A540">
        <v>90</v>
      </c>
      <c r="B540" t="b">
        <v>0</v>
      </c>
      <c r="C540" t="s">
        <v>46395</v>
      </c>
      <c r="D540">
        <v>1037022454355</v>
      </c>
      <c r="E540">
        <v>1</v>
      </c>
      <c r="F540">
        <v>6153402479</v>
      </c>
      <c r="G540">
        <v>1243000</v>
      </c>
      <c r="H540" t="s">
        <v>40293</v>
      </c>
      <c r="I540">
        <v>1952</v>
      </c>
      <c r="J540">
        <v>3</v>
      </c>
      <c r="K540">
        <v>7</v>
      </c>
    </row>
    <row r="541" spans="1:11">
      <c r="A541">
        <v>90</v>
      </c>
      <c r="B541" t="b">
        <v>0</v>
      </c>
      <c r="C541" t="s">
        <v>45946</v>
      </c>
      <c r="D541">
        <v>1037022454355</v>
      </c>
      <c r="E541">
        <v>1</v>
      </c>
      <c r="F541">
        <v>6136586122</v>
      </c>
      <c r="G541">
        <v>1241000</v>
      </c>
      <c r="H541" t="s">
        <v>40293</v>
      </c>
      <c r="I541">
        <v>1952</v>
      </c>
      <c r="J541">
        <v>90</v>
      </c>
      <c r="K541">
        <v>100</v>
      </c>
    </row>
    <row r="542" spans="1:11">
      <c r="A542">
        <v>90</v>
      </c>
      <c r="B542" t="b">
        <v>0</v>
      </c>
      <c r="C542" t="s">
        <v>43080</v>
      </c>
      <c r="D542">
        <v>1037022454355</v>
      </c>
      <c r="E542">
        <v>1</v>
      </c>
      <c r="F542">
        <v>6143809473</v>
      </c>
      <c r="G542">
        <v>999000</v>
      </c>
      <c r="H542" t="s">
        <v>40293</v>
      </c>
      <c r="I542">
        <v>1956</v>
      </c>
      <c r="J542">
        <v>2</v>
      </c>
      <c r="K542">
        <v>2</v>
      </c>
    </row>
    <row r="543" spans="1:11">
      <c r="A543">
        <v>90</v>
      </c>
      <c r="B543" t="b">
        <v>0</v>
      </c>
      <c r="C543" t="s">
        <v>40855</v>
      </c>
      <c r="D543">
        <v>1037022454355</v>
      </c>
      <c r="E543">
        <v>1</v>
      </c>
      <c r="F543">
        <v>6124286614</v>
      </c>
      <c r="G543">
        <v>200000</v>
      </c>
      <c r="H543" t="s">
        <v>40293</v>
      </c>
      <c r="I543">
        <v>1957</v>
      </c>
      <c r="J543">
        <v>36</v>
      </c>
      <c r="K543">
        <v>40</v>
      </c>
    </row>
    <row r="544" spans="1:11">
      <c r="A544">
        <v>90</v>
      </c>
      <c r="B544" t="b">
        <v>0</v>
      </c>
      <c r="C544" t="s">
        <v>40571</v>
      </c>
      <c r="D544">
        <v>1037022454355</v>
      </c>
      <c r="E544">
        <v>1</v>
      </c>
      <c r="F544">
        <v>6109501817</v>
      </c>
      <c r="G544">
        <v>2100000</v>
      </c>
      <c r="H544" t="s">
        <v>40293</v>
      </c>
      <c r="I544">
        <v>1964</v>
      </c>
      <c r="J544">
        <v>1</v>
      </c>
      <c r="K544">
        <v>1</v>
      </c>
    </row>
    <row r="545" spans="1:11">
      <c r="A545">
        <v>90</v>
      </c>
      <c r="B545" t="b">
        <v>0</v>
      </c>
      <c r="C545" t="s">
        <v>41430</v>
      </c>
      <c r="D545">
        <v>1037022454355</v>
      </c>
      <c r="E545">
        <v>1</v>
      </c>
      <c r="F545">
        <v>6073344132</v>
      </c>
      <c r="G545">
        <v>2048000</v>
      </c>
      <c r="H545" t="s">
        <v>40293</v>
      </c>
      <c r="I545">
        <v>1964</v>
      </c>
      <c r="J545">
        <v>14</v>
      </c>
      <c r="K545">
        <v>25</v>
      </c>
    </row>
    <row r="546" spans="1:11">
      <c r="A546">
        <v>90</v>
      </c>
      <c r="B546" t="b">
        <v>0</v>
      </c>
      <c r="C546" t="s">
        <v>44192</v>
      </c>
      <c r="D546">
        <v>1037022454355</v>
      </c>
      <c r="E546">
        <v>1</v>
      </c>
      <c r="F546">
        <v>6153406520</v>
      </c>
      <c r="G546">
        <v>2000000</v>
      </c>
      <c r="H546" t="s">
        <v>40293</v>
      </c>
      <c r="I546">
        <v>1964</v>
      </c>
      <c r="J546">
        <v>3</v>
      </c>
      <c r="K546">
        <v>3</v>
      </c>
    </row>
    <row r="547" spans="1:11">
      <c r="A547">
        <v>90</v>
      </c>
      <c r="B547" t="b">
        <v>0</v>
      </c>
      <c r="C547" t="s">
        <v>42786</v>
      </c>
      <c r="D547">
        <v>1037022454355</v>
      </c>
      <c r="E547">
        <v>1</v>
      </c>
      <c r="F547">
        <v>6135475756</v>
      </c>
      <c r="G547">
        <v>50000</v>
      </c>
      <c r="H547" t="s">
        <v>40293</v>
      </c>
      <c r="I547">
        <v>1977</v>
      </c>
      <c r="J547">
        <v>18</v>
      </c>
      <c r="K547">
        <v>20</v>
      </c>
    </row>
    <row r="548" spans="1:11">
      <c r="A548">
        <v>90</v>
      </c>
      <c r="B548" t="b">
        <v>0</v>
      </c>
      <c r="C548" t="s">
        <v>41465</v>
      </c>
      <c r="D548">
        <v>1037022454355</v>
      </c>
      <c r="E548">
        <v>1</v>
      </c>
      <c r="F548">
        <v>6107423797</v>
      </c>
      <c r="G548">
        <v>1960000</v>
      </c>
      <c r="H548" t="s">
        <v>40293</v>
      </c>
      <c r="I548">
        <v>1978</v>
      </c>
      <c r="J548">
        <v>2</v>
      </c>
      <c r="K548">
        <v>2</v>
      </c>
    </row>
    <row r="549" spans="1:11">
      <c r="A549">
        <v>90</v>
      </c>
      <c r="B549" t="b">
        <v>0</v>
      </c>
      <c r="C549" t="s">
        <v>45078</v>
      </c>
      <c r="D549">
        <v>1037022454355</v>
      </c>
      <c r="E549">
        <v>1</v>
      </c>
      <c r="F549">
        <v>6153395773</v>
      </c>
      <c r="G549">
        <v>1936000</v>
      </c>
      <c r="H549" t="s">
        <v>40293</v>
      </c>
      <c r="I549">
        <v>1978</v>
      </c>
      <c r="J549">
        <v>14</v>
      </c>
      <c r="K549">
        <v>14</v>
      </c>
    </row>
    <row r="550" spans="1:11">
      <c r="A550">
        <v>90</v>
      </c>
      <c r="B550" t="b">
        <v>0</v>
      </c>
      <c r="C550" t="s">
        <v>44421</v>
      </c>
      <c r="D550">
        <v>1037022454355</v>
      </c>
      <c r="E550">
        <v>1</v>
      </c>
      <c r="F550">
        <v>6136239329</v>
      </c>
      <c r="G550">
        <v>1935000</v>
      </c>
      <c r="H550" t="s">
        <v>40293</v>
      </c>
      <c r="I550">
        <v>1978</v>
      </c>
      <c r="J550">
        <v>56</v>
      </c>
      <c r="K550">
        <v>100</v>
      </c>
    </row>
    <row r="551" spans="1:11">
      <c r="A551">
        <v>90</v>
      </c>
      <c r="B551" t="b">
        <v>0</v>
      </c>
      <c r="C551" t="s">
        <v>44487</v>
      </c>
      <c r="D551">
        <v>1037022454355</v>
      </c>
      <c r="E551">
        <v>1</v>
      </c>
      <c r="F551">
        <v>6151379192</v>
      </c>
      <c r="G551">
        <v>1934000</v>
      </c>
      <c r="H551" t="s">
        <v>40293</v>
      </c>
      <c r="I551">
        <v>1978</v>
      </c>
      <c r="J551">
        <v>22</v>
      </c>
      <c r="K551">
        <v>25</v>
      </c>
    </row>
    <row r="552" spans="1:11">
      <c r="A552">
        <v>90</v>
      </c>
      <c r="B552" t="b">
        <v>0</v>
      </c>
      <c r="C552" t="s">
        <v>45238</v>
      </c>
      <c r="D552">
        <v>1037022454355</v>
      </c>
      <c r="E552">
        <v>1</v>
      </c>
      <c r="F552">
        <v>6156172798</v>
      </c>
      <c r="G552">
        <v>1933000</v>
      </c>
      <c r="H552" t="s">
        <v>40293</v>
      </c>
      <c r="I552">
        <v>1978</v>
      </c>
      <c r="J552">
        <v>3</v>
      </c>
      <c r="K552">
        <v>10</v>
      </c>
    </row>
    <row r="553" spans="1:11">
      <c r="A553">
        <v>90</v>
      </c>
      <c r="B553" t="b">
        <v>0</v>
      </c>
      <c r="C553" t="s">
        <v>46226</v>
      </c>
      <c r="D553">
        <v>1037022454355</v>
      </c>
      <c r="E553">
        <v>1</v>
      </c>
      <c r="F553">
        <v>6157594375</v>
      </c>
      <c r="G553">
        <v>1933000</v>
      </c>
      <c r="H553" t="s">
        <v>40293</v>
      </c>
      <c r="I553">
        <v>1978</v>
      </c>
      <c r="J553">
        <v>8</v>
      </c>
      <c r="K553">
        <v>8</v>
      </c>
    </row>
    <row r="554" spans="1:11">
      <c r="A554">
        <v>90</v>
      </c>
      <c r="B554" t="b">
        <v>0</v>
      </c>
      <c r="C554" t="s">
        <v>41871</v>
      </c>
      <c r="D554">
        <v>1037022454355</v>
      </c>
      <c r="E554">
        <v>1</v>
      </c>
      <c r="F554">
        <v>6128188703</v>
      </c>
      <c r="G554">
        <v>500000</v>
      </c>
      <c r="H554" t="s">
        <v>40293</v>
      </c>
      <c r="I554">
        <v>1986</v>
      </c>
      <c r="J554">
        <v>157</v>
      </c>
      <c r="K554">
        <v>160</v>
      </c>
    </row>
    <row r="555" spans="1:11">
      <c r="A555">
        <v>90</v>
      </c>
      <c r="B555" t="b">
        <v>0</v>
      </c>
      <c r="C555" t="s">
        <v>46403</v>
      </c>
      <c r="D555">
        <v>1037022454355</v>
      </c>
      <c r="E555">
        <v>1</v>
      </c>
      <c r="F555">
        <v>6079641820</v>
      </c>
      <c r="G555">
        <v>1200000</v>
      </c>
      <c r="H555" t="s">
        <v>40293</v>
      </c>
      <c r="I555">
        <v>1987</v>
      </c>
      <c r="J555">
        <v>25</v>
      </c>
      <c r="K555">
        <v>25</v>
      </c>
    </row>
    <row r="556" spans="1:11">
      <c r="A556">
        <v>90</v>
      </c>
      <c r="B556" t="b">
        <v>0</v>
      </c>
      <c r="C556" t="s">
        <v>41582</v>
      </c>
      <c r="D556">
        <v>1037022454355</v>
      </c>
      <c r="E556">
        <v>1</v>
      </c>
      <c r="F556">
        <v>6100742121</v>
      </c>
      <c r="G556">
        <v>1100000</v>
      </c>
      <c r="H556" t="s">
        <v>40293</v>
      </c>
      <c r="I556">
        <v>1987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41037</v>
      </c>
      <c r="D557">
        <v>1037022454355</v>
      </c>
      <c r="E557">
        <v>1</v>
      </c>
      <c r="F557">
        <v>6117147106</v>
      </c>
      <c r="G557">
        <v>899000</v>
      </c>
      <c r="H557" t="s">
        <v>40293</v>
      </c>
      <c r="I557">
        <v>1987</v>
      </c>
      <c r="J557">
        <v>1</v>
      </c>
      <c r="K557">
        <v>1</v>
      </c>
    </row>
    <row r="558" spans="1:11">
      <c r="A558">
        <v>90</v>
      </c>
      <c r="B558" t="b">
        <v>0</v>
      </c>
      <c r="C558" t="s">
        <v>40446</v>
      </c>
      <c r="D558">
        <v>1037022454355</v>
      </c>
      <c r="E558">
        <v>1</v>
      </c>
      <c r="F558">
        <v>6067850876</v>
      </c>
      <c r="G558">
        <v>895700</v>
      </c>
      <c r="H558" t="s">
        <v>40293</v>
      </c>
      <c r="I558">
        <v>1987</v>
      </c>
      <c r="J558">
        <v>28</v>
      </c>
      <c r="K558">
        <v>30</v>
      </c>
    </row>
    <row r="559" spans="1:11">
      <c r="A559">
        <v>90</v>
      </c>
      <c r="B559" t="b">
        <v>0</v>
      </c>
      <c r="C559" t="s">
        <v>40418</v>
      </c>
      <c r="D559">
        <v>1037022454355</v>
      </c>
      <c r="E559">
        <v>1</v>
      </c>
      <c r="F559">
        <v>6118804499</v>
      </c>
      <c r="G559">
        <v>700000</v>
      </c>
      <c r="H559" t="s">
        <v>40293</v>
      </c>
      <c r="I559">
        <v>1987</v>
      </c>
      <c r="J559">
        <v>7</v>
      </c>
      <c r="K559">
        <v>7</v>
      </c>
    </row>
    <row r="560" spans="1:11">
      <c r="A560">
        <v>90</v>
      </c>
      <c r="B560" t="b">
        <v>0</v>
      </c>
      <c r="C560" t="s">
        <v>41251</v>
      </c>
      <c r="D560">
        <v>1037022454355</v>
      </c>
      <c r="E560">
        <v>1</v>
      </c>
      <c r="F560">
        <v>6122459643</v>
      </c>
      <c r="G560">
        <v>698900</v>
      </c>
      <c r="H560" t="s">
        <v>40293</v>
      </c>
      <c r="I560">
        <v>1987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41573</v>
      </c>
      <c r="D561">
        <v>1037022454355</v>
      </c>
      <c r="E561">
        <v>1</v>
      </c>
      <c r="F561">
        <v>6104706795</v>
      </c>
      <c r="G561">
        <v>698900</v>
      </c>
      <c r="H561" t="s">
        <v>40293</v>
      </c>
      <c r="I561">
        <v>1987</v>
      </c>
      <c r="J561">
        <v>2</v>
      </c>
      <c r="K561">
        <v>2</v>
      </c>
    </row>
    <row r="562" spans="1:11">
      <c r="A562">
        <v>90</v>
      </c>
      <c r="B562" t="b">
        <v>0</v>
      </c>
      <c r="C562" t="s">
        <v>42163</v>
      </c>
      <c r="D562">
        <v>1037022454355</v>
      </c>
      <c r="E562">
        <v>1</v>
      </c>
      <c r="F562">
        <v>6069342998</v>
      </c>
      <c r="G562">
        <v>695000</v>
      </c>
      <c r="H562" t="s">
        <v>40293</v>
      </c>
      <c r="I562">
        <v>1987</v>
      </c>
      <c r="J562">
        <v>15</v>
      </c>
      <c r="K562">
        <v>16</v>
      </c>
    </row>
    <row r="563" spans="1:11">
      <c r="A563">
        <v>90</v>
      </c>
      <c r="B563" t="b">
        <v>0</v>
      </c>
      <c r="C563" t="s">
        <v>42790</v>
      </c>
      <c r="D563">
        <v>1037022454355</v>
      </c>
      <c r="E563">
        <v>1</v>
      </c>
      <c r="F563">
        <v>6132592480</v>
      </c>
      <c r="G563">
        <v>684900</v>
      </c>
      <c r="H563" t="s">
        <v>40293</v>
      </c>
      <c r="I563">
        <v>1987</v>
      </c>
      <c r="J563">
        <v>4</v>
      </c>
      <c r="K563">
        <v>4</v>
      </c>
    </row>
    <row r="564" spans="1:11">
      <c r="A564">
        <v>90</v>
      </c>
      <c r="B564" t="b">
        <v>0</v>
      </c>
      <c r="C564" t="s">
        <v>42661</v>
      </c>
      <c r="D564">
        <v>1037022454355</v>
      </c>
      <c r="E564">
        <v>1</v>
      </c>
      <c r="F564">
        <v>6097555821</v>
      </c>
      <c r="G564">
        <v>684700</v>
      </c>
      <c r="H564" t="s">
        <v>40293</v>
      </c>
      <c r="I564">
        <v>1987</v>
      </c>
      <c r="J564">
        <v>32</v>
      </c>
      <c r="K564">
        <v>40</v>
      </c>
    </row>
    <row r="565" spans="1:11">
      <c r="A565">
        <v>90</v>
      </c>
      <c r="B565" t="b">
        <v>0</v>
      </c>
      <c r="C565" t="s">
        <v>43075</v>
      </c>
      <c r="D565">
        <v>1037022454355</v>
      </c>
      <c r="E565">
        <v>1</v>
      </c>
      <c r="F565">
        <v>6143907580</v>
      </c>
      <c r="G565">
        <v>679700</v>
      </c>
      <c r="H565" t="s">
        <v>40293</v>
      </c>
      <c r="I565">
        <v>1987</v>
      </c>
      <c r="J565">
        <v>10</v>
      </c>
      <c r="K565">
        <v>10</v>
      </c>
    </row>
    <row r="566" spans="1:11">
      <c r="A566">
        <v>30</v>
      </c>
      <c r="B566" t="b">
        <v>0</v>
      </c>
      <c r="C566" t="s">
        <v>46367</v>
      </c>
      <c r="D566">
        <v>1037022454355</v>
      </c>
      <c r="E566">
        <v>1</v>
      </c>
      <c r="F566">
        <v>6108839538</v>
      </c>
      <c r="G566">
        <v>665000</v>
      </c>
      <c r="H566" t="s">
        <v>40293</v>
      </c>
      <c r="I566">
        <v>1987</v>
      </c>
      <c r="J566">
        <v>22</v>
      </c>
      <c r="K566">
        <v>30</v>
      </c>
    </row>
    <row r="567" spans="1:11">
      <c r="A567">
        <v>90</v>
      </c>
      <c r="B567" t="b">
        <v>0</v>
      </c>
      <c r="C567" t="s">
        <v>45728</v>
      </c>
      <c r="D567">
        <v>1037022454355</v>
      </c>
      <c r="E567">
        <v>1</v>
      </c>
      <c r="F567">
        <v>6152738383</v>
      </c>
      <c r="G567">
        <v>663000</v>
      </c>
      <c r="H567" t="s">
        <v>40293</v>
      </c>
      <c r="I567">
        <v>1987</v>
      </c>
      <c r="J567">
        <v>12</v>
      </c>
      <c r="K567">
        <v>13</v>
      </c>
    </row>
    <row r="568" spans="1:11">
      <c r="A568">
        <v>90</v>
      </c>
      <c r="B568" t="b">
        <v>0</v>
      </c>
      <c r="C568" t="s">
        <v>45817</v>
      </c>
      <c r="D568">
        <v>1037022454355</v>
      </c>
      <c r="E568">
        <v>1</v>
      </c>
      <c r="F568">
        <v>6153397340</v>
      </c>
      <c r="G568">
        <v>661500</v>
      </c>
      <c r="H568" t="s">
        <v>40293</v>
      </c>
      <c r="I568">
        <v>1987</v>
      </c>
      <c r="J568">
        <v>2</v>
      </c>
      <c r="K568">
        <v>2</v>
      </c>
    </row>
    <row r="569" spans="1:11">
      <c r="A569">
        <v>90</v>
      </c>
      <c r="B569" t="b">
        <v>0</v>
      </c>
      <c r="C569" t="s">
        <v>45922</v>
      </c>
      <c r="D569">
        <v>1037022454355</v>
      </c>
      <c r="E569">
        <v>1</v>
      </c>
      <c r="F569">
        <v>6145498663</v>
      </c>
      <c r="G569">
        <v>660700</v>
      </c>
      <c r="H569" t="s">
        <v>40293</v>
      </c>
      <c r="I569">
        <v>1987</v>
      </c>
      <c r="J569">
        <v>101</v>
      </c>
      <c r="K569">
        <v>106</v>
      </c>
    </row>
    <row r="570" spans="1:11">
      <c r="A570">
        <v>90</v>
      </c>
      <c r="B570" t="b">
        <v>0</v>
      </c>
      <c r="C570" t="s">
        <v>46383</v>
      </c>
      <c r="D570">
        <v>1037022454355</v>
      </c>
      <c r="E570">
        <v>1</v>
      </c>
      <c r="F570">
        <v>6157396297</v>
      </c>
      <c r="G570">
        <v>660000</v>
      </c>
      <c r="H570" t="s">
        <v>40293</v>
      </c>
      <c r="I570">
        <v>1987</v>
      </c>
      <c r="J570">
        <v>1</v>
      </c>
      <c r="K570">
        <v>1</v>
      </c>
    </row>
    <row r="571" spans="1:11">
      <c r="A571">
        <v>90</v>
      </c>
      <c r="B571" t="b">
        <v>0</v>
      </c>
      <c r="C571" t="s">
        <v>41356</v>
      </c>
      <c r="D571">
        <v>1037022454355</v>
      </c>
      <c r="E571">
        <v>1</v>
      </c>
      <c r="F571">
        <v>6124009753</v>
      </c>
      <c r="G571">
        <v>200000</v>
      </c>
      <c r="H571" t="s">
        <v>40293</v>
      </c>
      <c r="I571">
        <v>1998</v>
      </c>
      <c r="J571">
        <v>3</v>
      </c>
      <c r="K571">
        <v>3</v>
      </c>
    </row>
    <row r="572" spans="1:11">
      <c r="A572">
        <v>90</v>
      </c>
      <c r="B572" t="b">
        <v>0</v>
      </c>
      <c r="C572" t="s">
        <v>40559</v>
      </c>
      <c r="D572">
        <v>1037022454355</v>
      </c>
      <c r="E572">
        <v>1</v>
      </c>
      <c r="F572">
        <v>6124312613</v>
      </c>
      <c r="G572">
        <v>150000</v>
      </c>
      <c r="H572" t="s">
        <v>40293</v>
      </c>
      <c r="I572">
        <v>1998</v>
      </c>
      <c r="J572">
        <v>2</v>
      </c>
      <c r="K572">
        <v>10</v>
      </c>
    </row>
    <row r="573" spans="1:11">
      <c r="A573">
        <v>90</v>
      </c>
      <c r="B573" t="b">
        <v>0</v>
      </c>
      <c r="C573" t="s">
        <v>44762</v>
      </c>
      <c r="D573">
        <v>1037022454355</v>
      </c>
      <c r="E573">
        <v>1</v>
      </c>
      <c r="F573">
        <v>6154364414</v>
      </c>
      <c r="G573">
        <v>1844000</v>
      </c>
      <c r="H573" t="s">
        <v>40293</v>
      </c>
      <c r="I573">
        <v>1999</v>
      </c>
      <c r="J573">
        <v>28</v>
      </c>
      <c r="K573">
        <v>28</v>
      </c>
    </row>
    <row r="574" spans="1:11">
      <c r="A574">
        <v>90</v>
      </c>
      <c r="B574" t="b">
        <v>0</v>
      </c>
      <c r="C574" t="s">
        <v>45910</v>
      </c>
      <c r="D574">
        <v>1037022454355</v>
      </c>
      <c r="E574">
        <v>1</v>
      </c>
      <c r="F574">
        <v>6153395650</v>
      </c>
      <c r="G574">
        <v>1782000</v>
      </c>
      <c r="H574" t="s">
        <v>40293</v>
      </c>
      <c r="I574">
        <v>1999</v>
      </c>
      <c r="J574">
        <v>5</v>
      </c>
      <c r="K574">
        <v>19</v>
      </c>
    </row>
    <row r="575" spans="1:11">
      <c r="A575">
        <v>90</v>
      </c>
      <c r="B575" t="b">
        <v>0</v>
      </c>
      <c r="C575" t="s">
        <v>44146</v>
      </c>
      <c r="D575">
        <v>1037022454355</v>
      </c>
      <c r="E575">
        <v>1</v>
      </c>
      <c r="F575">
        <v>6149751024</v>
      </c>
      <c r="G575">
        <v>1749000</v>
      </c>
      <c r="H575" t="s">
        <v>40293</v>
      </c>
      <c r="I575">
        <v>1999</v>
      </c>
      <c r="J575">
        <v>8</v>
      </c>
      <c r="K575">
        <v>21</v>
      </c>
    </row>
    <row r="576" spans="1:11">
      <c r="A576">
        <v>90</v>
      </c>
      <c r="B576" t="b">
        <v>0</v>
      </c>
      <c r="C576" t="s">
        <v>46242</v>
      </c>
      <c r="D576">
        <v>1037022454355</v>
      </c>
      <c r="E576">
        <v>1</v>
      </c>
      <c r="F576">
        <v>6157594642</v>
      </c>
      <c r="G576">
        <v>1749000</v>
      </c>
      <c r="H576" t="s">
        <v>40293</v>
      </c>
      <c r="I576">
        <v>1999</v>
      </c>
      <c r="J576">
        <v>11</v>
      </c>
      <c r="K576">
        <v>11</v>
      </c>
    </row>
    <row r="577" spans="1:11">
      <c r="A577">
        <v>90</v>
      </c>
      <c r="B577" t="b">
        <v>0</v>
      </c>
      <c r="C577" t="s">
        <v>41147</v>
      </c>
      <c r="D577">
        <v>1037022454355</v>
      </c>
      <c r="E577">
        <v>1</v>
      </c>
      <c r="F577">
        <v>6077532823</v>
      </c>
      <c r="G577">
        <v>1595000</v>
      </c>
      <c r="H577" t="s">
        <v>40293</v>
      </c>
      <c r="I577">
        <v>2024</v>
      </c>
      <c r="J577">
        <v>341</v>
      </c>
      <c r="K577">
        <v>350</v>
      </c>
    </row>
    <row r="578" spans="1:11">
      <c r="A578">
        <v>90</v>
      </c>
      <c r="B578" t="b">
        <v>0</v>
      </c>
      <c r="C578" t="s">
        <v>42232</v>
      </c>
      <c r="D578">
        <v>1037022454355</v>
      </c>
      <c r="E578">
        <v>1</v>
      </c>
      <c r="F578">
        <v>6070169495</v>
      </c>
      <c r="G578">
        <v>1580000</v>
      </c>
      <c r="H578" t="s">
        <v>40293</v>
      </c>
      <c r="I578">
        <v>2024</v>
      </c>
      <c r="J578">
        <v>24</v>
      </c>
      <c r="K578">
        <v>27</v>
      </c>
    </row>
    <row r="579" spans="1:11">
      <c r="A579">
        <v>30</v>
      </c>
      <c r="B579" t="b">
        <v>0</v>
      </c>
      <c r="C579" t="s">
        <v>44081</v>
      </c>
      <c r="D579">
        <v>1037022454355</v>
      </c>
      <c r="E579">
        <v>1</v>
      </c>
      <c r="F579">
        <v>6154463558</v>
      </c>
      <c r="G579">
        <v>1561000</v>
      </c>
      <c r="H579" t="s">
        <v>40293</v>
      </c>
      <c r="I579">
        <v>2024</v>
      </c>
      <c r="J579">
        <v>2</v>
      </c>
      <c r="K579">
        <v>2</v>
      </c>
    </row>
    <row r="580" spans="1:11">
      <c r="A580">
        <v>90</v>
      </c>
      <c r="B580" t="b">
        <v>0</v>
      </c>
      <c r="C580" t="s">
        <v>44690</v>
      </c>
      <c r="D580">
        <v>1037022454355</v>
      </c>
      <c r="E580">
        <v>1</v>
      </c>
      <c r="F580">
        <v>6142829321</v>
      </c>
      <c r="G580">
        <v>1560000</v>
      </c>
      <c r="H580" t="s">
        <v>40293</v>
      </c>
      <c r="I580">
        <v>2024</v>
      </c>
      <c r="J580">
        <v>5</v>
      </c>
      <c r="K580">
        <v>25</v>
      </c>
    </row>
    <row r="581" spans="1:11">
      <c r="A581">
        <v>90</v>
      </c>
      <c r="B581" t="b">
        <v>0</v>
      </c>
      <c r="C581" t="s">
        <v>46174</v>
      </c>
      <c r="D581">
        <v>1037022454355</v>
      </c>
      <c r="E581">
        <v>1</v>
      </c>
      <c r="F581">
        <v>6154021964</v>
      </c>
      <c r="G581">
        <v>1000000</v>
      </c>
      <c r="H581" t="s">
        <v>40293</v>
      </c>
      <c r="I581">
        <v>2032</v>
      </c>
      <c r="J581">
        <v>10</v>
      </c>
      <c r="K581">
        <v>25</v>
      </c>
    </row>
    <row r="582" spans="1:11">
      <c r="A582">
        <v>90</v>
      </c>
      <c r="B582" t="b">
        <v>0</v>
      </c>
      <c r="C582" t="s">
        <v>44048</v>
      </c>
      <c r="D582">
        <v>1037022454355</v>
      </c>
      <c r="E582">
        <v>1</v>
      </c>
      <c r="F582">
        <v>6156843289</v>
      </c>
      <c r="G582">
        <v>880000</v>
      </c>
      <c r="H582" t="s">
        <v>40293</v>
      </c>
      <c r="I582">
        <v>2032</v>
      </c>
      <c r="J582">
        <v>3</v>
      </c>
      <c r="K582">
        <v>3</v>
      </c>
    </row>
    <row r="583" spans="1:11">
      <c r="A583">
        <v>90</v>
      </c>
      <c r="B583" t="b">
        <v>0</v>
      </c>
      <c r="C583" t="s">
        <v>45280</v>
      </c>
      <c r="D583">
        <v>1037022454355</v>
      </c>
      <c r="E583">
        <v>1</v>
      </c>
      <c r="F583">
        <v>6156796138</v>
      </c>
      <c r="G583">
        <v>9900000</v>
      </c>
      <c r="H583" t="s">
        <v>40293</v>
      </c>
      <c r="I583">
        <v>2038</v>
      </c>
      <c r="J583">
        <v>2</v>
      </c>
      <c r="K583">
        <v>2</v>
      </c>
    </row>
    <row r="584" spans="1:11">
      <c r="A584">
        <v>90</v>
      </c>
      <c r="B584" t="b">
        <v>0</v>
      </c>
      <c r="C584" t="s">
        <v>41033</v>
      </c>
      <c r="D584">
        <v>1037022454355</v>
      </c>
      <c r="E584">
        <v>1</v>
      </c>
      <c r="F584">
        <v>6089818551</v>
      </c>
      <c r="G584">
        <v>420000</v>
      </c>
      <c r="H584" t="s">
        <v>40293</v>
      </c>
      <c r="I584">
        <v>2046</v>
      </c>
      <c r="J584">
        <v>1</v>
      </c>
      <c r="K584">
        <v>1</v>
      </c>
    </row>
    <row r="585" spans="1:11">
      <c r="A585">
        <v>90</v>
      </c>
      <c r="B585" t="b">
        <v>0</v>
      </c>
      <c r="C585" t="s">
        <v>40872</v>
      </c>
      <c r="D585">
        <v>1037022454355</v>
      </c>
      <c r="E585">
        <v>1</v>
      </c>
      <c r="F585">
        <v>6094631954</v>
      </c>
      <c r="G585">
        <v>299000</v>
      </c>
      <c r="H585" t="s">
        <v>40293</v>
      </c>
      <c r="I585">
        <v>2046</v>
      </c>
      <c r="J585">
        <v>29</v>
      </c>
      <c r="K585">
        <v>31</v>
      </c>
    </row>
    <row r="586" spans="1:11">
      <c r="A586">
        <v>90</v>
      </c>
      <c r="B586" t="b">
        <v>0</v>
      </c>
      <c r="C586" t="s">
        <v>40901</v>
      </c>
      <c r="D586">
        <v>1037022454355</v>
      </c>
      <c r="E586">
        <v>1</v>
      </c>
      <c r="F586">
        <v>6101186237</v>
      </c>
      <c r="G586">
        <v>100000</v>
      </c>
      <c r="H586" t="s">
        <v>40293</v>
      </c>
      <c r="I586">
        <v>2046</v>
      </c>
      <c r="J586">
        <v>73</v>
      </c>
      <c r="K586">
        <v>74</v>
      </c>
    </row>
    <row r="587" spans="1:11">
      <c r="A587">
        <v>90</v>
      </c>
      <c r="B587" t="b">
        <v>0</v>
      </c>
      <c r="C587" t="s">
        <v>42819</v>
      </c>
      <c r="D587">
        <v>1037022454355</v>
      </c>
      <c r="E587">
        <v>1</v>
      </c>
      <c r="F587">
        <v>6138015746</v>
      </c>
      <c r="G587">
        <v>99500</v>
      </c>
      <c r="H587" t="s">
        <v>40293</v>
      </c>
      <c r="I587">
        <v>2046</v>
      </c>
      <c r="J587">
        <v>4</v>
      </c>
      <c r="K587">
        <v>4</v>
      </c>
    </row>
    <row r="588" spans="1:11">
      <c r="A588">
        <v>90</v>
      </c>
      <c r="B588" t="b">
        <v>0</v>
      </c>
      <c r="C588" t="s">
        <v>42789</v>
      </c>
      <c r="D588">
        <v>1037022454355</v>
      </c>
      <c r="E588">
        <v>1</v>
      </c>
      <c r="F588">
        <v>6124760772</v>
      </c>
      <c r="G588">
        <v>98930</v>
      </c>
      <c r="H588" t="s">
        <v>40293</v>
      </c>
      <c r="I588">
        <v>2046</v>
      </c>
      <c r="J588">
        <v>14</v>
      </c>
      <c r="K588">
        <v>50</v>
      </c>
    </row>
    <row r="589" spans="1:11">
      <c r="A589">
        <v>90</v>
      </c>
      <c r="B589" t="b">
        <v>0</v>
      </c>
      <c r="C589" t="s">
        <v>40813</v>
      </c>
      <c r="D589">
        <v>1037022454355</v>
      </c>
      <c r="E589">
        <v>1</v>
      </c>
      <c r="F589">
        <v>6115765726</v>
      </c>
      <c r="G589">
        <v>649800</v>
      </c>
      <c r="H589" t="s">
        <v>40293</v>
      </c>
      <c r="I589">
        <v>2048</v>
      </c>
      <c r="J589">
        <v>42</v>
      </c>
      <c r="K589">
        <v>50</v>
      </c>
    </row>
    <row r="590" spans="1:11">
      <c r="A590">
        <v>90</v>
      </c>
      <c r="B590" t="b">
        <v>0</v>
      </c>
      <c r="C590" t="s">
        <v>40924</v>
      </c>
      <c r="D590">
        <v>1037022454355</v>
      </c>
      <c r="E590">
        <v>1</v>
      </c>
      <c r="F590">
        <v>6119929936</v>
      </c>
      <c r="G590">
        <v>649500</v>
      </c>
      <c r="H590" t="s">
        <v>40293</v>
      </c>
      <c r="I590">
        <v>2048</v>
      </c>
      <c r="J590">
        <v>18</v>
      </c>
      <c r="K590">
        <v>24</v>
      </c>
    </row>
    <row r="591" spans="1:11">
      <c r="A591">
        <v>90</v>
      </c>
      <c r="B591" t="b">
        <v>0</v>
      </c>
      <c r="C591" t="s">
        <v>40379</v>
      </c>
      <c r="D591">
        <v>1037022454355</v>
      </c>
      <c r="E591">
        <v>1</v>
      </c>
      <c r="F591">
        <v>6123849817</v>
      </c>
      <c r="G591">
        <v>639300</v>
      </c>
      <c r="H591" t="s">
        <v>40293</v>
      </c>
      <c r="I591">
        <v>2048</v>
      </c>
      <c r="J591">
        <v>98</v>
      </c>
      <c r="K591">
        <v>100</v>
      </c>
    </row>
    <row r="592" spans="1:11">
      <c r="A592">
        <v>90</v>
      </c>
      <c r="B592" t="b">
        <v>0</v>
      </c>
      <c r="C592" t="s">
        <v>40407</v>
      </c>
      <c r="D592">
        <v>1037022454355</v>
      </c>
      <c r="E592">
        <v>1</v>
      </c>
      <c r="F592">
        <v>6124047075</v>
      </c>
      <c r="G592">
        <v>600000</v>
      </c>
      <c r="H592" t="s">
        <v>40293</v>
      </c>
      <c r="I592">
        <v>2048</v>
      </c>
      <c r="J592">
        <v>1</v>
      </c>
      <c r="K592">
        <v>30</v>
      </c>
    </row>
    <row r="593" spans="1:11">
      <c r="A593">
        <v>90</v>
      </c>
      <c r="B593" t="b">
        <v>0</v>
      </c>
      <c r="C593" t="s">
        <v>42229</v>
      </c>
      <c r="D593">
        <v>1037022454355</v>
      </c>
      <c r="E593">
        <v>1</v>
      </c>
      <c r="F593">
        <v>6130576363</v>
      </c>
      <c r="G593">
        <v>566600</v>
      </c>
      <c r="H593" t="s">
        <v>40293</v>
      </c>
      <c r="I593">
        <v>2048</v>
      </c>
      <c r="J593">
        <v>22</v>
      </c>
      <c r="K593">
        <v>25</v>
      </c>
    </row>
    <row r="594" spans="1:11">
      <c r="A594">
        <v>90</v>
      </c>
      <c r="B594" t="b">
        <v>0</v>
      </c>
      <c r="C594" t="s">
        <v>42275</v>
      </c>
      <c r="D594">
        <v>1037022454355</v>
      </c>
      <c r="E594">
        <v>1</v>
      </c>
      <c r="F594">
        <v>6113655975</v>
      </c>
      <c r="G594">
        <v>478900</v>
      </c>
      <c r="H594" t="s">
        <v>40293</v>
      </c>
      <c r="I594">
        <v>2048</v>
      </c>
      <c r="J594">
        <v>284</v>
      </c>
      <c r="K594">
        <v>299</v>
      </c>
    </row>
    <row r="595" spans="1:11">
      <c r="A595">
        <v>90</v>
      </c>
      <c r="B595" t="b">
        <v>0</v>
      </c>
      <c r="C595" t="s">
        <v>45747</v>
      </c>
      <c r="D595">
        <v>1037022454355</v>
      </c>
      <c r="E595">
        <v>1</v>
      </c>
      <c r="F595">
        <v>6128424753</v>
      </c>
      <c r="G595">
        <v>477000</v>
      </c>
      <c r="H595" t="s">
        <v>40293</v>
      </c>
      <c r="I595">
        <v>2048</v>
      </c>
      <c r="J595">
        <v>87</v>
      </c>
      <c r="K595">
        <v>100</v>
      </c>
    </row>
    <row r="596" spans="1:11">
      <c r="A596">
        <v>90</v>
      </c>
      <c r="B596" t="b">
        <v>0</v>
      </c>
      <c r="C596" t="s">
        <v>42355</v>
      </c>
      <c r="D596">
        <v>1037022454355</v>
      </c>
      <c r="E596">
        <v>1</v>
      </c>
      <c r="F596">
        <v>6134192257</v>
      </c>
      <c r="G596">
        <v>439000</v>
      </c>
      <c r="H596" t="s">
        <v>40293</v>
      </c>
      <c r="I596">
        <v>2048</v>
      </c>
      <c r="J596">
        <v>77</v>
      </c>
      <c r="K596">
        <v>187</v>
      </c>
    </row>
    <row r="597" spans="1:11">
      <c r="A597">
        <v>90</v>
      </c>
      <c r="B597" t="b">
        <v>0</v>
      </c>
      <c r="C597" t="s">
        <v>46394</v>
      </c>
      <c r="D597">
        <v>1037022454355</v>
      </c>
      <c r="E597">
        <v>1</v>
      </c>
      <c r="F597">
        <v>6157319864</v>
      </c>
      <c r="G597">
        <v>438900</v>
      </c>
      <c r="H597" t="s">
        <v>40293</v>
      </c>
      <c r="I597">
        <v>2048</v>
      </c>
      <c r="J597">
        <v>83</v>
      </c>
      <c r="K597">
        <v>90</v>
      </c>
    </row>
    <row r="598" spans="1:11">
      <c r="A598">
        <v>30</v>
      </c>
      <c r="B598" t="b">
        <v>0</v>
      </c>
      <c r="C598" t="s">
        <v>44303</v>
      </c>
      <c r="D598">
        <v>1037022454355</v>
      </c>
      <c r="E598">
        <v>1</v>
      </c>
      <c r="F598">
        <v>6154456766</v>
      </c>
      <c r="G598">
        <v>88890000</v>
      </c>
      <c r="H598" t="s">
        <v>40293</v>
      </c>
      <c r="I598">
        <v>2078</v>
      </c>
      <c r="J598">
        <v>1</v>
      </c>
      <c r="K598">
        <v>1</v>
      </c>
    </row>
    <row r="599" spans="1:11">
      <c r="A599">
        <v>90</v>
      </c>
      <c r="B599" t="b">
        <v>0</v>
      </c>
      <c r="C599" t="s">
        <v>45615</v>
      </c>
      <c r="D599">
        <v>1037022454355</v>
      </c>
      <c r="E599">
        <v>1</v>
      </c>
      <c r="F599">
        <v>6156630042</v>
      </c>
      <c r="G599">
        <v>181500000</v>
      </c>
      <c r="H599" t="s">
        <v>40293</v>
      </c>
      <c r="I599">
        <v>2082</v>
      </c>
      <c r="J599">
        <v>1</v>
      </c>
      <c r="K599">
        <v>1</v>
      </c>
    </row>
    <row r="600" spans="1:11">
      <c r="A600">
        <v>90</v>
      </c>
      <c r="B600" t="b">
        <v>0</v>
      </c>
      <c r="C600" t="s">
        <v>42609</v>
      </c>
      <c r="D600">
        <v>1037022454355</v>
      </c>
      <c r="E600">
        <v>1</v>
      </c>
      <c r="F600">
        <v>6130125172</v>
      </c>
      <c r="G600">
        <v>1390000</v>
      </c>
      <c r="H600" t="s">
        <v>40293</v>
      </c>
      <c r="I600">
        <v>2104</v>
      </c>
      <c r="J600">
        <v>14</v>
      </c>
      <c r="K600">
        <v>25</v>
      </c>
    </row>
    <row r="601" spans="1:11">
      <c r="A601">
        <v>90</v>
      </c>
      <c r="B601" t="b">
        <v>0</v>
      </c>
      <c r="C601" t="s">
        <v>40908</v>
      </c>
      <c r="D601">
        <v>1037022454355</v>
      </c>
      <c r="E601">
        <v>1</v>
      </c>
      <c r="F601">
        <v>6122977030</v>
      </c>
      <c r="G601">
        <v>100000</v>
      </c>
      <c r="H601" t="s">
        <v>40293</v>
      </c>
      <c r="I601">
        <v>2108</v>
      </c>
      <c r="J601">
        <v>13</v>
      </c>
      <c r="K601">
        <v>20</v>
      </c>
    </row>
    <row r="602" spans="1:11">
      <c r="A602">
        <v>90</v>
      </c>
      <c r="B602" t="b">
        <v>0</v>
      </c>
      <c r="C602" t="s">
        <v>41633</v>
      </c>
      <c r="D602">
        <v>1037022454355</v>
      </c>
      <c r="E602">
        <v>1</v>
      </c>
      <c r="F602">
        <v>6119355536</v>
      </c>
      <c r="G602">
        <v>1872000</v>
      </c>
      <c r="H602" t="s">
        <v>40293</v>
      </c>
      <c r="I602">
        <v>2109</v>
      </c>
      <c r="J602">
        <v>11</v>
      </c>
      <c r="K602">
        <v>13</v>
      </c>
    </row>
    <row r="603" spans="1:11">
      <c r="A603">
        <v>90</v>
      </c>
      <c r="B603" t="b">
        <v>0</v>
      </c>
      <c r="C603" t="s">
        <v>41034</v>
      </c>
      <c r="D603">
        <v>1037022454355</v>
      </c>
      <c r="E603">
        <v>1</v>
      </c>
      <c r="F603">
        <v>6119956555</v>
      </c>
      <c r="G603">
        <v>1870000</v>
      </c>
      <c r="H603" t="s">
        <v>40293</v>
      </c>
      <c r="I603">
        <v>2109</v>
      </c>
      <c r="J603">
        <v>21</v>
      </c>
      <c r="K603">
        <v>22</v>
      </c>
    </row>
    <row r="604" spans="1:11">
      <c r="A604">
        <v>90</v>
      </c>
      <c r="B604" t="b">
        <v>0</v>
      </c>
      <c r="C604" t="s">
        <v>40501</v>
      </c>
      <c r="D604">
        <v>1037022454355</v>
      </c>
      <c r="E604">
        <v>1</v>
      </c>
      <c r="F604">
        <v>6121362255</v>
      </c>
      <c r="G604">
        <v>1799000</v>
      </c>
      <c r="H604" t="s">
        <v>40293</v>
      </c>
      <c r="I604">
        <v>2109</v>
      </c>
      <c r="J604">
        <v>4</v>
      </c>
      <c r="K604">
        <v>4</v>
      </c>
    </row>
    <row r="605" spans="1:11">
      <c r="A605">
        <v>90</v>
      </c>
      <c r="B605" t="b">
        <v>0</v>
      </c>
      <c r="C605" t="s">
        <v>41181</v>
      </c>
      <c r="D605">
        <v>1037022454355</v>
      </c>
      <c r="E605">
        <v>1</v>
      </c>
      <c r="F605">
        <v>6122458364</v>
      </c>
      <c r="G605">
        <v>1797000</v>
      </c>
      <c r="H605" t="s">
        <v>40293</v>
      </c>
      <c r="I605">
        <v>2109</v>
      </c>
      <c r="J605">
        <v>6</v>
      </c>
      <c r="K605">
        <v>6</v>
      </c>
    </row>
    <row r="606" spans="1:11">
      <c r="A606">
        <v>90</v>
      </c>
      <c r="B606" t="b">
        <v>0</v>
      </c>
      <c r="C606" t="s">
        <v>41117</v>
      </c>
      <c r="D606">
        <v>1037022454355</v>
      </c>
      <c r="E606">
        <v>1</v>
      </c>
      <c r="F606">
        <v>6099617930</v>
      </c>
      <c r="G606">
        <v>1796000</v>
      </c>
      <c r="H606" t="s">
        <v>40293</v>
      </c>
      <c r="I606">
        <v>2109</v>
      </c>
      <c r="J606">
        <v>3</v>
      </c>
      <c r="K606">
        <v>20</v>
      </c>
    </row>
    <row r="607" spans="1:11">
      <c r="A607">
        <v>90</v>
      </c>
      <c r="B607" t="b">
        <v>0</v>
      </c>
      <c r="C607" t="s">
        <v>42662</v>
      </c>
      <c r="D607">
        <v>1037022454355</v>
      </c>
      <c r="E607">
        <v>1</v>
      </c>
      <c r="F607">
        <v>6068621769</v>
      </c>
      <c r="G607">
        <v>1774000</v>
      </c>
      <c r="H607" t="s">
        <v>40293</v>
      </c>
      <c r="I607">
        <v>2109</v>
      </c>
      <c r="J607">
        <v>40</v>
      </c>
      <c r="K607">
        <v>61</v>
      </c>
    </row>
    <row r="608" spans="1:11">
      <c r="A608">
        <v>90</v>
      </c>
      <c r="B608" t="b">
        <v>0</v>
      </c>
      <c r="C608" t="s">
        <v>43508</v>
      </c>
      <c r="D608">
        <v>1037022454355</v>
      </c>
      <c r="E608">
        <v>1</v>
      </c>
      <c r="F608">
        <v>6139233568</v>
      </c>
      <c r="G608">
        <v>1773000</v>
      </c>
      <c r="H608" t="s">
        <v>40293</v>
      </c>
      <c r="I608">
        <v>2109</v>
      </c>
      <c r="J608">
        <v>10</v>
      </c>
      <c r="K608">
        <v>11</v>
      </c>
    </row>
    <row r="609" spans="1:11">
      <c r="A609">
        <v>90</v>
      </c>
      <c r="B609" t="b">
        <v>0</v>
      </c>
      <c r="C609" t="s">
        <v>45006</v>
      </c>
      <c r="D609">
        <v>1037022454355</v>
      </c>
      <c r="E609">
        <v>1</v>
      </c>
      <c r="F609">
        <v>6155356234</v>
      </c>
      <c r="G609">
        <v>1772000</v>
      </c>
      <c r="H609" t="s">
        <v>40293</v>
      </c>
      <c r="I609">
        <v>2109</v>
      </c>
      <c r="J609">
        <v>8</v>
      </c>
      <c r="K609">
        <v>8</v>
      </c>
    </row>
    <row r="610" spans="1:11">
      <c r="A610">
        <v>90</v>
      </c>
      <c r="B610" t="b">
        <v>0</v>
      </c>
      <c r="C610" t="s">
        <v>45610</v>
      </c>
      <c r="D610">
        <v>1037022454355</v>
      </c>
      <c r="E610">
        <v>1</v>
      </c>
      <c r="F610">
        <v>6156734575</v>
      </c>
      <c r="G610">
        <v>1750000</v>
      </c>
      <c r="H610" t="s">
        <v>40293</v>
      </c>
      <c r="I610">
        <v>2109</v>
      </c>
      <c r="J610">
        <v>23</v>
      </c>
      <c r="K610">
        <v>30</v>
      </c>
    </row>
    <row r="611" spans="1:11">
      <c r="A611">
        <v>90</v>
      </c>
      <c r="B611" t="b">
        <v>0</v>
      </c>
      <c r="C611" t="s">
        <v>43396</v>
      </c>
      <c r="D611">
        <v>1037022454355</v>
      </c>
      <c r="E611">
        <v>1</v>
      </c>
      <c r="F611">
        <v>6138247150</v>
      </c>
      <c r="G611">
        <v>2123000</v>
      </c>
      <c r="H611" t="s">
        <v>40293</v>
      </c>
      <c r="I611">
        <v>2117</v>
      </c>
      <c r="J611">
        <v>19</v>
      </c>
      <c r="K611">
        <v>50</v>
      </c>
    </row>
    <row r="612" spans="1:11">
      <c r="A612">
        <v>90</v>
      </c>
      <c r="B612" t="b">
        <v>0</v>
      </c>
      <c r="C612" t="s">
        <v>42505</v>
      </c>
      <c r="D612">
        <v>1037022454355</v>
      </c>
      <c r="E612">
        <v>1</v>
      </c>
      <c r="F612">
        <v>6132807005</v>
      </c>
      <c r="G612">
        <v>1501000</v>
      </c>
      <c r="H612" t="s">
        <v>40293</v>
      </c>
      <c r="I612">
        <v>2161</v>
      </c>
      <c r="J612">
        <v>4</v>
      </c>
      <c r="K612">
        <v>10</v>
      </c>
    </row>
    <row r="613" spans="1:11">
      <c r="A613">
        <v>90</v>
      </c>
      <c r="B613" t="b">
        <v>0</v>
      </c>
      <c r="C613" t="s">
        <v>41367</v>
      </c>
      <c r="D613">
        <v>1037022454355</v>
      </c>
      <c r="E613">
        <v>1</v>
      </c>
      <c r="F613">
        <v>6116268498</v>
      </c>
      <c r="G613">
        <v>3000000</v>
      </c>
      <c r="H613" t="s">
        <v>40293</v>
      </c>
      <c r="I613">
        <v>2175</v>
      </c>
      <c r="J613">
        <v>1</v>
      </c>
      <c r="K613">
        <v>1</v>
      </c>
    </row>
    <row r="614" spans="1:11">
      <c r="A614">
        <v>90</v>
      </c>
      <c r="B614" t="b">
        <v>0</v>
      </c>
      <c r="C614" t="s">
        <v>45577</v>
      </c>
      <c r="D614">
        <v>1037022454355</v>
      </c>
      <c r="E614">
        <v>1</v>
      </c>
      <c r="F614">
        <v>6157476458</v>
      </c>
      <c r="G614">
        <v>2990000</v>
      </c>
      <c r="H614" t="s">
        <v>40293</v>
      </c>
      <c r="I614">
        <v>2175</v>
      </c>
      <c r="J614">
        <v>24</v>
      </c>
      <c r="K614">
        <v>24</v>
      </c>
    </row>
    <row r="615" spans="1:11">
      <c r="A615">
        <v>90</v>
      </c>
      <c r="B615" t="b">
        <v>0</v>
      </c>
      <c r="C615" t="s">
        <v>44225</v>
      </c>
      <c r="D615">
        <v>1037022454355</v>
      </c>
      <c r="E615">
        <v>1</v>
      </c>
      <c r="F615">
        <v>6157404684</v>
      </c>
      <c r="G615">
        <v>2989000</v>
      </c>
      <c r="H615" t="s">
        <v>40293</v>
      </c>
      <c r="I615">
        <v>2175</v>
      </c>
      <c r="J615">
        <v>30</v>
      </c>
      <c r="K615">
        <v>40</v>
      </c>
    </row>
    <row r="616" spans="1:11">
      <c r="A616">
        <v>90</v>
      </c>
      <c r="B616" t="b">
        <v>0</v>
      </c>
      <c r="C616" t="s">
        <v>43946</v>
      </c>
      <c r="D616">
        <v>1037022454355</v>
      </c>
      <c r="E616">
        <v>1</v>
      </c>
      <c r="F616">
        <v>6130142204</v>
      </c>
      <c r="G616">
        <v>1492000</v>
      </c>
      <c r="H616" t="s">
        <v>40293</v>
      </c>
      <c r="I616">
        <v>2185</v>
      </c>
      <c r="J616">
        <v>146</v>
      </c>
      <c r="K616">
        <v>172</v>
      </c>
    </row>
    <row r="617" spans="1:11">
      <c r="A617">
        <v>90</v>
      </c>
      <c r="B617" t="b">
        <v>0</v>
      </c>
      <c r="C617" t="s">
        <v>43688</v>
      </c>
      <c r="D617">
        <v>1037022454355</v>
      </c>
      <c r="E617">
        <v>1</v>
      </c>
      <c r="F617">
        <v>6141009500</v>
      </c>
      <c r="G617">
        <v>1491000</v>
      </c>
      <c r="H617" t="s">
        <v>40293</v>
      </c>
      <c r="I617">
        <v>2185</v>
      </c>
      <c r="J617">
        <v>11</v>
      </c>
      <c r="K617">
        <v>35</v>
      </c>
    </row>
    <row r="618" spans="1:11">
      <c r="A618">
        <v>90</v>
      </c>
      <c r="B618" t="b">
        <v>0</v>
      </c>
      <c r="C618" t="s">
        <v>43262</v>
      </c>
      <c r="D618">
        <v>1037022454355</v>
      </c>
      <c r="E618">
        <v>1</v>
      </c>
      <c r="F618">
        <v>6145583749</v>
      </c>
      <c r="G618">
        <v>1248000</v>
      </c>
      <c r="H618" t="s">
        <v>40293</v>
      </c>
      <c r="I618">
        <v>2185</v>
      </c>
      <c r="J618">
        <v>50</v>
      </c>
      <c r="K618">
        <v>50</v>
      </c>
    </row>
    <row r="619" spans="1:11">
      <c r="A619">
        <v>90</v>
      </c>
      <c r="B619" t="b">
        <v>0</v>
      </c>
      <c r="C619" t="s">
        <v>43270</v>
      </c>
      <c r="D619">
        <v>1037022454355</v>
      </c>
      <c r="E619">
        <v>1</v>
      </c>
      <c r="F619">
        <v>6145583928</v>
      </c>
      <c r="G619">
        <v>1248000</v>
      </c>
      <c r="H619" t="s">
        <v>40293</v>
      </c>
      <c r="I619">
        <v>2185</v>
      </c>
      <c r="J619">
        <v>50</v>
      </c>
      <c r="K619">
        <v>50</v>
      </c>
    </row>
    <row r="620" spans="1:11">
      <c r="A620">
        <v>90</v>
      </c>
      <c r="B620" t="b">
        <v>0</v>
      </c>
      <c r="C620" t="s">
        <v>43241</v>
      </c>
      <c r="D620">
        <v>1037022454355</v>
      </c>
      <c r="E620">
        <v>1</v>
      </c>
      <c r="F620">
        <v>6145583419</v>
      </c>
      <c r="G620">
        <v>1248000</v>
      </c>
      <c r="H620" t="s">
        <v>40293</v>
      </c>
      <c r="I620">
        <v>2185</v>
      </c>
      <c r="J620">
        <v>14</v>
      </c>
      <c r="K620">
        <v>50</v>
      </c>
    </row>
    <row r="621" spans="1:11">
      <c r="A621">
        <v>90</v>
      </c>
      <c r="B621" t="b">
        <v>0</v>
      </c>
      <c r="C621" t="s">
        <v>44802</v>
      </c>
      <c r="D621">
        <v>1037022454355</v>
      </c>
      <c r="E621">
        <v>1</v>
      </c>
      <c r="F621">
        <v>6140078006</v>
      </c>
      <c r="G621">
        <v>1200000</v>
      </c>
      <c r="H621" t="s">
        <v>40293</v>
      </c>
      <c r="I621">
        <v>2185</v>
      </c>
      <c r="J621">
        <v>45</v>
      </c>
      <c r="K621">
        <v>55</v>
      </c>
    </row>
    <row r="622" spans="1:11">
      <c r="A622">
        <v>90</v>
      </c>
      <c r="B622" t="b">
        <v>0</v>
      </c>
      <c r="C622" t="s">
        <v>44357</v>
      </c>
      <c r="D622">
        <v>1037022454355</v>
      </c>
      <c r="E622">
        <v>1</v>
      </c>
      <c r="F622">
        <v>6157242730</v>
      </c>
      <c r="G622">
        <v>1198000</v>
      </c>
      <c r="H622" t="s">
        <v>40293</v>
      </c>
      <c r="I622">
        <v>2185</v>
      </c>
      <c r="J622">
        <v>11</v>
      </c>
      <c r="K622">
        <v>18</v>
      </c>
    </row>
    <row r="623" spans="1:11">
      <c r="A623">
        <v>90</v>
      </c>
      <c r="B623" t="b">
        <v>0</v>
      </c>
      <c r="C623" t="s">
        <v>45668</v>
      </c>
      <c r="D623">
        <v>1037022454355</v>
      </c>
      <c r="E623">
        <v>1</v>
      </c>
      <c r="F623">
        <v>6156702609</v>
      </c>
      <c r="G623">
        <v>1197000</v>
      </c>
      <c r="H623" t="s">
        <v>40293</v>
      </c>
      <c r="I623">
        <v>2185</v>
      </c>
      <c r="J623">
        <v>28</v>
      </c>
      <c r="K623">
        <v>28</v>
      </c>
    </row>
    <row r="624" spans="1:11">
      <c r="A624">
        <v>90</v>
      </c>
      <c r="B624" t="b">
        <v>0</v>
      </c>
      <c r="C624" t="s">
        <v>40777</v>
      </c>
      <c r="D624">
        <v>1037022454355</v>
      </c>
      <c r="E624">
        <v>1</v>
      </c>
      <c r="F624">
        <v>6097283659</v>
      </c>
      <c r="G624">
        <v>698800</v>
      </c>
      <c r="H624" t="s">
        <v>40293</v>
      </c>
      <c r="I624">
        <v>2193</v>
      </c>
      <c r="J624">
        <v>12</v>
      </c>
      <c r="K624">
        <v>12</v>
      </c>
    </row>
    <row r="625" spans="1:11">
      <c r="A625">
        <v>90</v>
      </c>
      <c r="B625" t="b">
        <v>0</v>
      </c>
      <c r="C625" t="s">
        <v>46378</v>
      </c>
      <c r="D625">
        <v>1037022454355</v>
      </c>
      <c r="E625">
        <v>1</v>
      </c>
      <c r="F625">
        <v>6154450818</v>
      </c>
      <c r="G625">
        <v>698700</v>
      </c>
      <c r="H625" t="s">
        <v>40293</v>
      </c>
      <c r="I625">
        <v>2193</v>
      </c>
      <c r="J625">
        <v>29</v>
      </c>
      <c r="K625">
        <v>50</v>
      </c>
    </row>
    <row r="626" spans="1:11">
      <c r="A626">
        <v>90</v>
      </c>
      <c r="B626" t="b">
        <v>0</v>
      </c>
      <c r="C626" t="s">
        <v>45417</v>
      </c>
      <c r="D626">
        <v>1037022454355</v>
      </c>
      <c r="E626">
        <v>1</v>
      </c>
      <c r="F626">
        <v>6157518737</v>
      </c>
      <c r="G626">
        <v>150000</v>
      </c>
      <c r="H626" t="s">
        <v>40293</v>
      </c>
      <c r="I626">
        <v>2193</v>
      </c>
      <c r="J626">
        <v>36</v>
      </c>
      <c r="K626">
        <v>36</v>
      </c>
    </row>
    <row r="627" spans="1:11">
      <c r="A627">
        <v>90</v>
      </c>
      <c r="B627" t="b">
        <v>0</v>
      </c>
      <c r="C627" t="s">
        <v>46123</v>
      </c>
      <c r="D627">
        <v>1037022454355</v>
      </c>
      <c r="E627">
        <v>1</v>
      </c>
      <c r="F627">
        <v>6153267544</v>
      </c>
      <c r="G627">
        <v>2900000</v>
      </c>
      <c r="H627" t="s">
        <v>40293</v>
      </c>
      <c r="I627">
        <v>2195</v>
      </c>
      <c r="J627">
        <v>10</v>
      </c>
      <c r="K627">
        <v>10</v>
      </c>
    </row>
    <row r="628" spans="1:11">
      <c r="A628">
        <v>90</v>
      </c>
      <c r="B628" t="b">
        <v>0</v>
      </c>
      <c r="C628" t="s">
        <v>43439</v>
      </c>
      <c r="D628">
        <v>1037022454355</v>
      </c>
      <c r="E628">
        <v>1</v>
      </c>
      <c r="F628">
        <v>6138903712</v>
      </c>
      <c r="G628">
        <v>2249000</v>
      </c>
      <c r="H628" t="s">
        <v>40293</v>
      </c>
      <c r="I628">
        <v>2195</v>
      </c>
      <c r="J628">
        <v>249</v>
      </c>
      <c r="K628">
        <v>343</v>
      </c>
    </row>
    <row r="629" spans="1:11">
      <c r="A629">
        <v>90</v>
      </c>
      <c r="B629" t="b">
        <v>0</v>
      </c>
      <c r="C629" t="s">
        <v>42994</v>
      </c>
      <c r="D629">
        <v>1037022454355</v>
      </c>
      <c r="E629">
        <v>1</v>
      </c>
      <c r="F629">
        <v>6140530370</v>
      </c>
      <c r="G629">
        <v>2248000</v>
      </c>
      <c r="H629" t="s">
        <v>40293</v>
      </c>
      <c r="I629">
        <v>2195</v>
      </c>
      <c r="J629">
        <v>50</v>
      </c>
      <c r="K629">
        <v>50</v>
      </c>
    </row>
    <row r="630" spans="1:11">
      <c r="A630">
        <v>90</v>
      </c>
      <c r="B630" t="b">
        <v>0</v>
      </c>
      <c r="C630" t="s">
        <v>43612</v>
      </c>
      <c r="D630">
        <v>1037022454355</v>
      </c>
      <c r="E630">
        <v>1</v>
      </c>
      <c r="F630">
        <v>6142775824</v>
      </c>
      <c r="G630">
        <v>2147000</v>
      </c>
      <c r="H630" t="s">
        <v>40293</v>
      </c>
      <c r="I630">
        <v>2195</v>
      </c>
      <c r="J630">
        <v>172</v>
      </c>
      <c r="K630">
        <v>207</v>
      </c>
    </row>
    <row r="631" spans="1:11">
      <c r="A631">
        <v>90</v>
      </c>
      <c r="B631" t="b">
        <v>0</v>
      </c>
      <c r="C631" t="s">
        <v>45537</v>
      </c>
      <c r="D631">
        <v>1037022454355</v>
      </c>
      <c r="E631">
        <v>1</v>
      </c>
      <c r="F631">
        <v>6154177774</v>
      </c>
      <c r="G631">
        <v>2144000</v>
      </c>
      <c r="H631" t="s">
        <v>40293</v>
      </c>
      <c r="I631">
        <v>2195</v>
      </c>
      <c r="J631">
        <v>52</v>
      </c>
      <c r="K631">
        <v>82</v>
      </c>
    </row>
    <row r="632" spans="1:11">
      <c r="A632">
        <v>90</v>
      </c>
      <c r="B632" t="b">
        <v>0</v>
      </c>
      <c r="C632" t="s">
        <v>45246</v>
      </c>
      <c r="D632">
        <v>1037022454355</v>
      </c>
      <c r="E632">
        <v>1</v>
      </c>
      <c r="F632">
        <v>6154403542</v>
      </c>
      <c r="G632">
        <v>2100000</v>
      </c>
      <c r="H632" t="s">
        <v>40293</v>
      </c>
      <c r="I632">
        <v>2195</v>
      </c>
      <c r="J632">
        <v>40</v>
      </c>
      <c r="K632">
        <v>40</v>
      </c>
    </row>
    <row r="633" spans="1:11">
      <c r="A633">
        <v>90</v>
      </c>
      <c r="B633" t="b">
        <v>0</v>
      </c>
      <c r="C633" t="s">
        <v>46493</v>
      </c>
      <c r="D633">
        <v>1037022454355</v>
      </c>
      <c r="E633">
        <v>1</v>
      </c>
      <c r="F633">
        <v>6142065935</v>
      </c>
      <c r="G633">
        <v>2096000</v>
      </c>
      <c r="H633" t="s">
        <v>40293</v>
      </c>
      <c r="I633">
        <v>2195</v>
      </c>
      <c r="J633">
        <v>21</v>
      </c>
      <c r="K633">
        <v>25</v>
      </c>
    </row>
    <row r="634" spans="1:11">
      <c r="A634">
        <v>90</v>
      </c>
      <c r="B634" t="b">
        <v>0</v>
      </c>
      <c r="C634" t="s">
        <v>44957</v>
      </c>
      <c r="D634">
        <v>1037022454355</v>
      </c>
      <c r="E634">
        <v>1</v>
      </c>
      <c r="F634">
        <v>6154137531</v>
      </c>
      <c r="G634">
        <v>2095000</v>
      </c>
      <c r="H634" t="s">
        <v>40293</v>
      </c>
      <c r="I634">
        <v>2195</v>
      </c>
      <c r="J634">
        <v>10</v>
      </c>
      <c r="K634">
        <v>20</v>
      </c>
    </row>
    <row r="635" spans="1:11">
      <c r="A635">
        <v>30</v>
      </c>
      <c r="B635" t="b">
        <v>0</v>
      </c>
      <c r="C635" t="s">
        <v>46156</v>
      </c>
      <c r="D635">
        <v>1037022454355</v>
      </c>
      <c r="E635">
        <v>1</v>
      </c>
      <c r="F635">
        <v>6154622570</v>
      </c>
      <c r="G635">
        <v>1900000</v>
      </c>
      <c r="H635" t="s">
        <v>40293</v>
      </c>
      <c r="I635">
        <v>2195</v>
      </c>
      <c r="J635">
        <v>8</v>
      </c>
      <c r="K635">
        <v>70</v>
      </c>
    </row>
    <row r="636" spans="1:11">
      <c r="A636">
        <v>90</v>
      </c>
      <c r="B636" t="b">
        <v>0</v>
      </c>
      <c r="C636" t="s">
        <v>44685</v>
      </c>
      <c r="D636">
        <v>1037022454355</v>
      </c>
      <c r="E636">
        <v>1</v>
      </c>
      <c r="F636">
        <v>6157476540</v>
      </c>
      <c r="G636">
        <v>1890000</v>
      </c>
      <c r="H636" t="s">
        <v>40293</v>
      </c>
      <c r="I636">
        <v>2195</v>
      </c>
      <c r="J636">
        <v>6</v>
      </c>
      <c r="K636">
        <v>11</v>
      </c>
    </row>
    <row r="637" spans="1:11">
      <c r="A637">
        <v>90</v>
      </c>
      <c r="B637" t="b">
        <v>0</v>
      </c>
      <c r="C637" t="s">
        <v>45261</v>
      </c>
      <c r="D637">
        <v>1037022454355</v>
      </c>
      <c r="E637">
        <v>1</v>
      </c>
      <c r="F637">
        <v>6157404834</v>
      </c>
      <c r="G637">
        <v>1889000</v>
      </c>
      <c r="H637" t="s">
        <v>40293</v>
      </c>
      <c r="I637">
        <v>2195</v>
      </c>
      <c r="J637">
        <v>44</v>
      </c>
      <c r="K637">
        <v>50</v>
      </c>
    </row>
    <row r="638" spans="1:11">
      <c r="A638">
        <v>90</v>
      </c>
      <c r="B638" t="b">
        <v>0</v>
      </c>
      <c r="C638" t="s">
        <v>42076</v>
      </c>
      <c r="D638">
        <v>1037022454355</v>
      </c>
      <c r="E638">
        <v>1</v>
      </c>
      <c r="F638">
        <v>6086009770</v>
      </c>
      <c r="G638">
        <v>88000</v>
      </c>
      <c r="H638" t="s">
        <v>40293</v>
      </c>
      <c r="I638">
        <v>2203</v>
      </c>
      <c r="J638">
        <v>575</v>
      </c>
      <c r="K638">
        <v>577</v>
      </c>
    </row>
    <row r="639" spans="1:11">
      <c r="A639">
        <v>30</v>
      </c>
      <c r="B639" t="b">
        <v>0</v>
      </c>
      <c r="C639" t="s">
        <v>45943</v>
      </c>
      <c r="D639">
        <v>1037022454355</v>
      </c>
      <c r="E639">
        <v>1</v>
      </c>
      <c r="F639">
        <v>6152347521</v>
      </c>
      <c r="G639">
        <v>28480</v>
      </c>
      <c r="H639" t="s">
        <v>40293</v>
      </c>
      <c r="I639">
        <v>2203</v>
      </c>
      <c r="J639">
        <v>87</v>
      </c>
      <c r="K639">
        <v>88</v>
      </c>
    </row>
    <row r="640" spans="1:11">
      <c r="A640">
        <v>90</v>
      </c>
      <c r="B640" t="b">
        <v>0</v>
      </c>
      <c r="C640" t="s">
        <v>46561</v>
      </c>
      <c r="D640">
        <v>1037022454355</v>
      </c>
      <c r="E640">
        <v>1</v>
      </c>
      <c r="F640">
        <v>6148489119</v>
      </c>
      <c r="G640">
        <v>699000</v>
      </c>
      <c r="H640" t="s">
        <v>40293</v>
      </c>
      <c r="I640">
        <v>2205</v>
      </c>
      <c r="J640">
        <v>268</v>
      </c>
      <c r="K640">
        <v>360</v>
      </c>
    </row>
    <row r="641" spans="1:11">
      <c r="A641">
        <v>90</v>
      </c>
      <c r="B641" t="b">
        <v>0</v>
      </c>
      <c r="C641" t="s">
        <v>46430</v>
      </c>
      <c r="D641">
        <v>1037022454355</v>
      </c>
      <c r="E641">
        <v>1</v>
      </c>
      <c r="F641">
        <v>6151305787</v>
      </c>
      <c r="G641">
        <v>695800</v>
      </c>
      <c r="H641" t="s">
        <v>40293</v>
      </c>
      <c r="I641">
        <v>2205</v>
      </c>
      <c r="J641">
        <v>5</v>
      </c>
      <c r="K641">
        <v>5</v>
      </c>
    </row>
    <row r="642" spans="1:11">
      <c r="A642">
        <v>90</v>
      </c>
      <c r="B642" t="b">
        <v>0</v>
      </c>
      <c r="C642" t="s">
        <v>44682</v>
      </c>
      <c r="D642">
        <v>1037022454355</v>
      </c>
      <c r="E642">
        <v>1</v>
      </c>
      <c r="F642">
        <v>6151283367</v>
      </c>
      <c r="G642">
        <v>684500</v>
      </c>
      <c r="H642" t="s">
        <v>40293</v>
      </c>
      <c r="I642">
        <v>2205</v>
      </c>
      <c r="J642">
        <v>5</v>
      </c>
      <c r="K642">
        <v>5</v>
      </c>
    </row>
    <row r="643" spans="1:11">
      <c r="A643">
        <v>90</v>
      </c>
      <c r="B643" t="b">
        <v>0</v>
      </c>
      <c r="C643" t="s">
        <v>44505</v>
      </c>
      <c r="D643">
        <v>1037022454355</v>
      </c>
      <c r="E643">
        <v>1</v>
      </c>
      <c r="F643">
        <v>6151379372</v>
      </c>
      <c r="G643">
        <v>684300</v>
      </c>
      <c r="H643" t="s">
        <v>40293</v>
      </c>
      <c r="I643">
        <v>2205</v>
      </c>
      <c r="J643">
        <v>14</v>
      </c>
      <c r="K643">
        <v>35</v>
      </c>
    </row>
    <row r="644" spans="1:11">
      <c r="A644">
        <v>30</v>
      </c>
      <c r="B644" t="b">
        <v>0</v>
      </c>
      <c r="C644" t="s">
        <v>44508</v>
      </c>
      <c r="D644">
        <v>1037022454355</v>
      </c>
      <c r="E644">
        <v>1</v>
      </c>
      <c r="F644">
        <v>6154459601</v>
      </c>
      <c r="G644">
        <v>683100</v>
      </c>
      <c r="H644" t="s">
        <v>40293</v>
      </c>
      <c r="I644">
        <v>2205</v>
      </c>
      <c r="J644">
        <v>12</v>
      </c>
      <c r="K644">
        <v>12</v>
      </c>
    </row>
    <row r="645" spans="1:11">
      <c r="A645">
        <v>90</v>
      </c>
      <c r="B645" t="b">
        <v>0</v>
      </c>
      <c r="C645" t="s">
        <v>45088</v>
      </c>
      <c r="D645">
        <v>1037022454355</v>
      </c>
      <c r="E645">
        <v>1</v>
      </c>
      <c r="F645">
        <v>6152435194</v>
      </c>
      <c r="G645">
        <v>675000</v>
      </c>
      <c r="H645" t="s">
        <v>40293</v>
      </c>
      <c r="I645">
        <v>2205</v>
      </c>
      <c r="J645">
        <v>22</v>
      </c>
      <c r="K645">
        <v>35</v>
      </c>
    </row>
    <row r="646" spans="1:11">
      <c r="A646">
        <v>90</v>
      </c>
      <c r="B646" t="b">
        <v>0</v>
      </c>
      <c r="C646" t="s">
        <v>45871</v>
      </c>
      <c r="D646">
        <v>1037022454355</v>
      </c>
      <c r="E646">
        <v>1</v>
      </c>
      <c r="F646">
        <v>6157242208</v>
      </c>
      <c r="G646">
        <v>674900</v>
      </c>
      <c r="H646" t="s">
        <v>40293</v>
      </c>
      <c r="I646">
        <v>2205</v>
      </c>
      <c r="J646">
        <v>24</v>
      </c>
      <c r="K646">
        <v>30</v>
      </c>
    </row>
    <row r="647" spans="1:11">
      <c r="A647">
        <v>90</v>
      </c>
      <c r="B647" t="b">
        <v>0</v>
      </c>
      <c r="C647" t="s">
        <v>44382</v>
      </c>
      <c r="D647">
        <v>1037022454355</v>
      </c>
      <c r="E647">
        <v>1</v>
      </c>
      <c r="F647">
        <v>6157505284</v>
      </c>
      <c r="G647">
        <v>674500</v>
      </c>
      <c r="H647" t="s">
        <v>40293</v>
      </c>
      <c r="I647">
        <v>2205</v>
      </c>
      <c r="J647">
        <v>7</v>
      </c>
      <c r="K647">
        <v>7</v>
      </c>
    </row>
    <row r="648" spans="1:11">
      <c r="A648">
        <v>90</v>
      </c>
      <c r="B648" t="b">
        <v>0</v>
      </c>
      <c r="C648" t="s">
        <v>44380</v>
      </c>
      <c r="D648">
        <v>1037022454355</v>
      </c>
      <c r="E648">
        <v>1</v>
      </c>
      <c r="F648">
        <v>6157538000</v>
      </c>
      <c r="G648">
        <v>674400</v>
      </c>
      <c r="H648" t="s">
        <v>40293</v>
      </c>
      <c r="I648">
        <v>2205</v>
      </c>
      <c r="J648">
        <v>73</v>
      </c>
      <c r="K648">
        <v>80</v>
      </c>
    </row>
    <row r="649" spans="1:11">
      <c r="A649">
        <v>90</v>
      </c>
      <c r="B649" t="b">
        <v>0</v>
      </c>
      <c r="C649" t="s">
        <v>42586</v>
      </c>
      <c r="D649">
        <v>1037022454355</v>
      </c>
      <c r="E649">
        <v>1</v>
      </c>
      <c r="F649">
        <v>6132548856</v>
      </c>
      <c r="G649">
        <v>2500000</v>
      </c>
      <c r="H649" t="s">
        <v>40293</v>
      </c>
      <c r="I649">
        <v>2254</v>
      </c>
      <c r="J649">
        <v>8</v>
      </c>
      <c r="K649">
        <v>9</v>
      </c>
    </row>
    <row r="650" spans="1:11">
      <c r="A650">
        <v>90</v>
      </c>
      <c r="B650" t="b">
        <v>0</v>
      </c>
      <c r="C650" t="s">
        <v>45010</v>
      </c>
      <c r="D650">
        <v>1037022454355</v>
      </c>
      <c r="E650">
        <v>1</v>
      </c>
      <c r="F650">
        <v>6152303114</v>
      </c>
      <c r="G650">
        <v>2498000</v>
      </c>
      <c r="H650" t="s">
        <v>40293</v>
      </c>
      <c r="I650">
        <v>2254</v>
      </c>
      <c r="J650">
        <v>23</v>
      </c>
      <c r="K650">
        <v>23</v>
      </c>
    </row>
    <row r="651" spans="1:11">
      <c r="A651">
        <v>90</v>
      </c>
      <c r="B651" t="b">
        <v>0</v>
      </c>
      <c r="C651" t="s">
        <v>45591</v>
      </c>
      <c r="D651">
        <v>1037022454355</v>
      </c>
      <c r="E651">
        <v>1</v>
      </c>
      <c r="F651">
        <v>6155472408</v>
      </c>
      <c r="G651">
        <v>2496000</v>
      </c>
      <c r="H651" t="s">
        <v>40293</v>
      </c>
      <c r="I651">
        <v>2254</v>
      </c>
      <c r="J651">
        <v>5</v>
      </c>
      <c r="K651">
        <v>5</v>
      </c>
    </row>
    <row r="652" spans="1:11">
      <c r="A652">
        <v>90</v>
      </c>
      <c r="B652" t="b">
        <v>0</v>
      </c>
      <c r="C652" t="s">
        <v>44305</v>
      </c>
      <c r="D652">
        <v>1037022454355</v>
      </c>
      <c r="E652">
        <v>1</v>
      </c>
      <c r="F652">
        <v>6144986851</v>
      </c>
      <c r="G652">
        <v>2495000</v>
      </c>
      <c r="H652" t="s">
        <v>40293</v>
      </c>
      <c r="I652">
        <v>2254</v>
      </c>
      <c r="J652">
        <v>12</v>
      </c>
      <c r="K652">
        <v>17</v>
      </c>
    </row>
    <row r="653" spans="1:11">
      <c r="A653">
        <v>90</v>
      </c>
      <c r="B653" t="b">
        <v>0</v>
      </c>
      <c r="C653" t="s">
        <v>45423</v>
      </c>
      <c r="D653">
        <v>1037022454355</v>
      </c>
      <c r="E653">
        <v>1</v>
      </c>
      <c r="F653">
        <v>6150014911</v>
      </c>
      <c r="G653">
        <v>2494000</v>
      </c>
      <c r="H653" t="s">
        <v>40293</v>
      </c>
      <c r="I653">
        <v>2254</v>
      </c>
      <c r="J653">
        <v>20</v>
      </c>
      <c r="K653">
        <v>25</v>
      </c>
    </row>
    <row r="654" spans="1:11">
      <c r="A654">
        <v>90</v>
      </c>
      <c r="B654" t="b">
        <v>0</v>
      </c>
      <c r="C654" t="s">
        <v>42071</v>
      </c>
      <c r="D654">
        <v>1037022454355</v>
      </c>
      <c r="E654">
        <v>1</v>
      </c>
      <c r="F654">
        <v>6131261685</v>
      </c>
      <c r="G654">
        <v>2</v>
      </c>
      <c r="H654" t="s">
        <v>40293</v>
      </c>
      <c r="I654">
        <v>2268</v>
      </c>
      <c r="J654">
        <v>480230</v>
      </c>
      <c r="K654">
        <v>480230</v>
      </c>
    </row>
    <row r="655" spans="1:11">
      <c r="A655">
        <v>90</v>
      </c>
      <c r="B655" t="b">
        <v>0</v>
      </c>
      <c r="C655" t="s">
        <v>42619</v>
      </c>
      <c r="D655">
        <v>1037022454355</v>
      </c>
      <c r="E655">
        <v>1</v>
      </c>
      <c r="F655">
        <v>6134057614</v>
      </c>
      <c r="G655">
        <v>1.99</v>
      </c>
      <c r="H655" t="s">
        <v>40293</v>
      </c>
      <c r="I655">
        <v>2268</v>
      </c>
      <c r="J655">
        <v>447132</v>
      </c>
      <c r="K655">
        <v>447132</v>
      </c>
    </row>
    <row r="656" spans="1:11">
      <c r="A656">
        <v>14</v>
      </c>
      <c r="B656" t="b">
        <v>0</v>
      </c>
      <c r="C656" t="s">
        <v>44593</v>
      </c>
      <c r="D656">
        <v>1037022454355</v>
      </c>
      <c r="E656">
        <v>1</v>
      </c>
      <c r="F656">
        <v>6152593035</v>
      </c>
      <c r="G656">
        <v>1.5</v>
      </c>
      <c r="H656" t="s">
        <v>40293</v>
      </c>
      <c r="I656">
        <v>2272</v>
      </c>
      <c r="J656">
        <v>477085</v>
      </c>
      <c r="K656">
        <v>477085</v>
      </c>
    </row>
    <row r="657" spans="1:11">
      <c r="A657">
        <v>90</v>
      </c>
      <c r="B657" t="b">
        <v>0</v>
      </c>
      <c r="C657" t="s">
        <v>40562</v>
      </c>
      <c r="D657">
        <v>1037022454355</v>
      </c>
      <c r="E657">
        <v>1</v>
      </c>
      <c r="F657">
        <v>6084434272</v>
      </c>
      <c r="G657">
        <v>3890000</v>
      </c>
      <c r="H657" t="s">
        <v>40293</v>
      </c>
      <c r="I657">
        <v>2281</v>
      </c>
      <c r="J657">
        <v>11</v>
      </c>
      <c r="K657">
        <v>60</v>
      </c>
    </row>
    <row r="658" spans="1:11">
      <c r="A658">
        <v>90</v>
      </c>
      <c r="B658" t="b">
        <v>0</v>
      </c>
      <c r="C658" t="s">
        <v>41008</v>
      </c>
      <c r="D658">
        <v>1037022454355</v>
      </c>
      <c r="E658">
        <v>1</v>
      </c>
      <c r="F658">
        <v>6119931868</v>
      </c>
      <c r="G658">
        <v>3299000</v>
      </c>
      <c r="H658" t="s">
        <v>40293</v>
      </c>
      <c r="I658">
        <v>2281</v>
      </c>
      <c r="J658">
        <v>57</v>
      </c>
      <c r="K658">
        <v>82</v>
      </c>
    </row>
    <row r="659" spans="1:11">
      <c r="A659">
        <v>90</v>
      </c>
      <c r="B659" t="b">
        <v>0</v>
      </c>
      <c r="C659" t="s">
        <v>45142</v>
      </c>
      <c r="D659">
        <v>1037022454355</v>
      </c>
      <c r="E659">
        <v>1</v>
      </c>
      <c r="F659">
        <v>6147291396</v>
      </c>
      <c r="G659">
        <v>3000000</v>
      </c>
      <c r="H659" t="s">
        <v>40293</v>
      </c>
      <c r="I659">
        <v>2281</v>
      </c>
      <c r="J659">
        <v>210</v>
      </c>
      <c r="K659">
        <v>210</v>
      </c>
    </row>
    <row r="660" spans="1:11">
      <c r="A660">
        <v>90</v>
      </c>
      <c r="B660" t="b">
        <v>0</v>
      </c>
      <c r="C660" t="s">
        <v>43709</v>
      </c>
      <c r="D660">
        <v>1037022454355</v>
      </c>
      <c r="E660">
        <v>1</v>
      </c>
      <c r="F660">
        <v>6144843998</v>
      </c>
      <c r="G660">
        <v>3000000</v>
      </c>
      <c r="H660" t="s">
        <v>40293</v>
      </c>
      <c r="I660">
        <v>2281</v>
      </c>
      <c r="J660">
        <v>31</v>
      </c>
      <c r="K660">
        <v>180</v>
      </c>
    </row>
    <row r="661" spans="1:11">
      <c r="A661">
        <v>90</v>
      </c>
      <c r="B661" t="b">
        <v>0</v>
      </c>
      <c r="C661" t="s">
        <v>45378</v>
      </c>
      <c r="D661">
        <v>1037022454355</v>
      </c>
      <c r="E661">
        <v>1</v>
      </c>
      <c r="F661">
        <v>6155355524</v>
      </c>
      <c r="G661">
        <v>2998000</v>
      </c>
      <c r="H661" t="s">
        <v>40293</v>
      </c>
      <c r="I661">
        <v>2281</v>
      </c>
      <c r="J661">
        <v>24</v>
      </c>
      <c r="K661">
        <v>25</v>
      </c>
    </row>
    <row r="662" spans="1:11">
      <c r="A662">
        <v>90</v>
      </c>
      <c r="B662" t="b">
        <v>0</v>
      </c>
      <c r="C662" t="s">
        <v>45270</v>
      </c>
      <c r="D662">
        <v>1037022454355</v>
      </c>
      <c r="E662">
        <v>1</v>
      </c>
      <c r="F662">
        <v>6156173411</v>
      </c>
      <c r="G662">
        <v>2995000</v>
      </c>
      <c r="H662" t="s">
        <v>40293</v>
      </c>
      <c r="I662">
        <v>2281</v>
      </c>
      <c r="J662">
        <v>10</v>
      </c>
      <c r="K662">
        <v>12</v>
      </c>
    </row>
    <row r="663" spans="1:11">
      <c r="A663">
        <v>90</v>
      </c>
      <c r="B663" t="b">
        <v>0</v>
      </c>
      <c r="C663" t="s">
        <v>45190</v>
      </c>
      <c r="D663">
        <v>1037022454355</v>
      </c>
      <c r="E663">
        <v>1</v>
      </c>
      <c r="F663">
        <v>6156270454</v>
      </c>
      <c r="G663">
        <v>2994000</v>
      </c>
      <c r="H663" t="s">
        <v>40293</v>
      </c>
      <c r="I663">
        <v>2281</v>
      </c>
      <c r="J663">
        <v>7</v>
      </c>
      <c r="K663">
        <v>40</v>
      </c>
    </row>
    <row r="664" spans="1:11">
      <c r="A664">
        <v>90</v>
      </c>
      <c r="B664" t="b">
        <v>0</v>
      </c>
      <c r="C664" t="s">
        <v>45150</v>
      </c>
      <c r="D664">
        <v>1037022454355</v>
      </c>
      <c r="E664">
        <v>1</v>
      </c>
      <c r="F664">
        <v>6157318588</v>
      </c>
      <c r="G664">
        <v>2992000</v>
      </c>
      <c r="H664" t="s">
        <v>40293</v>
      </c>
      <c r="I664">
        <v>2281</v>
      </c>
      <c r="J664">
        <v>39</v>
      </c>
      <c r="K664">
        <v>45</v>
      </c>
    </row>
    <row r="665" spans="1:11">
      <c r="A665">
        <v>90</v>
      </c>
      <c r="B665" t="b">
        <v>0</v>
      </c>
      <c r="C665" t="s">
        <v>46202</v>
      </c>
      <c r="D665">
        <v>1037022454355</v>
      </c>
      <c r="E665">
        <v>1</v>
      </c>
      <c r="F665">
        <v>6157594052</v>
      </c>
      <c r="G665">
        <v>2991000</v>
      </c>
      <c r="H665" t="s">
        <v>40293</v>
      </c>
      <c r="I665">
        <v>2281</v>
      </c>
      <c r="J665">
        <v>10</v>
      </c>
      <c r="K665">
        <v>10</v>
      </c>
    </row>
    <row r="666" spans="1:11">
      <c r="A666">
        <v>90</v>
      </c>
      <c r="B666" t="b">
        <v>0</v>
      </c>
      <c r="C666" t="s">
        <v>46380</v>
      </c>
      <c r="D666">
        <v>1037022454355</v>
      </c>
      <c r="E666">
        <v>1</v>
      </c>
      <c r="F666">
        <v>6152583090</v>
      </c>
      <c r="G666">
        <v>250000</v>
      </c>
      <c r="H666" t="s">
        <v>40293</v>
      </c>
      <c r="I666">
        <v>2289</v>
      </c>
      <c r="J666">
        <v>35</v>
      </c>
      <c r="K666">
        <v>35</v>
      </c>
    </row>
    <row r="667" spans="1:11">
      <c r="A667">
        <v>90</v>
      </c>
      <c r="B667" t="b">
        <v>0</v>
      </c>
      <c r="C667" t="s">
        <v>46391</v>
      </c>
      <c r="D667">
        <v>1037022454355</v>
      </c>
      <c r="E667">
        <v>1</v>
      </c>
      <c r="F667">
        <v>6152583214</v>
      </c>
      <c r="G667">
        <v>250000</v>
      </c>
      <c r="H667" t="s">
        <v>40293</v>
      </c>
      <c r="I667">
        <v>2291</v>
      </c>
      <c r="J667">
        <v>33</v>
      </c>
      <c r="K667">
        <v>33</v>
      </c>
    </row>
    <row r="668" spans="1:11">
      <c r="A668">
        <v>90</v>
      </c>
      <c r="B668" t="b">
        <v>0</v>
      </c>
      <c r="C668" t="s">
        <v>40389</v>
      </c>
      <c r="D668">
        <v>1037022454355</v>
      </c>
      <c r="E668">
        <v>1</v>
      </c>
      <c r="F668">
        <v>6108711228</v>
      </c>
      <c r="G668">
        <v>150000</v>
      </c>
      <c r="H668" t="s">
        <v>40293</v>
      </c>
      <c r="I668">
        <v>2293</v>
      </c>
      <c r="J668">
        <v>5</v>
      </c>
      <c r="K668">
        <v>8</v>
      </c>
    </row>
    <row r="669" spans="1:11">
      <c r="A669">
        <v>90</v>
      </c>
      <c r="B669" t="b">
        <v>0</v>
      </c>
      <c r="C669" t="s">
        <v>42248</v>
      </c>
      <c r="D669">
        <v>1037022454355</v>
      </c>
      <c r="E669">
        <v>1</v>
      </c>
      <c r="F669">
        <v>6129906723</v>
      </c>
      <c r="G669">
        <v>148000</v>
      </c>
      <c r="H669" t="s">
        <v>40293</v>
      </c>
      <c r="I669">
        <v>2293</v>
      </c>
      <c r="J669">
        <v>8</v>
      </c>
      <c r="K669">
        <v>14</v>
      </c>
    </row>
    <row r="670" spans="1:11">
      <c r="A670">
        <v>90</v>
      </c>
      <c r="B670" t="b">
        <v>0</v>
      </c>
      <c r="C670" t="s">
        <v>46434</v>
      </c>
      <c r="D670">
        <v>1037022454355</v>
      </c>
      <c r="E670">
        <v>1</v>
      </c>
      <c r="F670">
        <v>6150552196</v>
      </c>
      <c r="G670">
        <v>147000</v>
      </c>
      <c r="H670" t="s">
        <v>40293</v>
      </c>
      <c r="I670">
        <v>2293</v>
      </c>
      <c r="J670">
        <v>2</v>
      </c>
      <c r="K670">
        <v>2</v>
      </c>
    </row>
    <row r="671" spans="1:11">
      <c r="A671">
        <v>90</v>
      </c>
      <c r="B671" t="b">
        <v>0</v>
      </c>
      <c r="C671" t="s">
        <v>44342</v>
      </c>
      <c r="D671">
        <v>1037022454355</v>
      </c>
      <c r="E671">
        <v>1</v>
      </c>
      <c r="F671">
        <v>6136041589</v>
      </c>
      <c r="G671">
        <v>146900</v>
      </c>
      <c r="H671" t="s">
        <v>40293</v>
      </c>
      <c r="I671">
        <v>2293</v>
      </c>
      <c r="J671">
        <v>19</v>
      </c>
      <c r="K671">
        <v>25</v>
      </c>
    </row>
    <row r="672" spans="1:11">
      <c r="A672">
        <v>90</v>
      </c>
      <c r="B672" t="b">
        <v>0</v>
      </c>
      <c r="C672" t="s">
        <v>43334</v>
      </c>
      <c r="D672">
        <v>1037022454355</v>
      </c>
      <c r="E672">
        <v>1</v>
      </c>
      <c r="F672">
        <v>6071267711</v>
      </c>
      <c r="G672">
        <v>1298000</v>
      </c>
      <c r="H672" t="s">
        <v>40293</v>
      </c>
      <c r="I672">
        <v>2297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43411</v>
      </c>
      <c r="D673">
        <v>1037022454355</v>
      </c>
      <c r="E673">
        <v>1</v>
      </c>
      <c r="F673">
        <v>6097222052</v>
      </c>
      <c r="G673">
        <v>1296000</v>
      </c>
      <c r="H673" t="s">
        <v>40293</v>
      </c>
      <c r="I673">
        <v>2297</v>
      </c>
      <c r="J673">
        <v>9</v>
      </c>
      <c r="K673">
        <v>9</v>
      </c>
    </row>
    <row r="674" spans="1:11">
      <c r="A674">
        <v>90</v>
      </c>
      <c r="B674" t="b">
        <v>0</v>
      </c>
      <c r="C674" t="s">
        <v>42899</v>
      </c>
      <c r="D674">
        <v>1037022454355</v>
      </c>
      <c r="E674">
        <v>1</v>
      </c>
      <c r="F674">
        <v>6104449575</v>
      </c>
      <c r="G674">
        <v>1275000</v>
      </c>
      <c r="H674" t="s">
        <v>40293</v>
      </c>
      <c r="I674">
        <v>2297</v>
      </c>
      <c r="J674">
        <v>14</v>
      </c>
      <c r="K674">
        <v>30</v>
      </c>
    </row>
    <row r="675" spans="1:11">
      <c r="A675">
        <v>90</v>
      </c>
      <c r="B675" t="b">
        <v>0</v>
      </c>
      <c r="C675" t="s">
        <v>41435</v>
      </c>
      <c r="D675">
        <v>1037022454355</v>
      </c>
      <c r="E675">
        <v>1</v>
      </c>
      <c r="F675">
        <v>6073245888</v>
      </c>
      <c r="G675">
        <v>2170000</v>
      </c>
      <c r="H675" t="s">
        <v>40293</v>
      </c>
      <c r="I675">
        <v>2299</v>
      </c>
      <c r="J675">
        <v>17</v>
      </c>
      <c r="K675">
        <v>25</v>
      </c>
    </row>
    <row r="676" spans="1:11">
      <c r="A676">
        <v>90</v>
      </c>
      <c r="B676" t="b">
        <v>0</v>
      </c>
      <c r="C676" t="s">
        <v>41455</v>
      </c>
      <c r="D676">
        <v>1037022454355</v>
      </c>
      <c r="E676">
        <v>1</v>
      </c>
      <c r="F676">
        <v>6100738820</v>
      </c>
      <c r="G676">
        <v>2100000</v>
      </c>
      <c r="H676" t="s">
        <v>40293</v>
      </c>
      <c r="I676">
        <v>2299</v>
      </c>
      <c r="J676">
        <v>1</v>
      </c>
      <c r="K676">
        <v>1</v>
      </c>
    </row>
    <row r="677" spans="1:11">
      <c r="A677">
        <v>90</v>
      </c>
      <c r="B677" t="b">
        <v>0</v>
      </c>
      <c r="C677" t="s">
        <v>40710</v>
      </c>
      <c r="D677">
        <v>1037022454355</v>
      </c>
      <c r="E677">
        <v>1</v>
      </c>
      <c r="F677">
        <v>6119938902</v>
      </c>
      <c r="G677">
        <v>1997000</v>
      </c>
      <c r="H677" t="s">
        <v>40293</v>
      </c>
      <c r="I677">
        <v>2299</v>
      </c>
      <c r="J677">
        <v>6</v>
      </c>
      <c r="K677">
        <v>8</v>
      </c>
    </row>
    <row r="678" spans="1:11">
      <c r="A678">
        <v>90</v>
      </c>
      <c r="B678" t="b">
        <v>0</v>
      </c>
      <c r="C678" t="s">
        <v>45293</v>
      </c>
      <c r="D678">
        <v>1037022454355</v>
      </c>
      <c r="E678">
        <v>1</v>
      </c>
      <c r="F678">
        <v>6156173731</v>
      </c>
      <c r="G678">
        <v>1996000</v>
      </c>
      <c r="H678" t="s">
        <v>40293</v>
      </c>
      <c r="I678">
        <v>2299</v>
      </c>
      <c r="J678">
        <v>2</v>
      </c>
      <c r="K678">
        <v>5</v>
      </c>
    </row>
    <row r="679" spans="1:11">
      <c r="A679">
        <v>90</v>
      </c>
      <c r="B679" t="b">
        <v>0</v>
      </c>
      <c r="C679" t="s">
        <v>45240</v>
      </c>
      <c r="D679">
        <v>1037022454355</v>
      </c>
      <c r="E679">
        <v>1</v>
      </c>
      <c r="F679">
        <v>6153401608</v>
      </c>
      <c r="G679">
        <v>2850000000</v>
      </c>
      <c r="H679" t="s">
        <v>40293</v>
      </c>
      <c r="I679">
        <v>2301</v>
      </c>
      <c r="J679">
        <v>11</v>
      </c>
      <c r="K679">
        <v>11</v>
      </c>
    </row>
    <row r="680" spans="1:11">
      <c r="A680">
        <v>90</v>
      </c>
      <c r="B680" t="b">
        <v>0</v>
      </c>
      <c r="C680" t="s">
        <v>41464</v>
      </c>
      <c r="D680">
        <v>1037022454355</v>
      </c>
      <c r="E680">
        <v>1</v>
      </c>
      <c r="F680">
        <v>6093792237</v>
      </c>
      <c r="G680">
        <v>2940000</v>
      </c>
      <c r="H680" t="s">
        <v>40293</v>
      </c>
      <c r="I680">
        <v>2301</v>
      </c>
      <c r="J680">
        <v>12</v>
      </c>
      <c r="K680">
        <v>12</v>
      </c>
    </row>
    <row r="681" spans="1:11">
      <c r="A681">
        <v>90</v>
      </c>
      <c r="B681" t="b">
        <v>0</v>
      </c>
      <c r="C681" t="s">
        <v>40303</v>
      </c>
      <c r="D681">
        <v>1037022454355</v>
      </c>
      <c r="E681">
        <v>1</v>
      </c>
      <c r="F681">
        <v>6096125984</v>
      </c>
      <c r="G681">
        <v>2929000</v>
      </c>
      <c r="H681" t="s">
        <v>40293</v>
      </c>
      <c r="I681">
        <v>2301</v>
      </c>
      <c r="J681">
        <v>8</v>
      </c>
      <c r="K681">
        <v>10</v>
      </c>
    </row>
    <row r="682" spans="1:11">
      <c r="A682">
        <v>90</v>
      </c>
      <c r="B682" t="b">
        <v>0</v>
      </c>
      <c r="C682" t="s">
        <v>40538</v>
      </c>
      <c r="D682">
        <v>1037022454355</v>
      </c>
      <c r="E682">
        <v>1</v>
      </c>
      <c r="F682">
        <v>6096656091</v>
      </c>
      <c r="G682">
        <v>2926000</v>
      </c>
      <c r="H682" t="s">
        <v>40293</v>
      </c>
      <c r="I682">
        <v>2301</v>
      </c>
      <c r="J682">
        <v>20</v>
      </c>
      <c r="K682">
        <v>20</v>
      </c>
    </row>
    <row r="683" spans="1:11">
      <c r="A683">
        <v>90</v>
      </c>
      <c r="B683" t="b">
        <v>0</v>
      </c>
      <c r="C683" t="s">
        <v>41055</v>
      </c>
      <c r="D683">
        <v>1037022454355</v>
      </c>
      <c r="E683">
        <v>1</v>
      </c>
      <c r="F683">
        <v>6081037149</v>
      </c>
      <c r="G683">
        <v>2920000</v>
      </c>
      <c r="H683" t="s">
        <v>40293</v>
      </c>
      <c r="I683">
        <v>2301</v>
      </c>
      <c r="J683">
        <v>42</v>
      </c>
      <c r="K683">
        <v>60</v>
      </c>
    </row>
    <row r="684" spans="1:11">
      <c r="A684">
        <v>90</v>
      </c>
      <c r="B684" t="b">
        <v>0</v>
      </c>
      <c r="C684" t="s">
        <v>45728</v>
      </c>
      <c r="D684">
        <v>1037022454355</v>
      </c>
      <c r="E684">
        <v>1</v>
      </c>
      <c r="F684">
        <v>6152738381</v>
      </c>
      <c r="G684">
        <v>2918000</v>
      </c>
      <c r="H684" t="s">
        <v>40293</v>
      </c>
      <c r="I684">
        <v>2301</v>
      </c>
      <c r="J684">
        <v>4</v>
      </c>
      <c r="K684">
        <v>5</v>
      </c>
    </row>
    <row r="685" spans="1:11">
      <c r="A685">
        <v>90</v>
      </c>
      <c r="B685" t="b">
        <v>0</v>
      </c>
      <c r="C685" t="s">
        <v>44202</v>
      </c>
      <c r="D685">
        <v>1037022454355</v>
      </c>
      <c r="E685">
        <v>1</v>
      </c>
      <c r="F685">
        <v>6152947871</v>
      </c>
      <c r="G685">
        <v>2917000</v>
      </c>
      <c r="H685" t="s">
        <v>40293</v>
      </c>
      <c r="I685">
        <v>2301</v>
      </c>
      <c r="J685">
        <v>4</v>
      </c>
      <c r="K685">
        <v>25</v>
      </c>
    </row>
    <row r="686" spans="1:11">
      <c r="A686">
        <v>90</v>
      </c>
      <c r="B686" t="b">
        <v>0</v>
      </c>
      <c r="C686" t="s">
        <v>45309</v>
      </c>
      <c r="D686">
        <v>1037022454355</v>
      </c>
      <c r="E686">
        <v>1</v>
      </c>
      <c r="F686">
        <v>6156173926</v>
      </c>
      <c r="G686">
        <v>2917000</v>
      </c>
      <c r="H686" t="s">
        <v>40293</v>
      </c>
      <c r="I686">
        <v>2301</v>
      </c>
      <c r="J686">
        <v>16</v>
      </c>
      <c r="K686">
        <v>16</v>
      </c>
    </row>
    <row r="687" spans="1:11">
      <c r="A687">
        <v>90</v>
      </c>
      <c r="B687" t="b">
        <v>0</v>
      </c>
      <c r="C687" t="s">
        <v>41707</v>
      </c>
      <c r="D687">
        <v>1037022454355</v>
      </c>
      <c r="E687">
        <v>1</v>
      </c>
      <c r="F687">
        <v>6077709114</v>
      </c>
      <c r="G687">
        <v>2494000</v>
      </c>
      <c r="H687" t="s">
        <v>40293</v>
      </c>
      <c r="I687">
        <v>2303</v>
      </c>
      <c r="J687">
        <v>5</v>
      </c>
      <c r="K687">
        <v>20</v>
      </c>
    </row>
    <row r="688" spans="1:11">
      <c r="A688">
        <v>90</v>
      </c>
      <c r="B688" t="b">
        <v>0</v>
      </c>
      <c r="C688" t="s">
        <v>40544</v>
      </c>
      <c r="D688">
        <v>1037022454355</v>
      </c>
      <c r="E688">
        <v>1</v>
      </c>
      <c r="F688">
        <v>6115989269</v>
      </c>
      <c r="G688">
        <v>2490000</v>
      </c>
      <c r="H688" t="s">
        <v>40293</v>
      </c>
      <c r="I688">
        <v>2303</v>
      </c>
      <c r="J688">
        <v>21</v>
      </c>
      <c r="K688">
        <v>25</v>
      </c>
    </row>
    <row r="689" spans="1:11">
      <c r="A689">
        <v>90</v>
      </c>
      <c r="B689" t="b">
        <v>0</v>
      </c>
      <c r="C689" t="s">
        <v>45284</v>
      </c>
      <c r="D689">
        <v>1037022454355</v>
      </c>
      <c r="E689">
        <v>1</v>
      </c>
      <c r="F689">
        <v>6156173604</v>
      </c>
      <c r="G689">
        <v>2489000</v>
      </c>
      <c r="H689" t="s">
        <v>40293</v>
      </c>
      <c r="I689">
        <v>2303</v>
      </c>
      <c r="J689">
        <v>1</v>
      </c>
      <c r="K689">
        <v>2</v>
      </c>
    </row>
    <row r="690" spans="1:11">
      <c r="A690">
        <v>90</v>
      </c>
      <c r="B690" t="b">
        <v>0</v>
      </c>
      <c r="C690" t="s">
        <v>43830</v>
      </c>
      <c r="D690">
        <v>1037022454355</v>
      </c>
      <c r="E690">
        <v>1</v>
      </c>
      <c r="F690">
        <v>6142864670</v>
      </c>
      <c r="G690">
        <v>2</v>
      </c>
      <c r="H690" t="s">
        <v>40293</v>
      </c>
      <c r="I690">
        <v>2308</v>
      </c>
      <c r="J690">
        <v>37832</v>
      </c>
      <c r="K690">
        <v>37832</v>
      </c>
    </row>
    <row r="691" spans="1:11">
      <c r="A691">
        <v>90</v>
      </c>
      <c r="B691" t="b">
        <v>0</v>
      </c>
      <c r="C691" t="s">
        <v>41158</v>
      </c>
      <c r="D691">
        <v>1037022454355</v>
      </c>
      <c r="E691">
        <v>1</v>
      </c>
      <c r="F691">
        <v>6120459156</v>
      </c>
      <c r="G691">
        <v>14990</v>
      </c>
      <c r="H691" t="s">
        <v>40293</v>
      </c>
      <c r="I691">
        <v>2312</v>
      </c>
      <c r="J691">
        <v>1375</v>
      </c>
      <c r="K691">
        <v>1375</v>
      </c>
    </row>
    <row r="692" spans="1:11">
      <c r="A692">
        <v>90</v>
      </c>
      <c r="B692" t="b">
        <v>0</v>
      </c>
      <c r="C692" t="s">
        <v>41457</v>
      </c>
      <c r="D692">
        <v>1037022454355</v>
      </c>
      <c r="E692">
        <v>1</v>
      </c>
      <c r="F692">
        <v>6124790557</v>
      </c>
      <c r="G692">
        <v>10470</v>
      </c>
      <c r="H692" t="s">
        <v>40293</v>
      </c>
      <c r="I692">
        <v>2312</v>
      </c>
      <c r="J692">
        <v>7900</v>
      </c>
      <c r="K692">
        <v>7900</v>
      </c>
    </row>
    <row r="693" spans="1:11">
      <c r="A693">
        <v>90</v>
      </c>
      <c r="B693" t="b">
        <v>0</v>
      </c>
      <c r="C693" t="s">
        <v>42045</v>
      </c>
      <c r="D693">
        <v>1037022454355</v>
      </c>
      <c r="E693">
        <v>1</v>
      </c>
      <c r="F693">
        <v>6129914789</v>
      </c>
      <c r="G693">
        <v>10450</v>
      </c>
      <c r="H693" t="s">
        <v>40293</v>
      </c>
      <c r="I693">
        <v>2312</v>
      </c>
      <c r="J693">
        <v>16451</v>
      </c>
      <c r="K693">
        <v>16451</v>
      </c>
    </row>
    <row r="694" spans="1:11">
      <c r="A694">
        <v>90</v>
      </c>
      <c r="B694" t="b">
        <v>0</v>
      </c>
      <c r="C694" t="s">
        <v>43518</v>
      </c>
      <c r="D694">
        <v>1037022454355</v>
      </c>
      <c r="E694">
        <v>1</v>
      </c>
      <c r="F694">
        <v>6112560826</v>
      </c>
      <c r="G694">
        <v>8999</v>
      </c>
      <c r="H694" t="s">
        <v>40293</v>
      </c>
      <c r="I694">
        <v>2312</v>
      </c>
      <c r="J694">
        <v>4453</v>
      </c>
      <c r="K694">
        <v>4953</v>
      </c>
    </row>
    <row r="695" spans="1:11">
      <c r="A695">
        <v>90</v>
      </c>
      <c r="B695" t="b">
        <v>0</v>
      </c>
      <c r="C695" t="s">
        <v>45995</v>
      </c>
      <c r="D695">
        <v>1037022454355</v>
      </c>
      <c r="E695">
        <v>1</v>
      </c>
      <c r="F695">
        <v>6147793393</v>
      </c>
      <c r="G695">
        <v>8988</v>
      </c>
      <c r="H695" t="s">
        <v>40293</v>
      </c>
      <c r="I695">
        <v>2312</v>
      </c>
      <c r="J695">
        <v>10139</v>
      </c>
      <c r="K695">
        <v>10139</v>
      </c>
    </row>
    <row r="696" spans="1:11">
      <c r="A696">
        <v>90</v>
      </c>
      <c r="B696" t="b">
        <v>0</v>
      </c>
      <c r="C696" t="s">
        <v>46218</v>
      </c>
      <c r="D696">
        <v>1037022454355</v>
      </c>
      <c r="E696">
        <v>1</v>
      </c>
      <c r="F696">
        <v>6147975108</v>
      </c>
      <c r="G696">
        <v>8850</v>
      </c>
      <c r="H696" t="s">
        <v>40293</v>
      </c>
      <c r="I696">
        <v>2312</v>
      </c>
      <c r="J696">
        <v>3535</v>
      </c>
      <c r="K696">
        <v>3535</v>
      </c>
    </row>
    <row r="697" spans="1:11">
      <c r="A697">
        <v>90</v>
      </c>
      <c r="B697" t="b">
        <v>0</v>
      </c>
      <c r="C697" t="s">
        <v>45026</v>
      </c>
      <c r="D697">
        <v>1037022454355</v>
      </c>
      <c r="E697">
        <v>1</v>
      </c>
      <c r="F697">
        <v>6122124020</v>
      </c>
      <c r="G697">
        <v>8840</v>
      </c>
      <c r="H697" t="s">
        <v>40293</v>
      </c>
      <c r="I697">
        <v>2312</v>
      </c>
      <c r="J697">
        <v>5415</v>
      </c>
      <c r="K697">
        <v>5415</v>
      </c>
    </row>
    <row r="698" spans="1:11">
      <c r="A698">
        <v>90</v>
      </c>
      <c r="B698" t="b">
        <v>0</v>
      </c>
      <c r="C698" t="s">
        <v>40720</v>
      </c>
      <c r="D698">
        <v>1037022454355</v>
      </c>
      <c r="E698">
        <v>1</v>
      </c>
      <c r="F698">
        <v>6105441573</v>
      </c>
      <c r="G698">
        <v>5941</v>
      </c>
      <c r="H698" t="s">
        <v>40293</v>
      </c>
      <c r="I698">
        <v>2319</v>
      </c>
      <c r="J698">
        <v>140</v>
      </c>
      <c r="K698">
        <v>140</v>
      </c>
    </row>
    <row r="699" spans="1:11">
      <c r="A699">
        <v>90</v>
      </c>
      <c r="B699" t="b">
        <v>0</v>
      </c>
      <c r="C699" t="s">
        <v>41727</v>
      </c>
      <c r="D699">
        <v>1037022454355</v>
      </c>
      <c r="E699">
        <v>1</v>
      </c>
      <c r="F699">
        <v>6102252725</v>
      </c>
      <c r="G699">
        <v>5940</v>
      </c>
      <c r="H699" t="s">
        <v>40293</v>
      </c>
      <c r="I699">
        <v>2319</v>
      </c>
      <c r="J699">
        <v>4593</v>
      </c>
      <c r="K699">
        <v>11335</v>
      </c>
    </row>
    <row r="700" spans="1:11">
      <c r="A700">
        <v>90</v>
      </c>
      <c r="B700" t="b">
        <v>0</v>
      </c>
      <c r="C700" t="s">
        <v>40693</v>
      </c>
      <c r="D700">
        <v>1037022454355</v>
      </c>
      <c r="E700">
        <v>1</v>
      </c>
      <c r="F700">
        <v>6109635258</v>
      </c>
      <c r="G700">
        <v>5939</v>
      </c>
      <c r="H700" t="s">
        <v>40293</v>
      </c>
      <c r="I700">
        <v>2319</v>
      </c>
      <c r="J700">
        <v>1281</v>
      </c>
      <c r="K700">
        <v>4710</v>
      </c>
    </row>
    <row r="701" spans="1:11">
      <c r="A701">
        <v>90</v>
      </c>
      <c r="B701" t="b">
        <v>0</v>
      </c>
      <c r="C701" t="s">
        <v>45936</v>
      </c>
      <c r="D701">
        <v>1037022454355</v>
      </c>
      <c r="E701">
        <v>1</v>
      </c>
      <c r="F701">
        <v>6152642285</v>
      </c>
      <c r="G701">
        <v>5000</v>
      </c>
      <c r="H701" t="s">
        <v>40293</v>
      </c>
      <c r="I701">
        <v>2319</v>
      </c>
      <c r="J701">
        <v>11954</v>
      </c>
      <c r="K701">
        <v>12467</v>
      </c>
    </row>
    <row r="702" spans="1:11">
      <c r="A702">
        <v>90</v>
      </c>
      <c r="B702" t="b">
        <v>0</v>
      </c>
      <c r="C702" t="s">
        <v>40318</v>
      </c>
      <c r="D702">
        <v>1037022454355</v>
      </c>
      <c r="E702">
        <v>1</v>
      </c>
      <c r="F702">
        <v>6117589737</v>
      </c>
      <c r="G702">
        <v>13500</v>
      </c>
      <c r="H702" t="s">
        <v>40293</v>
      </c>
      <c r="I702">
        <v>2327</v>
      </c>
      <c r="J702">
        <v>8545</v>
      </c>
      <c r="K702">
        <v>9545</v>
      </c>
    </row>
    <row r="703" spans="1:11">
      <c r="A703">
        <v>90</v>
      </c>
      <c r="B703" t="b">
        <v>0</v>
      </c>
      <c r="C703" t="s">
        <v>42711</v>
      </c>
      <c r="D703">
        <v>1037022454355</v>
      </c>
      <c r="E703">
        <v>1</v>
      </c>
      <c r="F703">
        <v>6136782713</v>
      </c>
      <c r="G703">
        <v>9997</v>
      </c>
      <c r="H703" t="s">
        <v>40293</v>
      </c>
      <c r="I703">
        <v>2328</v>
      </c>
      <c r="J703">
        <v>3257</v>
      </c>
      <c r="K703">
        <v>3257</v>
      </c>
    </row>
    <row r="704" spans="1:11">
      <c r="A704">
        <v>90</v>
      </c>
      <c r="B704" t="b">
        <v>0</v>
      </c>
      <c r="C704" t="s">
        <v>46460</v>
      </c>
      <c r="D704">
        <v>1037022454355</v>
      </c>
      <c r="E704">
        <v>1</v>
      </c>
      <c r="F704">
        <v>6147734439</v>
      </c>
      <c r="G704">
        <v>8600</v>
      </c>
      <c r="H704" t="s">
        <v>40293</v>
      </c>
      <c r="I704">
        <v>2328</v>
      </c>
      <c r="J704">
        <v>11575</v>
      </c>
      <c r="K704">
        <v>11575</v>
      </c>
    </row>
    <row r="705" spans="1:11">
      <c r="A705">
        <v>7</v>
      </c>
      <c r="B705" t="b">
        <v>0</v>
      </c>
      <c r="C705" t="s">
        <v>45996</v>
      </c>
      <c r="D705">
        <v>1037022454355</v>
      </c>
      <c r="E705">
        <v>1</v>
      </c>
      <c r="F705">
        <v>6152806920</v>
      </c>
      <c r="G705">
        <v>5000</v>
      </c>
      <c r="H705" t="s">
        <v>40293</v>
      </c>
      <c r="I705">
        <v>2328</v>
      </c>
      <c r="J705">
        <v>1640</v>
      </c>
      <c r="K705">
        <v>1640</v>
      </c>
    </row>
    <row r="706" spans="1:11">
      <c r="A706">
        <v>90</v>
      </c>
      <c r="B706" t="b">
        <v>0</v>
      </c>
      <c r="C706" t="s">
        <v>46112</v>
      </c>
      <c r="D706">
        <v>1037022454355</v>
      </c>
      <c r="E706">
        <v>1</v>
      </c>
      <c r="F706">
        <v>6152644824</v>
      </c>
      <c r="G706">
        <v>4998</v>
      </c>
      <c r="H706" t="s">
        <v>40293</v>
      </c>
      <c r="I706">
        <v>2328</v>
      </c>
      <c r="J706">
        <v>21310</v>
      </c>
      <c r="K706">
        <v>21310</v>
      </c>
    </row>
    <row r="707" spans="1:11">
      <c r="A707">
        <v>90</v>
      </c>
      <c r="B707" t="b">
        <v>0</v>
      </c>
      <c r="C707" t="s">
        <v>45437</v>
      </c>
      <c r="D707">
        <v>1037022454355</v>
      </c>
      <c r="E707">
        <v>1</v>
      </c>
      <c r="F707">
        <v>6134057032</v>
      </c>
      <c r="G707">
        <v>4996</v>
      </c>
      <c r="H707" t="s">
        <v>40293</v>
      </c>
      <c r="I707">
        <v>2328</v>
      </c>
      <c r="J707">
        <v>3540</v>
      </c>
      <c r="K707">
        <v>3610</v>
      </c>
    </row>
    <row r="708" spans="1:11">
      <c r="A708">
        <v>90</v>
      </c>
      <c r="B708" t="b">
        <v>0</v>
      </c>
      <c r="C708" t="s">
        <v>40301</v>
      </c>
      <c r="D708">
        <v>1037022454355</v>
      </c>
      <c r="E708">
        <v>1</v>
      </c>
      <c r="F708">
        <v>6106415248</v>
      </c>
      <c r="G708">
        <v>7176</v>
      </c>
      <c r="H708" t="s">
        <v>40293</v>
      </c>
      <c r="I708">
        <v>2329</v>
      </c>
      <c r="J708">
        <v>6467</v>
      </c>
      <c r="K708">
        <v>6467</v>
      </c>
    </row>
    <row r="709" spans="1:11">
      <c r="A709">
        <v>90</v>
      </c>
      <c r="B709" t="b">
        <v>0</v>
      </c>
      <c r="C709" t="s">
        <v>43272</v>
      </c>
      <c r="D709">
        <v>1037022454355</v>
      </c>
      <c r="E709">
        <v>1</v>
      </c>
      <c r="F709">
        <v>6112560953</v>
      </c>
      <c r="G709">
        <v>7164</v>
      </c>
      <c r="H709" t="s">
        <v>40293</v>
      </c>
      <c r="I709">
        <v>2329</v>
      </c>
      <c r="J709">
        <v>8865</v>
      </c>
      <c r="K709">
        <v>8865</v>
      </c>
    </row>
    <row r="710" spans="1:11">
      <c r="A710">
        <v>90</v>
      </c>
      <c r="B710" t="b">
        <v>0</v>
      </c>
      <c r="C710" t="s">
        <v>43754</v>
      </c>
      <c r="D710">
        <v>1037022454355</v>
      </c>
      <c r="E710">
        <v>1</v>
      </c>
      <c r="F710">
        <v>6143043099</v>
      </c>
      <c r="G710">
        <v>7099</v>
      </c>
      <c r="H710" t="s">
        <v>40293</v>
      </c>
      <c r="I710">
        <v>2329</v>
      </c>
      <c r="J710">
        <v>7000</v>
      </c>
      <c r="K710">
        <v>7000</v>
      </c>
    </row>
    <row r="711" spans="1:11">
      <c r="A711">
        <v>90</v>
      </c>
      <c r="B711" t="b">
        <v>0</v>
      </c>
      <c r="C711" t="s">
        <v>46316</v>
      </c>
      <c r="D711">
        <v>1037022454355</v>
      </c>
      <c r="E711">
        <v>1</v>
      </c>
      <c r="F711">
        <v>6126826289</v>
      </c>
      <c r="G711">
        <v>7070</v>
      </c>
      <c r="H711" t="s">
        <v>40293</v>
      </c>
      <c r="I711">
        <v>2329</v>
      </c>
      <c r="J711">
        <v>63825</v>
      </c>
      <c r="K711">
        <v>63905</v>
      </c>
    </row>
    <row r="712" spans="1:11">
      <c r="A712">
        <v>90</v>
      </c>
      <c r="B712" t="b">
        <v>0</v>
      </c>
      <c r="C712" t="s">
        <v>44283</v>
      </c>
      <c r="D712">
        <v>1037022454355</v>
      </c>
      <c r="E712">
        <v>1</v>
      </c>
      <c r="F712">
        <v>6153951117</v>
      </c>
      <c r="G712">
        <v>7061</v>
      </c>
      <c r="H712" t="s">
        <v>40293</v>
      </c>
      <c r="I712">
        <v>2329</v>
      </c>
      <c r="J712">
        <v>2195</v>
      </c>
      <c r="K712">
        <v>2195</v>
      </c>
    </row>
    <row r="713" spans="1:11">
      <c r="A713">
        <v>90</v>
      </c>
      <c r="B713" t="b">
        <v>0</v>
      </c>
      <c r="C713" t="s">
        <v>44165</v>
      </c>
      <c r="D713">
        <v>1037022454355</v>
      </c>
      <c r="E713">
        <v>1</v>
      </c>
      <c r="F713">
        <v>6117590758</v>
      </c>
      <c r="G713">
        <v>7060</v>
      </c>
      <c r="H713" t="s">
        <v>40293</v>
      </c>
      <c r="I713">
        <v>2329</v>
      </c>
      <c r="J713">
        <v>7105</v>
      </c>
      <c r="K713">
        <v>7105</v>
      </c>
    </row>
    <row r="714" spans="1:11">
      <c r="A714">
        <v>90</v>
      </c>
      <c r="B714" t="b">
        <v>0</v>
      </c>
      <c r="C714" t="s">
        <v>46010</v>
      </c>
      <c r="D714">
        <v>1037022454355</v>
      </c>
      <c r="E714">
        <v>1</v>
      </c>
      <c r="F714">
        <v>6094447279</v>
      </c>
      <c r="G714">
        <v>7060</v>
      </c>
      <c r="H714" t="s">
        <v>40293</v>
      </c>
      <c r="I714">
        <v>2329</v>
      </c>
      <c r="J714">
        <v>3540</v>
      </c>
      <c r="K714">
        <v>7440</v>
      </c>
    </row>
    <row r="715" spans="1:11">
      <c r="A715">
        <v>90</v>
      </c>
      <c r="B715" t="b">
        <v>0</v>
      </c>
      <c r="C715" t="s">
        <v>41166</v>
      </c>
      <c r="D715">
        <v>1037022454355</v>
      </c>
      <c r="E715">
        <v>1</v>
      </c>
      <c r="F715">
        <v>6093687845</v>
      </c>
      <c r="G715">
        <v>300000</v>
      </c>
      <c r="H715" t="s">
        <v>40293</v>
      </c>
      <c r="I715">
        <v>2331</v>
      </c>
      <c r="J715">
        <v>10</v>
      </c>
      <c r="K715">
        <v>10</v>
      </c>
    </row>
    <row r="716" spans="1:11">
      <c r="A716">
        <v>90</v>
      </c>
      <c r="B716" t="b">
        <v>0</v>
      </c>
      <c r="C716" t="s">
        <v>43308</v>
      </c>
      <c r="D716">
        <v>1037022454355</v>
      </c>
      <c r="E716">
        <v>1</v>
      </c>
      <c r="F716">
        <v>6145126170</v>
      </c>
      <c r="G716">
        <v>299000</v>
      </c>
      <c r="H716" t="s">
        <v>40293</v>
      </c>
      <c r="I716">
        <v>2331</v>
      </c>
      <c r="J716">
        <v>1</v>
      </c>
      <c r="K716">
        <v>1</v>
      </c>
    </row>
    <row r="717" spans="1:11">
      <c r="A717">
        <v>90</v>
      </c>
      <c r="B717" t="b">
        <v>0</v>
      </c>
      <c r="C717" t="s">
        <v>44703</v>
      </c>
      <c r="D717">
        <v>1037022454355</v>
      </c>
      <c r="E717">
        <v>1</v>
      </c>
      <c r="F717">
        <v>6156264371</v>
      </c>
      <c r="G717">
        <v>1500000</v>
      </c>
      <c r="H717" t="s">
        <v>40293</v>
      </c>
      <c r="I717">
        <v>2333</v>
      </c>
      <c r="J717">
        <v>28</v>
      </c>
      <c r="K717">
        <v>35</v>
      </c>
    </row>
    <row r="718" spans="1:11">
      <c r="A718">
        <v>90</v>
      </c>
      <c r="B718" t="b">
        <v>0</v>
      </c>
      <c r="C718" t="s">
        <v>41708</v>
      </c>
      <c r="D718">
        <v>1037022454355</v>
      </c>
      <c r="E718">
        <v>1</v>
      </c>
      <c r="F718">
        <v>6106413905</v>
      </c>
      <c r="G718">
        <v>42990</v>
      </c>
      <c r="H718" t="s">
        <v>40293</v>
      </c>
      <c r="I718">
        <v>2344</v>
      </c>
      <c r="J718">
        <v>54</v>
      </c>
      <c r="K718">
        <v>54</v>
      </c>
    </row>
    <row r="719" spans="1:11">
      <c r="A719">
        <v>90</v>
      </c>
      <c r="B719" t="b">
        <v>0</v>
      </c>
      <c r="C719" t="s">
        <v>46024</v>
      </c>
      <c r="D719">
        <v>1037022454355</v>
      </c>
      <c r="E719">
        <v>1</v>
      </c>
      <c r="F719">
        <v>6153954140</v>
      </c>
      <c r="G719">
        <v>40000</v>
      </c>
      <c r="H719" t="s">
        <v>40293</v>
      </c>
      <c r="I719">
        <v>2344</v>
      </c>
      <c r="J719">
        <v>12330</v>
      </c>
      <c r="K719">
        <v>12330</v>
      </c>
    </row>
    <row r="720" spans="1:11">
      <c r="A720">
        <v>90</v>
      </c>
      <c r="B720" t="b">
        <v>0</v>
      </c>
      <c r="C720" t="s">
        <v>46347</v>
      </c>
      <c r="D720">
        <v>1037022454355</v>
      </c>
      <c r="E720">
        <v>1</v>
      </c>
      <c r="F720">
        <v>6147732791</v>
      </c>
      <c r="G720">
        <v>40000</v>
      </c>
      <c r="H720" t="s">
        <v>40293</v>
      </c>
      <c r="I720">
        <v>2344</v>
      </c>
      <c r="J720">
        <v>1452</v>
      </c>
      <c r="K720">
        <v>1452</v>
      </c>
    </row>
    <row r="721" spans="1:11">
      <c r="A721">
        <v>90</v>
      </c>
      <c r="B721" t="b">
        <v>0</v>
      </c>
      <c r="C721" t="s">
        <v>42291</v>
      </c>
      <c r="D721">
        <v>1037022454355</v>
      </c>
      <c r="E721">
        <v>1</v>
      </c>
      <c r="F721">
        <v>6069780756</v>
      </c>
      <c r="G721">
        <v>73400</v>
      </c>
      <c r="H721" t="s">
        <v>40293</v>
      </c>
      <c r="I721">
        <v>2345</v>
      </c>
      <c r="J721">
        <v>192</v>
      </c>
      <c r="K721">
        <v>192</v>
      </c>
    </row>
    <row r="722" spans="1:11">
      <c r="A722">
        <v>90</v>
      </c>
      <c r="B722" t="b">
        <v>0</v>
      </c>
      <c r="C722" t="s">
        <v>45087</v>
      </c>
      <c r="D722">
        <v>1037022454355</v>
      </c>
      <c r="E722">
        <v>1</v>
      </c>
      <c r="F722">
        <v>6153025008</v>
      </c>
      <c r="G722">
        <v>72000</v>
      </c>
      <c r="H722" t="s">
        <v>40293</v>
      </c>
      <c r="I722">
        <v>2345</v>
      </c>
      <c r="J722">
        <v>369</v>
      </c>
      <c r="K722">
        <v>369</v>
      </c>
    </row>
    <row r="723" spans="1:11">
      <c r="A723">
        <v>90</v>
      </c>
      <c r="B723" t="b">
        <v>0</v>
      </c>
      <c r="C723" t="s">
        <v>42324</v>
      </c>
      <c r="D723">
        <v>1037022454355</v>
      </c>
      <c r="E723">
        <v>1</v>
      </c>
      <c r="F723">
        <v>6132631736</v>
      </c>
      <c r="G723">
        <v>72000</v>
      </c>
      <c r="H723" t="s">
        <v>40293</v>
      </c>
      <c r="I723">
        <v>2346</v>
      </c>
      <c r="J723">
        <v>69</v>
      </c>
      <c r="K723">
        <v>1780</v>
      </c>
    </row>
    <row r="724" spans="1:11">
      <c r="A724">
        <v>30</v>
      </c>
      <c r="B724" t="b">
        <v>0</v>
      </c>
      <c r="C724" t="s">
        <v>43450</v>
      </c>
      <c r="D724">
        <v>1037022454355</v>
      </c>
      <c r="E724">
        <v>1</v>
      </c>
      <c r="F724">
        <v>6141918641</v>
      </c>
      <c r="G724">
        <v>120000</v>
      </c>
      <c r="H724" t="s">
        <v>40293</v>
      </c>
      <c r="I724">
        <v>2348</v>
      </c>
      <c r="J724">
        <v>1500</v>
      </c>
      <c r="K724">
        <v>1500</v>
      </c>
    </row>
    <row r="725" spans="1:11">
      <c r="A725">
        <v>90</v>
      </c>
      <c r="B725" t="b">
        <v>0</v>
      </c>
      <c r="C725" t="s">
        <v>43403</v>
      </c>
      <c r="D725">
        <v>1037022454355</v>
      </c>
      <c r="E725">
        <v>1</v>
      </c>
      <c r="F725">
        <v>6146701572</v>
      </c>
      <c r="G725">
        <v>119000</v>
      </c>
      <c r="H725" t="s">
        <v>40293</v>
      </c>
      <c r="I725">
        <v>2348</v>
      </c>
      <c r="J725">
        <v>2526</v>
      </c>
      <c r="K725">
        <v>2526</v>
      </c>
    </row>
    <row r="726" spans="1:11">
      <c r="A726">
        <v>90</v>
      </c>
      <c r="B726" t="b">
        <v>0</v>
      </c>
      <c r="C726" t="s">
        <v>46208</v>
      </c>
      <c r="D726">
        <v>1037022454355</v>
      </c>
      <c r="E726">
        <v>1</v>
      </c>
      <c r="F726">
        <v>6152646162</v>
      </c>
      <c r="G726">
        <v>59000</v>
      </c>
      <c r="H726" t="s">
        <v>40293</v>
      </c>
      <c r="I726">
        <v>2349</v>
      </c>
      <c r="J726">
        <v>5178</v>
      </c>
      <c r="K726">
        <v>5178</v>
      </c>
    </row>
    <row r="727" spans="1:11">
      <c r="A727">
        <v>90</v>
      </c>
      <c r="B727" t="b">
        <v>0</v>
      </c>
      <c r="C727" t="s">
        <v>42286</v>
      </c>
      <c r="D727">
        <v>1037022454355</v>
      </c>
      <c r="E727">
        <v>1</v>
      </c>
      <c r="F727">
        <v>6069780525</v>
      </c>
      <c r="G727">
        <v>75000</v>
      </c>
      <c r="H727" t="s">
        <v>40293</v>
      </c>
      <c r="I727">
        <v>2352</v>
      </c>
      <c r="J727">
        <v>792</v>
      </c>
      <c r="K727">
        <v>1063</v>
      </c>
    </row>
    <row r="728" spans="1:11">
      <c r="A728">
        <v>90</v>
      </c>
      <c r="B728" t="b">
        <v>0</v>
      </c>
      <c r="C728" t="s">
        <v>43809</v>
      </c>
      <c r="D728">
        <v>1037022454355</v>
      </c>
      <c r="E728">
        <v>1</v>
      </c>
      <c r="F728">
        <v>6142651620</v>
      </c>
      <c r="G728">
        <v>60000</v>
      </c>
      <c r="H728" t="s">
        <v>40293</v>
      </c>
      <c r="I728">
        <v>2358</v>
      </c>
      <c r="J728">
        <v>2001</v>
      </c>
      <c r="K728">
        <v>2157</v>
      </c>
    </row>
    <row r="729" spans="1:11">
      <c r="A729">
        <v>90</v>
      </c>
      <c r="B729" t="b">
        <v>0</v>
      </c>
      <c r="C729" t="s">
        <v>41532</v>
      </c>
      <c r="D729">
        <v>1037022454355</v>
      </c>
      <c r="E729">
        <v>1</v>
      </c>
      <c r="F729">
        <v>6075771631</v>
      </c>
      <c r="G729">
        <v>174000</v>
      </c>
      <c r="H729" t="s">
        <v>40293</v>
      </c>
      <c r="I729">
        <v>2361</v>
      </c>
      <c r="J729">
        <v>126</v>
      </c>
      <c r="K729">
        <v>162</v>
      </c>
    </row>
    <row r="730" spans="1:11">
      <c r="A730">
        <v>90</v>
      </c>
      <c r="B730" t="b">
        <v>0</v>
      </c>
      <c r="C730" t="s">
        <v>41522</v>
      </c>
      <c r="D730">
        <v>1037022454355</v>
      </c>
      <c r="E730">
        <v>1</v>
      </c>
      <c r="F730">
        <v>6094972667</v>
      </c>
      <c r="G730">
        <v>1290000</v>
      </c>
      <c r="H730" t="s">
        <v>40293</v>
      </c>
      <c r="I730">
        <v>2364</v>
      </c>
      <c r="J730">
        <v>83</v>
      </c>
      <c r="K730">
        <v>88</v>
      </c>
    </row>
    <row r="731" spans="1:11">
      <c r="A731">
        <v>90</v>
      </c>
      <c r="B731" t="b">
        <v>0</v>
      </c>
      <c r="C731" t="s">
        <v>40927</v>
      </c>
      <c r="D731">
        <v>1037022454355</v>
      </c>
      <c r="E731">
        <v>1</v>
      </c>
      <c r="F731">
        <v>6067861654</v>
      </c>
      <c r="G731">
        <v>1278000</v>
      </c>
      <c r="H731" t="s">
        <v>40293</v>
      </c>
      <c r="I731">
        <v>2364</v>
      </c>
      <c r="J731">
        <v>6</v>
      </c>
      <c r="K731">
        <v>8</v>
      </c>
    </row>
    <row r="732" spans="1:11">
      <c r="A732">
        <v>90</v>
      </c>
      <c r="B732" t="b">
        <v>0</v>
      </c>
      <c r="C732" t="s">
        <v>42599</v>
      </c>
      <c r="D732">
        <v>1037022454355</v>
      </c>
      <c r="E732">
        <v>1</v>
      </c>
      <c r="F732">
        <v>6134024125</v>
      </c>
      <c r="G732">
        <v>1170000</v>
      </c>
      <c r="H732" t="s">
        <v>40293</v>
      </c>
      <c r="I732">
        <v>2364</v>
      </c>
      <c r="J732">
        <v>4</v>
      </c>
      <c r="K732">
        <v>5</v>
      </c>
    </row>
    <row r="733" spans="1:11">
      <c r="A733">
        <v>14</v>
      </c>
      <c r="B733" t="b">
        <v>0</v>
      </c>
      <c r="C733" t="s">
        <v>44139</v>
      </c>
      <c r="D733">
        <v>1037022454355</v>
      </c>
      <c r="E733">
        <v>1</v>
      </c>
      <c r="F733">
        <v>6153143585</v>
      </c>
      <c r="G733">
        <v>1169000</v>
      </c>
      <c r="H733" t="s">
        <v>40293</v>
      </c>
      <c r="I733">
        <v>2364</v>
      </c>
      <c r="J733">
        <v>1</v>
      </c>
      <c r="K733">
        <v>1</v>
      </c>
    </row>
    <row r="734" spans="1:11">
      <c r="A734">
        <v>90</v>
      </c>
      <c r="B734" t="b">
        <v>0</v>
      </c>
      <c r="C734" t="s">
        <v>42355</v>
      </c>
      <c r="D734">
        <v>1037022454355</v>
      </c>
      <c r="E734">
        <v>1</v>
      </c>
      <c r="F734">
        <v>6134192261</v>
      </c>
      <c r="G734">
        <v>1169000</v>
      </c>
      <c r="H734" t="s">
        <v>40293</v>
      </c>
      <c r="I734">
        <v>2364</v>
      </c>
      <c r="J734">
        <v>144</v>
      </c>
      <c r="K734">
        <v>150</v>
      </c>
    </row>
    <row r="735" spans="1:11">
      <c r="A735">
        <v>90</v>
      </c>
      <c r="B735" t="b">
        <v>0</v>
      </c>
      <c r="C735" t="s">
        <v>42712</v>
      </c>
      <c r="D735">
        <v>1037022454355</v>
      </c>
      <c r="E735">
        <v>1</v>
      </c>
      <c r="F735">
        <v>6136586120</v>
      </c>
      <c r="G735">
        <v>1167000</v>
      </c>
      <c r="H735" t="s">
        <v>40293</v>
      </c>
      <c r="I735">
        <v>2364</v>
      </c>
      <c r="J735">
        <v>126</v>
      </c>
      <c r="K735">
        <v>140</v>
      </c>
    </row>
    <row r="736" spans="1:11">
      <c r="A736">
        <v>90</v>
      </c>
      <c r="B736" t="b">
        <v>0</v>
      </c>
      <c r="C736" t="s">
        <v>44732</v>
      </c>
      <c r="D736">
        <v>1037022454355</v>
      </c>
      <c r="E736">
        <v>1</v>
      </c>
      <c r="F736">
        <v>6156264651</v>
      </c>
      <c r="G736">
        <v>1165000</v>
      </c>
      <c r="H736" t="s">
        <v>40293</v>
      </c>
      <c r="I736">
        <v>2364</v>
      </c>
      <c r="J736">
        <v>21</v>
      </c>
      <c r="K736">
        <v>25</v>
      </c>
    </row>
    <row r="737" spans="1:11">
      <c r="A737">
        <v>90</v>
      </c>
      <c r="B737" t="b">
        <v>0</v>
      </c>
      <c r="C737" t="s">
        <v>45200</v>
      </c>
      <c r="D737">
        <v>1037022454355</v>
      </c>
      <c r="E737">
        <v>1</v>
      </c>
      <c r="F737">
        <v>6156732926</v>
      </c>
      <c r="G737">
        <v>1164000</v>
      </c>
      <c r="H737" t="s">
        <v>40293</v>
      </c>
      <c r="I737">
        <v>2364</v>
      </c>
      <c r="J737">
        <v>4</v>
      </c>
      <c r="K737">
        <v>5</v>
      </c>
    </row>
    <row r="738" spans="1:11">
      <c r="A738">
        <v>90</v>
      </c>
      <c r="B738" t="b">
        <v>0</v>
      </c>
      <c r="C738" t="s">
        <v>42306</v>
      </c>
      <c r="D738">
        <v>1037022454355</v>
      </c>
      <c r="E738">
        <v>1</v>
      </c>
      <c r="F738">
        <v>6132630566</v>
      </c>
      <c r="G738">
        <v>70000</v>
      </c>
      <c r="H738" t="s">
        <v>40293</v>
      </c>
      <c r="I738">
        <v>2366</v>
      </c>
      <c r="J738">
        <v>5116</v>
      </c>
      <c r="K738">
        <v>5116</v>
      </c>
    </row>
    <row r="739" spans="1:11">
      <c r="A739">
        <v>90</v>
      </c>
      <c r="B739" t="b">
        <v>0</v>
      </c>
      <c r="C739" t="s">
        <v>40459</v>
      </c>
      <c r="D739">
        <v>1037022454355</v>
      </c>
      <c r="E739">
        <v>1</v>
      </c>
      <c r="F739">
        <v>6110285539</v>
      </c>
      <c r="G739">
        <v>98000</v>
      </c>
      <c r="H739" t="s">
        <v>40293</v>
      </c>
      <c r="I739">
        <v>2367</v>
      </c>
      <c r="J739">
        <v>1745</v>
      </c>
      <c r="K739">
        <v>2500</v>
      </c>
    </row>
    <row r="740" spans="1:11">
      <c r="A740">
        <v>90</v>
      </c>
      <c r="B740" t="b">
        <v>0</v>
      </c>
      <c r="C740" t="s">
        <v>46295</v>
      </c>
      <c r="D740">
        <v>1037022454355</v>
      </c>
      <c r="E740">
        <v>1</v>
      </c>
      <c r="F740">
        <v>6153630307</v>
      </c>
      <c r="G740">
        <v>355</v>
      </c>
      <c r="H740" t="s">
        <v>40293</v>
      </c>
      <c r="I740">
        <v>2389</v>
      </c>
      <c r="J740">
        <v>54820</v>
      </c>
      <c r="K740">
        <v>54820</v>
      </c>
    </row>
    <row r="741" spans="1:11">
      <c r="A741">
        <v>90</v>
      </c>
      <c r="B741" t="b">
        <v>0</v>
      </c>
      <c r="C741" t="s">
        <v>43505</v>
      </c>
      <c r="D741">
        <v>1037022454355</v>
      </c>
      <c r="E741">
        <v>1</v>
      </c>
      <c r="F741">
        <v>6112560285</v>
      </c>
      <c r="G741">
        <v>324.8</v>
      </c>
      <c r="H741" t="s">
        <v>40293</v>
      </c>
      <c r="I741">
        <v>2389</v>
      </c>
      <c r="J741">
        <v>34736</v>
      </c>
      <c r="K741">
        <v>34736</v>
      </c>
    </row>
    <row r="742" spans="1:11">
      <c r="A742">
        <v>90</v>
      </c>
      <c r="B742" t="b">
        <v>0</v>
      </c>
      <c r="C742" t="s">
        <v>44932</v>
      </c>
      <c r="D742">
        <v>1037022454355</v>
      </c>
      <c r="E742">
        <v>1</v>
      </c>
      <c r="F742">
        <v>6152662703</v>
      </c>
      <c r="G742">
        <v>297.89999999999998</v>
      </c>
      <c r="H742" t="s">
        <v>40293</v>
      </c>
      <c r="I742">
        <v>2389</v>
      </c>
      <c r="J742">
        <v>12615</v>
      </c>
      <c r="K742">
        <v>12615</v>
      </c>
    </row>
    <row r="743" spans="1:11">
      <c r="A743">
        <v>90</v>
      </c>
      <c r="B743" t="b">
        <v>0</v>
      </c>
      <c r="C743" t="s">
        <v>44964</v>
      </c>
      <c r="D743">
        <v>1037022454355</v>
      </c>
      <c r="E743">
        <v>1</v>
      </c>
      <c r="F743">
        <v>6152695825</v>
      </c>
      <c r="G743">
        <v>275</v>
      </c>
      <c r="H743" t="s">
        <v>40293</v>
      </c>
      <c r="I743">
        <v>2389</v>
      </c>
      <c r="J743">
        <v>8900</v>
      </c>
      <c r="K743">
        <v>8900</v>
      </c>
    </row>
    <row r="744" spans="1:11">
      <c r="A744">
        <v>90</v>
      </c>
      <c r="B744" t="b">
        <v>0</v>
      </c>
      <c r="C744" t="s">
        <v>44640</v>
      </c>
      <c r="D744">
        <v>1037022454355</v>
      </c>
      <c r="E744">
        <v>1</v>
      </c>
      <c r="F744">
        <v>6131949761</v>
      </c>
      <c r="G744">
        <v>274.89999999999998</v>
      </c>
      <c r="H744" t="s">
        <v>40293</v>
      </c>
      <c r="I744">
        <v>2389</v>
      </c>
      <c r="J744">
        <v>417284</v>
      </c>
      <c r="K744">
        <v>648332</v>
      </c>
    </row>
    <row r="745" spans="1:11">
      <c r="A745">
        <v>90</v>
      </c>
      <c r="B745" t="b">
        <v>0</v>
      </c>
      <c r="C745" t="s">
        <v>45357</v>
      </c>
      <c r="D745">
        <v>1037022454355</v>
      </c>
      <c r="E745">
        <v>1</v>
      </c>
      <c r="F745">
        <v>6131949759</v>
      </c>
      <c r="G745">
        <v>536.4</v>
      </c>
      <c r="H745" t="s">
        <v>40293</v>
      </c>
      <c r="I745">
        <v>2392</v>
      </c>
      <c r="J745">
        <v>63448</v>
      </c>
      <c r="K745">
        <v>563448</v>
      </c>
    </row>
    <row r="746" spans="1:11">
      <c r="A746">
        <v>90</v>
      </c>
      <c r="B746" t="b">
        <v>0</v>
      </c>
      <c r="C746" t="s">
        <v>46324</v>
      </c>
      <c r="D746">
        <v>1037022454355</v>
      </c>
      <c r="E746">
        <v>1</v>
      </c>
      <c r="F746">
        <v>6153630595</v>
      </c>
      <c r="G746">
        <v>437</v>
      </c>
      <c r="H746" t="s">
        <v>40293</v>
      </c>
      <c r="I746">
        <v>2392</v>
      </c>
      <c r="J746">
        <v>20215</v>
      </c>
      <c r="K746">
        <v>20215</v>
      </c>
    </row>
    <row r="747" spans="1:11">
      <c r="A747">
        <v>90</v>
      </c>
      <c r="B747" t="b">
        <v>0</v>
      </c>
      <c r="C747" t="s">
        <v>46488</v>
      </c>
      <c r="D747">
        <v>1037022454355</v>
      </c>
      <c r="E747">
        <v>1</v>
      </c>
      <c r="F747">
        <v>6147275985</v>
      </c>
      <c r="G747">
        <v>400</v>
      </c>
      <c r="H747" t="s">
        <v>40293</v>
      </c>
      <c r="I747">
        <v>2392</v>
      </c>
      <c r="J747">
        <v>231708</v>
      </c>
      <c r="K747">
        <v>231708</v>
      </c>
    </row>
    <row r="748" spans="1:11">
      <c r="A748">
        <v>90</v>
      </c>
      <c r="B748" t="b">
        <v>0</v>
      </c>
      <c r="C748" t="s">
        <v>44879</v>
      </c>
      <c r="D748">
        <v>1037022454355</v>
      </c>
      <c r="E748">
        <v>1</v>
      </c>
      <c r="F748">
        <v>6146567184</v>
      </c>
      <c r="G748">
        <v>335</v>
      </c>
      <c r="H748" t="s">
        <v>40293</v>
      </c>
      <c r="I748">
        <v>2392</v>
      </c>
      <c r="J748">
        <v>218541</v>
      </c>
      <c r="K748">
        <v>225000</v>
      </c>
    </row>
    <row r="749" spans="1:11">
      <c r="A749">
        <v>90</v>
      </c>
      <c r="B749" t="b">
        <v>0</v>
      </c>
      <c r="C749" t="s">
        <v>41389</v>
      </c>
      <c r="D749">
        <v>1037022454355</v>
      </c>
      <c r="E749">
        <v>1</v>
      </c>
      <c r="F749">
        <v>6096444454</v>
      </c>
      <c r="G749">
        <v>550</v>
      </c>
      <c r="H749" t="s">
        <v>40293</v>
      </c>
      <c r="I749">
        <v>2393</v>
      </c>
      <c r="J749">
        <v>860</v>
      </c>
      <c r="K749">
        <v>15000</v>
      </c>
    </row>
    <row r="750" spans="1:11">
      <c r="A750">
        <v>90</v>
      </c>
      <c r="B750" t="b">
        <v>0</v>
      </c>
      <c r="C750" t="s">
        <v>40932</v>
      </c>
      <c r="D750">
        <v>1037022454355</v>
      </c>
      <c r="E750">
        <v>1</v>
      </c>
      <c r="F750">
        <v>6110394637</v>
      </c>
      <c r="G750">
        <v>520</v>
      </c>
      <c r="H750" t="s">
        <v>40293</v>
      </c>
      <c r="I750">
        <v>2393</v>
      </c>
      <c r="J750">
        <v>2280</v>
      </c>
      <c r="K750">
        <v>5480</v>
      </c>
    </row>
    <row r="751" spans="1:11">
      <c r="A751">
        <v>90</v>
      </c>
      <c r="B751" t="b">
        <v>0</v>
      </c>
      <c r="C751" t="s">
        <v>40950</v>
      </c>
      <c r="D751">
        <v>1037022454355</v>
      </c>
      <c r="E751">
        <v>1</v>
      </c>
      <c r="F751">
        <v>6110690059</v>
      </c>
      <c r="G751">
        <v>520</v>
      </c>
      <c r="H751" t="s">
        <v>40293</v>
      </c>
      <c r="I751">
        <v>2393</v>
      </c>
      <c r="J751">
        <v>5000</v>
      </c>
      <c r="K751">
        <v>5000</v>
      </c>
    </row>
    <row r="752" spans="1:11">
      <c r="A752">
        <v>90</v>
      </c>
      <c r="B752" t="b">
        <v>0</v>
      </c>
      <c r="C752" t="s">
        <v>46424</v>
      </c>
      <c r="D752">
        <v>1037022454355</v>
      </c>
      <c r="E752">
        <v>1</v>
      </c>
      <c r="F752">
        <v>6153632247</v>
      </c>
      <c r="G752">
        <v>489</v>
      </c>
      <c r="H752" t="s">
        <v>40293</v>
      </c>
      <c r="I752">
        <v>2393</v>
      </c>
      <c r="J752">
        <v>54164</v>
      </c>
      <c r="K752">
        <v>54164</v>
      </c>
    </row>
    <row r="753" spans="1:11">
      <c r="A753">
        <v>90</v>
      </c>
      <c r="B753" t="b">
        <v>0</v>
      </c>
      <c r="C753" t="s">
        <v>40986</v>
      </c>
      <c r="D753">
        <v>1037022454355</v>
      </c>
      <c r="E753">
        <v>1</v>
      </c>
      <c r="F753">
        <v>6119145006</v>
      </c>
      <c r="G753">
        <v>470</v>
      </c>
      <c r="H753" t="s">
        <v>40293</v>
      </c>
      <c r="I753">
        <v>2393</v>
      </c>
      <c r="J753">
        <v>3000</v>
      </c>
      <c r="K753">
        <v>3000</v>
      </c>
    </row>
    <row r="754" spans="1:11">
      <c r="A754">
        <v>90</v>
      </c>
      <c r="B754" t="b">
        <v>0</v>
      </c>
      <c r="C754" t="s">
        <v>41580</v>
      </c>
      <c r="D754">
        <v>1037022454355</v>
      </c>
      <c r="E754">
        <v>1</v>
      </c>
      <c r="F754">
        <v>6123745215</v>
      </c>
      <c r="G754">
        <v>439.9</v>
      </c>
      <c r="H754" t="s">
        <v>40293</v>
      </c>
      <c r="I754">
        <v>2393</v>
      </c>
      <c r="J754">
        <v>136746</v>
      </c>
      <c r="K754">
        <v>148946</v>
      </c>
    </row>
    <row r="755" spans="1:11">
      <c r="A755">
        <v>90</v>
      </c>
      <c r="B755" t="b">
        <v>0</v>
      </c>
      <c r="C755" t="s">
        <v>42794</v>
      </c>
      <c r="D755">
        <v>1037022454355</v>
      </c>
      <c r="E755">
        <v>1</v>
      </c>
      <c r="F755">
        <v>6135476135</v>
      </c>
      <c r="G755">
        <v>393.9</v>
      </c>
      <c r="H755" t="s">
        <v>40293</v>
      </c>
      <c r="I755">
        <v>2393</v>
      </c>
      <c r="J755">
        <v>36981</v>
      </c>
      <c r="K755">
        <v>36981</v>
      </c>
    </row>
    <row r="756" spans="1:11">
      <c r="A756">
        <v>90</v>
      </c>
      <c r="B756" t="b">
        <v>0</v>
      </c>
      <c r="C756" t="s">
        <v>42933</v>
      </c>
      <c r="D756">
        <v>1037022454355</v>
      </c>
      <c r="E756">
        <v>1</v>
      </c>
      <c r="F756">
        <v>6138266960</v>
      </c>
      <c r="G756">
        <v>340</v>
      </c>
      <c r="H756" t="s">
        <v>40293</v>
      </c>
      <c r="I756">
        <v>2393</v>
      </c>
      <c r="J756">
        <v>67380</v>
      </c>
      <c r="K756">
        <v>69380</v>
      </c>
    </row>
    <row r="757" spans="1:11">
      <c r="A757">
        <v>90</v>
      </c>
      <c r="B757" t="b">
        <v>0</v>
      </c>
      <c r="C757" t="s">
        <v>42960</v>
      </c>
      <c r="D757">
        <v>1037022454355</v>
      </c>
      <c r="E757">
        <v>1</v>
      </c>
      <c r="F757">
        <v>6141544445</v>
      </c>
      <c r="G757">
        <v>338</v>
      </c>
      <c r="H757" t="s">
        <v>40293</v>
      </c>
      <c r="I757">
        <v>2393</v>
      </c>
      <c r="J757">
        <v>59480</v>
      </c>
      <c r="K757">
        <v>59480</v>
      </c>
    </row>
    <row r="758" spans="1:11">
      <c r="A758">
        <v>30</v>
      </c>
      <c r="B758" t="b">
        <v>0</v>
      </c>
      <c r="C758" t="s">
        <v>44768</v>
      </c>
      <c r="D758">
        <v>1037022454355</v>
      </c>
      <c r="E758">
        <v>1</v>
      </c>
      <c r="F758">
        <v>6150137404</v>
      </c>
      <c r="G758">
        <v>307</v>
      </c>
      <c r="H758" t="s">
        <v>40293</v>
      </c>
      <c r="I758">
        <v>2393</v>
      </c>
      <c r="J758">
        <v>697194</v>
      </c>
      <c r="K758">
        <v>697194</v>
      </c>
    </row>
    <row r="759" spans="1:11">
      <c r="A759">
        <v>90</v>
      </c>
      <c r="B759" t="b">
        <v>0</v>
      </c>
      <c r="C759" t="s">
        <v>41452</v>
      </c>
      <c r="D759">
        <v>1037022454355</v>
      </c>
      <c r="E759">
        <v>1</v>
      </c>
      <c r="F759">
        <v>6117286626</v>
      </c>
      <c r="G759">
        <v>797</v>
      </c>
      <c r="H759" t="s">
        <v>40293</v>
      </c>
      <c r="I759">
        <v>2395</v>
      </c>
      <c r="J759">
        <v>17013</v>
      </c>
      <c r="K759">
        <v>17013</v>
      </c>
    </row>
    <row r="760" spans="1:11">
      <c r="A760">
        <v>90</v>
      </c>
      <c r="B760" t="b">
        <v>0</v>
      </c>
      <c r="C760" t="s">
        <v>41016</v>
      </c>
      <c r="D760">
        <v>1037022454355</v>
      </c>
      <c r="E760">
        <v>1</v>
      </c>
      <c r="F760">
        <v>6123745042</v>
      </c>
      <c r="G760">
        <v>796.9</v>
      </c>
      <c r="H760" t="s">
        <v>40293</v>
      </c>
      <c r="I760">
        <v>2395</v>
      </c>
      <c r="J760">
        <v>243431</v>
      </c>
      <c r="K760">
        <v>259060</v>
      </c>
    </row>
    <row r="761" spans="1:11">
      <c r="A761">
        <v>30</v>
      </c>
      <c r="B761" t="b">
        <v>0</v>
      </c>
      <c r="C761" t="s">
        <v>43437</v>
      </c>
      <c r="D761">
        <v>1037022454355</v>
      </c>
      <c r="E761">
        <v>1</v>
      </c>
      <c r="F761">
        <v>6143949934</v>
      </c>
      <c r="G761">
        <v>790.5</v>
      </c>
      <c r="H761" t="s">
        <v>40293</v>
      </c>
      <c r="I761">
        <v>2395</v>
      </c>
      <c r="J761">
        <v>177828</v>
      </c>
      <c r="K761">
        <v>283800</v>
      </c>
    </row>
    <row r="762" spans="1:11">
      <c r="A762">
        <v>30</v>
      </c>
      <c r="B762" t="b">
        <v>0</v>
      </c>
      <c r="C762" t="s">
        <v>42928</v>
      </c>
      <c r="D762">
        <v>1037022454355</v>
      </c>
      <c r="E762">
        <v>1</v>
      </c>
      <c r="F762">
        <v>6146295053</v>
      </c>
      <c r="G762">
        <v>299</v>
      </c>
      <c r="H762" t="s">
        <v>40293</v>
      </c>
      <c r="I762">
        <v>2396</v>
      </c>
      <c r="J762">
        <v>15940</v>
      </c>
      <c r="K762">
        <v>15940</v>
      </c>
    </row>
    <row r="763" spans="1:11">
      <c r="A763">
        <v>90</v>
      </c>
      <c r="B763" t="b">
        <v>0</v>
      </c>
      <c r="C763" t="s">
        <v>45244</v>
      </c>
      <c r="D763">
        <v>1037022454355</v>
      </c>
      <c r="E763">
        <v>1</v>
      </c>
      <c r="F763">
        <v>6144605856</v>
      </c>
      <c r="G763">
        <v>197.9</v>
      </c>
      <c r="H763" t="s">
        <v>40293</v>
      </c>
      <c r="I763">
        <v>2396</v>
      </c>
      <c r="J763">
        <v>86578</v>
      </c>
      <c r="K763">
        <v>432622</v>
      </c>
    </row>
    <row r="764" spans="1:11">
      <c r="A764">
        <v>90</v>
      </c>
      <c r="B764" t="b">
        <v>0</v>
      </c>
      <c r="C764" t="s">
        <v>44638</v>
      </c>
      <c r="D764">
        <v>1037022454355</v>
      </c>
      <c r="E764">
        <v>1</v>
      </c>
      <c r="F764">
        <v>6131949758</v>
      </c>
      <c r="G764">
        <v>676.2</v>
      </c>
      <c r="H764" t="s">
        <v>40293</v>
      </c>
      <c r="I764">
        <v>2397</v>
      </c>
      <c r="J764">
        <v>622231</v>
      </c>
      <c r="K764">
        <v>622231</v>
      </c>
    </row>
    <row r="765" spans="1:11">
      <c r="A765">
        <v>90</v>
      </c>
      <c r="B765" t="b">
        <v>0</v>
      </c>
      <c r="C765" t="s">
        <v>46398</v>
      </c>
      <c r="D765">
        <v>1037022454355</v>
      </c>
      <c r="E765">
        <v>1</v>
      </c>
      <c r="F765">
        <v>6153631876</v>
      </c>
      <c r="G765">
        <v>649</v>
      </c>
      <c r="H765" t="s">
        <v>40293</v>
      </c>
      <c r="I765">
        <v>2397</v>
      </c>
      <c r="J765">
        <v>241898</v>
      </c>
      <c r="K765">
        <v>241898</v>
      </c>
    </row>
    <row r="766" spans="1:11">
      <c r="A766">
        <v>90</v>
      </c>
      <c r="B766" t="b">
        <v>0</v>
      </c>
      <c r="C766" t="s">
        <v>46512</v>
      </c>
      <c r="D766">
        <v>1037022454355</v>
      </c>
      <c r="E766">
        <v>1</v>
      </c>
      <c r="F766">
        <v>6117588371</v>
      </c>
      <c r="G766">
        <v>649</v>
      </c>
      <c r="H766" t="s">
        <v>40293</v>
      </c>
      <c r="I766">
        <v>2397</v>
      </c>
      <c r="J766">
        <v>187295</v>
      </c>
      <c r="K766">
        <v>187295</v>
      </c>
    </row>
    <row r="767" spans="1:11">
      <c r="A767">
        <v>90</v>
      </c>
      <c r="B767" t="b">
        <v>0</v>
      </c>
      <c r="C767" t="s">
        <v>43619</v>
      </c>
      <c r="D767">
        <v>1037022454355</v>
      </c>
      <c r="E767">
        <v>1</v>
      </c>
      <c r="F767">
        <v>6145364994</v>
      </c>
      <c r="G767">
        <v>999</v>
      </c>
      <c r="H767" t="s">
        <v>40293</v>
      </c>
      <c r="I767">
        <v>2398</v>
      </c>
      <c r="J767">
        <v>8780</v>
      </c>
      <c r="K767">
        <v>8780</v>
      </c>
    </row>
    <row r="768" spans="1:11">
      <c r="A768">
        <v>90</v>
      </c>
      <c r="B768" t="b">
        <v>0</v>
      </c>
      <c r="C768" t="s">
        <v>46562</v>
      </c>
      <c r="D768">
        <v>1037022454355</v>
      </c>
      <c r="E768">
        <v>1</v>
      </c>
      <c r="F768">
        <v>6147276708</v>
      </c>
      <c r="G768">
        <v>350</v>
      </c>
      <c r="H768" t="s">
        <v>40293</v>
      </c>
      <c r="I768">
        <v>2398</v>
      </c>
      <c r="J768">
        <v>204841</v>
      </c>
      <c r="K768">
        <v>204841</v>
      </c>
    </row>
    <row r="769" spans="1:11">
      <c r="A769">
        <v>90</v>
      </c>
      <c r="B769" t="b">
        <v>0</v>
      </c>
      <c r="C769" t="s">
        <v>44781</v>
      </c>
      <c r="D769">
        <v>1037022454355</v>
      </c>
      <c r="E769">
        <v>1</v>
      </c>
      <c r="F769">
        <v>6146568483</v>
      </c>
      <c r="G769">
        <v>345.9</v>
      </c>
      <c r="H769" t="s">
        <v>40293</v>
      </c>
      <c r="I769">
        <v>2398</v>
      </c>
      <c r="J769">
        <v>198077</v>
      </c>
      <c r="K769">
        <v>200000</v>
      </c>
    </row>
    <row r="770" spans="1:11">
      <c r="A770">
        <v>90</v>
      </c>
      <c r="B770" t="b">
        <v>0</v>
      </c>
      <c r="C770" t="s">
        <v>44439</v>
      </c>
      <c r="D770">
        <v>1037022454355</v>
      </c>
      <c r="E770">
        <v>1</v>
      </c>
      <c r="F770">
        <v>6155572701</v>
      </c>
      <c r="G770">
        <v>345</v>
      </c>
      <c r="H770" t="s">
        <v>40293</v>
      </c>
      <c r="I770">
        <v>2398</v>
      </c>
      <c r="J770">
        <v>160623</v>
      </c>
      <c r="K770">
        <v>160623</v>
      </c>
    </row>
    <row r="771" spans="1:11">
      <c r="A771">
        <v>90</v>
      </c>
      <c r="B771" t="b">
        <v>0</v>
      </c>
      <c r="C771" t="s">
        <v>45003</v>
      </c>
      <c r="D771">
        <v>1037022454355</v>
      </c>
      <c r="E771">
        <v>1</v>
      </c>
      <c r="F771">
        <v>6155579822</v>
      </c>
      <c r="G771">
        <v>300</v>
      </c>
      <c r="H771" t="s">
        <v>40293</v>
      </c>
      <c r="I771">
        <v>2398</v>
      </c>
      <c r="J771">
        <v>1680</v>
      </c>
      <c r="K771">
        <v>28680</v>
      </c>
    </row>
    <row r="772" spans="1:11">
      <c r="A772">
        <v>90</v>
      </c>
      <c r="B772" t="b">
        <v>0</v>
      </c>
      <c r="C772" t="s">
        <v>46041</v>
      </c>
      <c r="D772">
        <v>1037022454355</v>
      </c>
      <c r="E772">
        <v>1</v>
      </c>
      <c r="F772">
        <v>6144615536</v>
      </c>
      <c r="G772">
        <v>196.9</v>
      </c>
      <c r="H772" t="s">
        <v>40293</v>
      </c>
      <c r="I772">
        <v>2400</v>
      </c>
      <c r="J772">
        <v>67737</v>
      </c>
      <c r="K772">
        <v>167737</v>
      </c>
    </row>
    <row r="773" spans="1:11">
      <c r="A773">
        <v>90</v>
      </c>
      <c r="B773" t="b">
        <v>0</v>
      </c>
      <c r="C773" t="s">
        <v>45047</v>
      </c>
      <c r="D773">
        <v>1037022454355</v>
      </c>
      <c r="E773">
        <v>1</v>
      </c>
      <c r="F773">
        <v>6152631351</v>
      </c>
      <c r="G773">
        <v>180</v>
      </c>
      <c r="H773" t="s">
        <v>40293</v>
      </c>
      <c r="I773">
        <v>2400</v>
      </c>
      <c r="J773">
        <v>69124</v>
      </c>
      <c r="K773">
        <v>116700</v>
      </c>
    </row>
    <row r="774" spans="1:11">
      <c r="A774">
        <v>90</v>
      </c>
      <c r="B774" t="b">
        <v>0</v>
      </c>
      <c r="C774" t="s">
        <v>45714</v>
      </c>
      <c r="D774">
        <v>1037022454355</v>
      </c>
      <c r="E774">
        <v>1</v>
      </c>
      <c r="F774">
        <v>6156269812</v>
      </c>
      <c r="G774">
        <v>179</v>
      </c>
      <c r="H774" t="s">
        <v>40293</v>
      </c>
      <c r="I774">
        <v>2400</v>
      </c>
      <c r="J774">
        <v>170971</v>
      </c>
      <c r="K774">
        <v>171371</v>
      </c>
    </row>
    <row r="775" spans="1:11">
      <c r="A775">
        <v>90</v>
      </c>
      <c r="B775" t="b">
        <v>0</v>
      </c>
      <c r="C775" t="s">
        <v>43893</v>
      </c>
      <c r="D775">
        <v>1037022454355</v>
      </c>
      <c r="E775">
        <v>1</v>
      </c>
      <c r="F775">
        <v>6140261964</v>
      </c>
      <c r="G775">
        <v>440</v>
      </c>
      <c r="H775" t="s">
        <v>40293</v>
      </c>
      <c r="I775">
        <v>2401</v>
      </c>
      <c r="J775">
        <v>30000</v>
      </c>
      <c r="K775">
        <v>30000</v>
      </c>
    </row>
    <row r="776" spans="1:11">
      <c r="A776">
        <v>90</v>
      </c>
      <c r="B776" t="b">
        <v>0</v>
      </c>
      <c r="C776" t="s">
        <v>43198</v>
      </c>
      <c r="D776">
        <v>1037022454355</v>
      </c>
      <c r="E776">
        <v>1</v>
      </c>
      <c r="F776">
        <v>6143553702</v>
      </c>
      <c r="G776">
        <v>390</v>
      </c>
      <c r="H776" t="s">
        <v>40293</v>
      </c>
      <c r="I776">
        <v>2401</v>
      </c>
      <c r="J776">
        <v>100324</v>
      </c>
      <c r="K776">
        <v>200324</v>
      </c>
    </row>
    <row r="777" spans="1:11">
      <c r="A777">
        <v>30</v>
      </c>
      <c r="B777" t="b">
        <v>0</v>
      </c>
      <c r="C777" t="s">
        <v>43449</v>
      </c>
      <c r="D777">
        <v>1037022454355</v>
      </c>
      <c r="E777">
        <v>1</v>
      </c>
      <c r="F777">
        <v>6143950243</v>
      </c>
      <c r="G777">
        <v>385</v>
      </c>
      <c r="H777" t="s">
        <v>40293</v>
      </c>
      <c r="I777">
        <v>2401</v>
      </c>
      <c r="J777">
        <v>369235</v>
      </c>
      <c r="K777">
        <v>372235</v>
      </c>
    </row>
    <row r="778" spans="1:11">
      <c r="A778">
        <v>90</v>
      </c>
      <c r="B778" t="b">
        <v>0</v>
      </c>
      <c r="C778" t="s">
        <v>45130</v>
      </c>
      <c r="D778">
        <v>1037022454355</v>
      </c>
      <c r="E778">
        <v>1</v>
      </c>
      <c r="F778">
        <v>6153418780</v>
      </c>
      <c r="G778">
        <v>1981000</v>
      </c>
      <c r="H778" t="s">
        <v>40293</v>
      </c>
      <c r="I778">
        <v>2404</v>
      </c>
      <c r="J778">
        <v>5</v>
      </c>
      <c r="K778">
        <v>13</v>
      </c>
    </row>
    <row r="779" spans="1:11">
      <c r="A779">
        <v>90</v>
      </c>
      <c r="B779" t="b">
        <v>0</v>
      </c>
      <c r="C779" t="s">
        <v>41997</v>
      </c>
      <c r="D779">
        <v>1037022454355</v>
      </c>
      <c r="E779">
        <v>1</v>
      </c>
      <c r="F779">
        <v>6131007553</v>
      </c>
      <c r="G779">
        <v>8000000</v>
      </c>
      <c r="H779" t="s">
        <v>40293</v>
      </c>
      <c r="I779">
        <v>2410</v>
      </c>
      <c r="J779">
        <v>2</v>
      </c>
      <c r="K779">
        <v>2</v>
      </c>
    </row>
    <row r="780" spans="1:11">
      <c r="A780">
        <v>90</v>
      </c>
      <c r="B780" t="b">
        <v>0</v>
      </c>
      <c r="C780" t="s">
        <v>42261</v>
      </c>
      <c r="D780">
        <v>1037022454355</v>
      </c>
      <c r="E780">
        <v>1</v>
      </c>
      <c r="F780">
        <v>6131143699</v>
      </c>
      <c r="G780">
        <v>2000000</v>
      </c>
      <c r="H780" t="s">
        <v>40293</v>
      </c>
      <c r="I780">
        <v>2410</v>
      </c>
      <c r="J780">
        <v>51</v>
      </c>
      <c r="K780">
        <v>70</v>
      </c>
    </row>
    <row r="781" spans="1:11">
      <c r="A781">
        <v>90</v>
      </c>
      <c r="B781" t="b">
        <v>0</v>
      </c>
      <c r="C781" t="s">
        <v>45131</v>
      </c>
      <c r="D781">
        <v>1037022454355</v>
      </c>
      <c r="E781">
        <v>1</v>
      </c>
      <c r="F781">
        <v>6151288883</v>
      </c>
      <c r="G781">
        <v>1991000</v>
      </c>
      <c r="H781" t="s">
        <v>40293</v>
      </c>
      <c r="I781">
        <v>2410</v>
      </c>
      <c r="J781">
        <v>5</v>
      </c>
      <c r="K781">
        <v>5</v>
      </c>
    </row>
    <row r="782" spans="1:11">
      <c r="A782">
        <v>7</v>
      </c>
      <c r="B782" t="b">
        <v>0</v>
      </c>
      <c r="C782" t="s">
        <v>44780</v>
      </c>
      <c r="D782">
        <v>1037022454355</v>
      </c>
      <c r="E782">
        <v>1</v>
      </c>
      <c r="F782">
        <v>6152562371</v>
      </c>
      <c r="G782">
        <v>1972000</v>
      </c>
      <c r="H782" t="s">
        <v>40293</v>
      </c>
      <c r="I782">
        <v>2410</v>
      </c>
      <c r="J782">
        <v>1</v>
      </c>
      <c r="K782">
        <v>1</v>
      </c>
    </row>
    <row r="783" spans="1:11">
      <c r="A783">
        <v>7</v>
      </c>
      <c r="B783" t="b">
        <v>0</v>
      </c>
      <c r="C783" t="s">
        <v>44780</v>
      </c>
      <c r="D783">
        <v>1037022454355</v>
      </c>
      <c r="E783">
        <v>1</v>
      </c>
      <c r="F783">
        <v>6152562373</v>
      </c>
      <c r="G783">
        <v>1972000</v>
      </c>
      <c r="H783" t="s">
        <v>40293</v>
      </c>
      <c r="I783">
        <v>2410</v>
      </c>
      <c r="J783">
        <v>1</v>
      </c>
      <c r="K783">
        <v>1</v>
      </c>
    </row>
    <row r="784" spans="1:11">
      <c r="A784">
        <v>7</v>
      </c>
      <c r="B784" t="b">
        <v>0</v>
      </c>
      <c r="C784" t="s">
        <v>44780</v>
      </c>
      <c r="D784">
        <v>1037022454355</v>
      </c>
      <c r="E784">
        <v>1</v>
      </c>
      <c r="F784">
        <v>6152562374</v>
      </c>
      <c r="G784">
        <v>1972000</v>
      </c>
      <c r="H784" t="s">
        <v>40293</v>
      </c>
      <c r="I784">
        <v>2410</v>
      </c>
      <c r="J784">
        <v>1</v>
      </c>
      <c r="K784">
        <v>1</v>
      </c>
    </row>
    <row r="785" spans="1:11">
      <c r="A785">
        <v>7</v>
      </c>
      <c r="B785" t="b">
        <v>0</v>
      </c>
      <c r="C785" t="s">
        <v>44780</v>
      </c>
      <c r="D785">
        <v>1037022454355</v>
      </c>
      <c r="E785">
        <v>1</v>
      </c>
      <c r="F785">
        <v>6152562375</v>
      </c>
      <c r="G785">
        <v>1972000</v>
      </c>
      <c r="H785" t="s">
        <v>40293</v>
      </c>
      <c r="I785">
        <v>2410</v>
      </c>
      <c r="J785">
        <v>1</v>
      </c>
      <c r="K785">
        <v>1</v>
      </c>
    </row>
    <row r="786" spans="1:11">
      <c r="A786">
        <v>7</v>
      </c>
      <c r="B786" t="b">
        <v>0</v>
      </c>
      <c r="C786" t="s">
        <v>44843</v>
      </c>
      <c r="D786">
        <v>1037022454355</v>
      </c>
      <c r="E786">
        <v>1</v>
      </c>
      <c r="F786">
        <v>6152563223</v>
      </c>
      <c r="G786">
        <v>1972000</v>
      </c>
      <c r="H786" t="s">
        <v>40293</v>
      </c>
      <c r="I786">
        <v>2410</v>
      </c>
      <c r="J786">
        <v>1</v>
      </c>
      <c r="K786">
        <v>1</v>
      </c>
    </row>
    <row r="787" spans="1:11">
      <c r="A787">
        <v>7</v>
      </c>
      <c r="B787" t="b">
        <v>0</v>
      </c>
      <c r="C787" t="s">
        <v>44843</v>
      </c>
      <c r="D787">
        <v>1037022454355</v>
      </c>
      <c r="E787">
        <v>1</v>
      </c>
      <c r="F787">
        <v>6152563224</v>
      </c>
      <c r="G787">
        <v>1972000</v>
      </c>
      <c r="H787" t="s">
        <v>40293</v>
      </c>
      <c r="I787">
        <v>2410</v>
      </c>
      <c r="J787">
        <v>1</v>
      </c>
      <c r="K787">
        <v>1</v>
      </c>
    </row>
    <row r="788" spans="1:11">
      <c r="A788">
        <v>7</v>
      </c>
      <c r="B788" t="b">
        <v>0</v>
      </c>
      <c r="C788" t="s">
        <v>44843</v>
      </c>
      <c r="D788">
        <v>1037022454355</v>
      </c>
      <c r="E788">
        <v>1</v>
      </c>
      <c r="F788">
        <v>6152563225</v>
      </c>
      <c r="G788">
        <v>1972000</v>
      </c>
      <c r="H788" t="s">
        <v>40293</v>
      </c>
      <c r="I788">
        <v>2410</v>
      </c>
      <c r="J788">
        <v>1</v>
      </c>
      <c r="K788">
        <v>1</v>
      </c>
    </row>
    <row r="789" spans="1:11">
      <c r="A789">
        <v>7</v>
      </c>
      <c r="B789" t="b">
        <v>0</v>
      </c>
      <c r="C789" t="s">
        <v>44780</v>
      </c>
      <c r="D789">
        <v>1037022454355</v>
      </c>
      <c r="E789">
        <v>1</v>
      </c>
      <c r="F789">
        <v>6152562372</v>
      </c>
      <c r="G789">
        <v>1972000</v>
      </c>
      <c r="H789" t="s">
        <v>40293</v>
      </c>
      <c r="I789">
        <v>2410</v>
      </c>
      <c r="J789">
        <v>1</v>
      </c>
      <c r="K789">
        <v>1</v>
      </c>
    </row>
    <row r="790" spans="1:11">
      <c r="A790">
        <v>30</v>
      </c>
      <c r="B790" t="b">
        <v>0</v>
      </c>
      <c r="C790" t="s">
        <v>45820</v>
      </c>
      <c r="D790">
        <v>1037022454355</v>
      </c>
      <c r="E790">
        <v>1</v>
      </c>
      <c r="F790">
        <v>6152673866</v>
      </c>
      <c r="G790">
        <v>1972000</v>
      </c>
      <c r="H790" t="s">
        <v>40293</v>
      </c>
      <c r="I790">
        <v>2410</v>
      </c>
      <c r="J790">
        <v>6</v>
      </c>
      <c r="K790">
        <v>6</v>
      </c>
    </row>
    <row r="791" spans="1:11">
      <c r="A791">
        <v>90</v>
      </c>
      <c r="B791" t="b">
        <v>0</v>
      </c>
      <c r="C791" t="s">
        <v>46182</v>
      </c>
      <c r="D791">
        <v>1037022454355</v>
      </c>
      <c r="E791">
        <v>1</v>
      </c>
      <c r="F791">
        <v>6153039022</v>
      </c>
      <c r="G791">
        <v>1968000</v>
      </c>
      <c r="H791" t="s">
        <v>40293</v>
      </c>
      <c r="I791">
        <v>2410</v>
      </c>
      <c r="J791">
        <v>6</v>
      </c>
      <c r="K791">
        <v>6</v>
      </c>
    </row>
    <row r="792" spans="1:11">
      <c r="A792">
        <v>90</v>
      </c>
      <c r="B792" t="b">
        <v>0</v>
      </c>
      <c r="C792" t="s">
        <v>45134</v>
      </c>
      <c r="D792">
        <v>1037022454355</v>
      </c>
      <c r="E792">
        <v>1</v>
      </c>
      <c r="F792">
        <v>6153418866</v>
      </c>
      <c r="G792">
        <v>1958000</v>
      </c>
      <c r="H792" t="s">
        <v>40293</v>
      </c>
      <c r="I792">
        <v>2410</v>
      </c>
      <c r="J792">
        <v>1</v>
      </c>
      <c r="K792">
        <v>11</v>
      </c>
    </row>
    <row r="793" spans="1:11">
      <c r="A793">
        <v>90</v>
      </c>
      <c r="B793" t="b">
        <v>0</v>
      </c>
      <c r="C793" t="s">
        <v>45914</v>
      </c>
      <c r="D793">
        <v>1037022454355</v>
      </c>
      <c r="E793">
        <v>1</v>
      </c>
      <c r="F793">
        <v>6150639528</v>
      </c>
      <c r="G793">
        <v>1954000</v>
      </c>
      <c r="H793" t="s">
        <v>40293</v>
      </c>
      <c r="I793">
        <v>2410</v>
      </c>
      <c r="J793">
        <v>23</v>
      </c>
      <c r="K793">
        <v>25</v>
      </c>
    </row>
    <row r="794" spans="1:11">
      <c r="A794">
        <v>90</v>
      </c>
      <c r="B794" t="b">
        <v>0</v>
      </c>
      <c r="C794" t="s">
        <v>44608</v>
      </c>
      <c r="D794">
        <v>1037022454355</v>
      </c>
      <c r="E794">
        <v>1</v>
      </c>
      <c r="F794">
        <v>6147645257</v>
      </c>
      <c r="G794">
        <v>1953000</v>
      </c>
      <c r="H794" t="s">
        <v>40293</v>
      </c>
      <c r="I794">
        <v>2410</v>
      </c>
      <c r="J794">
        <v>16</v>
      </c>
      <c r="K794">
        <v>20</v>
      </c>
    </row>
    <row r="795" spans="1:11">
      <c r="A795">
        <v>90</v>
      </c>
      <c r="B795" t="b">
        <v>0</v>
      </c>
      <c r="C795" t="s">
        <v>44489</v>
      </c>
      <c r="D795">
        <v>1037022454355</v>
      </c>
      <c r="E795">
        <v>1</v>
      </c>
      <c r="F795">
        <v>6151709728</v>
      </c>
      <c r="G795">
        <v>1945000</v>
      </c>
      <c r="H795" t="s">
        <v>40293</v>
      </c>
      <c r="I795">
        <v>2410</v>
      </c>
      <c r="J795">
        <v>2</v>
      </c>
      <c r="K795">
        <v>22</v>
      </c>
    </row>
    <row r="796" spans="1:11">
      <c r="A796">
        <v>90</v>
      </c>
      <c r="B796" t="b">
        <v>0</v>
      </c>
      <c r="C796" t="s">
        <v>44817</v>
      </c>
      <c r="D796">
        <v>1037022454355</v>
      </c>
      <c r="E796">
        <v>1</v>
      </c>
      <c r="F796">
        <v>6151874729</v>
      </c>
      <c r="G796">
        <v>1944000</v>
      </c>
      <c r="H796" t="s">
        <v>40293</v>
      </c>
      <c r="I796">
        <v>2410</v>
      </c>
      <c r="J796">
        <v>1</v>
      </c>
      <c r="K796">
        <v>7</v>
      </c>
    </row>
    <row r="797" spans="1:11">
      <c r="A797">
        <v>90</v>
      </c>
      <c r="B797" t="b">
        <v>0</v>
      </c>
      <c r="C797" t="s">
        <v>45677</v>
      </c>
      <c r="D797">
        <v>1037022454355</v>
      </c>
      <c r="E797">
        <v>1</v>
      </c>
      <c r="F797">
        <v>6156735493</v>
      </c>
      <c r="G797">
        <v>1943000</v>
      </c>
      <c r="H797" t="s">
        <v>40293</v>
      </c>
      <c r="I797">
        <v>2410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44985</v>
      </c>
      <c r="D798">
        <v>1037022454355</v>
      </c>
      <c r="E798">
        <v>1</v>
      </c>
      <c r="F798">
        <v>6157119713</v>
      </c>
      <c r="G798">
        <v>6880000</v>
      </c>
      <c r="H798" t="s">
        <v>40293</v>
      </c>
      <c r="I798">
        <v>2420</v>
      </c>
      <c r="J798">
        <v>15</v>
      </c>
      <c r="K798">
        <v>15</v>
      </c>
    </row>
    <row r="799" spans="1:11">
      <c r="A799">
        <v>90</v>
      </c>
      <c r="B799" t="b">
        <v>0</v>
      </c>
      <c r="C799" t="s">
        <v>41005</v>
      </c>
      <c r="D799">
        <v>1037022454355</v>
      </c>
      <c r="E799">
        <v>1</v>
      </c>
      <c r="F799">
        <v>6114885562</v>
      </c>
      <c r="G799">
        <v>2250000</v>
      </c>
      <c r="H799" t="s">
        <v>40293</v>
      </c>
      <c r="I799">
        <v>2436</v>
      </c>
      <c r="J799">
        <v>16</v>
      </c>
      <c r="K799">
        <v>30</v>
      </c>
    </row>
    <row r="800" spans="1:11">
      <c r="A800">
        <v>90</v>
      </c>
      <c r="B800" t="b">
        <v>0</v>
      </c>
      <c r="C800" t="s">
        <v>41495</v>
      </c>
      <c r="D800">
        <v>1037022454355</v>
      </c>
      <c r="E800">
        <v>1</v>
      </c>
      <c r="F800">
        <v>6122650327</v>
      </c>
      <c r="G800">
        <v>2247000</v>
      </c>
      <c r="H800" t="s">
        <v>40293</v>
      </c>
      <c r="I800">
        <v>2436</v>
      </c>
      <c r="J800">
        <v>2</v>
      </c>
      <c r="K800">
        <v>11</v>
      </c>
    </row>
    <row r="801" spans="1:11">
      <c r="A801">
        <v>90</v>
      </c>
      <c r="B801" t="b">
        <v>0</v>
      </c>
      <c r="C801" t="s">
        <v>42806</v>
      </c>
      <c r="D801">
        <v>1037022454355</v>
      </c>
      <c r="E801">
        <v>1</v>
      </c>
      <c r="F801">
        <v>6134690423</v>
      </c>
      <c r="G801">
        <v>2245000</v>
      </c>
      <c r="H801" t="s">
        <v>40293</v>
      </c>
      <c r="I801">
        <v>2436</v>
      </c>
      <c r="J801">
        <v>5</v>
      </c>
      <c r="K801">
        <v>15</v>
      </c>
    </row>
    <row r="802" spans="1:11">
      <c r="A802">
        <v>90</v>
      </c>
      <c r="B802" t="b">
        <v>0</v>
      </c>
      <c r="C802" t="s">
        <v>40657</v>
      </c>
      <c r="D802">
        <v>1037022454355</v>
      </c>
      <c r="E802">
        <v>1</v>
      </c>
      <c r="F802">
        <v>6119923523</v>
      </c>
      <c r="G802">
        <v>310000</v>
      </c>
      <c r="H802" t="s">
        <v>40293</v>
      </c>
      <c r="I802">
        <v>2444</v>
      </c>
      <c r="J802">
        <v>143</v>
      </c>
      <c r="K802">
        <v>153</v>
      </c>
    </row>
    <row r="803" spans="1:11">
      <c r="A803">
        <v>90</v>
      </c>
      <c r="B803" t="b">
        <v>0</v>
      </c>
      <c r="C803" t="s">
        <v>41816</v>
      </c>
      <c r="D803">
        <v>1037022454355</v>
      </c>
      <c r="E803">
        <v>1</v>
      </c>
      <c r="F803">
        <v>6127457799</v>
      </c>
      <c r="G803">
        <v>280100</v>
      </c>
      <c r="H803" t="s">
        <v>40293</v>
      </c>
      <c r="I803">
        <v>2444</v>
      </c>
      <c r="J803">
        <v>20</v>
      </c>
      <c r="K803">
        <v>20</v>
      </c>
    </row>
    <row r="804" spans="1:11">
      <c r="A804">
        <v>90</v>
      </c>
      <c r="B804" t="b">
        <v>0</v>
      </c>
      <c r="C804" t="s">
        <v>43398</v>
      </c>
      <c r="D804">
        <v>1037022454355</v>
      </c>
      <c r="E804">
        <v>1</v>
      </c>
      <c r="F804">
        <v>6143916213</v>
      </c>
      <c r="G804">
        <v>110100</v>
      </c>
      <c r="H804" t="s">
        <v>40293</v>
      </c>
      <c r="I804">
        <v>2444</v>
      </c>
      <c r="J804">
        <v>4</v>
      </c>
      <c r="K804">
        <v>10</v>
      </c>
    </row>
    <row r="805" spans="1:11">
      <c r="A805">
        <v>90</v>
      </c>
      <c r="B805" t="b">
        <v>0</v>
      </c>
      <c r="C805" t="s">
        <v>46270</v>
      </c>
      <c r="D805">
        <v>1037022454355</v>
      </c>
      <c r="E805">
        <v>1</v>
      </c>
      <c r="F805">
        <v>6124761447</v>
      </c>
      <c r="G805">
        <v>60100</v>
      </c>
      <c r="H805" t="s">
        <v>40293</v>
      </c>
      <c r="I805">
        <v>2444</v>
      </c>
      <c r="J805">
        <v>8</v>
      </c>
      <c r="K805">
        <v>29</v>
      </c>
    </row>
    <row r="806" spans="1:11">
      <c r="A806">
        <v>7</v>
      </c>
      <c r="B806" t="b">
        <v>0</v>
      </c>
      <c r="C806" t="s">
        <v>44496</v>
      </c>
      <c r="D806">
        <v>1037022454355</v>
      </c>
      <c r="E806">
        <v>1</v>
      </c>
      <c r="F806">
        <v>6147545426</v>
      </c>
      <c r="G806">
        <v>50200</v>
      </c>
      <c r="H806" t="s">
        <v>40293</v>
      </c>
      <c r="I806">
        <v>2444</v>
      </c>
      <c r="J806">
        <v>92</v>
      </c>
      <c r="K806">
        <v>92</v>
      </c>
    </row>
    <row r="807" spans="1:11">
      <c r="A807">
        <v>90</v>
      </c>
      <c r="B807" t="b">
        <v>0</v>
      </c>
      <c r="C807" t="s">
        <v>41834</v>
      </c>
      <c r="D807">
        <v>1037022454355</v>
      </c>
      <c r="E807">
        <v>1</v>
      </c>
      <c r="F807">
        <v>6125973552</v>
      </c>
      <c r="G807">
        <v>2400000</v>
      </c>
      <c r="H807" t="s">
        <v>40293</v>
      </c>
      <c r="I807">
        <v>2446</v>
      </c>
      <c r="J807">
        <v>25</v>
      </c>
      <c r="K807">
        <v>30</v>
      </c>
    </row>
    <row r="808" spans="1:11">
      <c r="A808">
        <v>90</v>
      </c>
      <c r="B808" t="b">
        <v>0</v>
      </c>
      <c r="C808" t="s">
        <v>41817</v>
      </c>
      <c r="D808">
        <v>1037022454355</v>
      </c>
      <c r="E808">
        <v>1</v>
      </c>
      <c r="F808">
        <v>6127457935</v>
      </c>
      <c r="G808">
        <v>2399000</v>
      </c>
      <c r="H808" t="s">
        <v>40293</v>
      </c>
      <c r="I808">
        <v>2446</v>
      </c>
      <c r="J808">
        <v>4</v>
      </c>
      <c r="K808">
        <v>20</v>
      </c>
    </row>
    <row r="809" spans="1:11">
      <c r="A809">
        <v>90</v>
      </c>
      <c r="B809" t="b">
        <v>0</v>
      </c>
      <c r="C809" t="s">
        <v>42490</v>
      </c>
      <c r="D809">
        <v>1037022454355</v>
      </c>
      <c r="E809">
        <v>1</v>
      </c>
      <c r="F809">
        <v>6132216439</v>
      </c>
      <c r="G809">
        <v>2397000</v>
      </c>
      <c r="H809" t="s">
        <v>40293</v>
      </c>
      <c r="I809">
        <v>2446</v>
      </c>
      <c r="J809">
        <v>2</v>
      </c>
      <c r="K809">
        <v>10</v>
      </c>
    </row>
    <row r="810" spans="1:11">
      <c r="A810">
        <v>90</v>
      </c>
      <c r="B810" t="b">
        <v>0</v>
      </c>
      <c r="C810" t="s">
        <v>42395</v>
      </c>
      <c r="D810">
        <v>1037022454355</v>
      </c>
      <c r="E810">
        <v>1</v>
      </c>
      <c r="F810">
        <v>6134963253</v>
      </c>
      <c r="G810">
        <v>2394000</v>
      </c>
      <c r="H810" t="s">
        <v>40293</v>
      </c>
      <c r="I810">
        <v>2446</v>
      </c>
      <c r="J810">
        <v>1</v>
      </c>
      <c r="K810">
        <v>10</v>
      </c>
    </row>
    <row r="811" spans="1:11">
      <c r="A811">
        <v>90</v>
      </c>
      <c r="B811" t="b">
        <v>0</v>
      </c>
      <c r="C811" t="s">
        <v>46048</v>
      </c>
      <c r="D811">
        <v>1037022454355</v>
      </c>
      <c r="E811">
        <v>1</v>
      </c>
      <c r="F811">
        <v>6147957980</v>
      </c>
      <c r="G811">
        <v>2388000</v>
      </c>
      <c r="H811" t="s">
        <v>40293</v>
      </c>
      <c r="I811">
        <v>2446</v>
      </c>
      <c r="J811">
        <v>14</v>
      </c>
      <c r="K811">
        <v>14</v>
      </c>
    </row>
    <row r="812" spans="1:11">
      <c r="A812">
        <v>90</v>
      </c>
      <c r="B812" t="b">
        <v>0</v>
      </c>
      <c r="C812" t="s">
        <v>44836</v>
      </c>
      <c r="D812">
        <v>1037022454355</v>
      </c>
      <c r="E812">
        <v>1</v>
      </c>
      <c r="F812">
        <v>6148434375</v>
      </c>
      <c r="G812">
        <v>2349000</v>
      </c>
      <c r="H812" t="s">
        <v>40293</v>
      </c>
      <c r="I812">
        <v>2446</v>
      </c>
      <c r="J812">
        <v>10</v>
      </c>
      <c r="K812">
        <v>10</v>
      </c>
    </row>
    <row r="813" spans="1:11">
      <c r="A813">
        <v>90</v>
      </c>
      <c r="B813" t="b">
        <v>0</v>
      </c>
      <c r="C813" t="s">
        <v>46263</v>
      </c>
      <c r="D813">
        <v>1037022454355</v>
      </c>
      <c r="E813">
        <v>1</v>
      </c>
      <c r="F813">
        <v>6148629128</v>
      </c>
      <c r="G813">
        <v>2200000</v>
      </c>
      <c r="H813" t="s">
        <v>40293</v>
      </c>
      <c r="I813">
        <v>2446</v>
      </c>
      <c r="J813">
        <v>5</v>
      </c>
      <c r="K813">
        <v>5</v>
      </c>
    </row>
    <row r="814" spans="1:11">
      <c r="A814">
        <v>7</v>
      </c>
      <c r="B814" t="b">
        <v>0</v>
      </c>
      <c r="C814" t="s">
        <v>44826</v>
      </c>
      <c r="D814">
        <v>1037022454355</v>
      </c>
      <c r="E814">
        <v>1</v>
      </c>
      <c r="F814">
        <v>6151350619</v>
      </c>
      <c r="G814">
        <v>1800000</v>
      </c>
      <c r="H814" t="s">
        <v>40293</v>
      </c>
      <c r="I814">
        <v>2446</v>
      </c>
      <c r="J814">
        <v>43</v>
      </c>
      <c r="K814">
        <v>50</v>
      </c>
    </row>
    <row r="815" spans="1:11">
      <c r="A815">
        <v>90</v>
      </c>
      <c r="B815" t="b">
        <v>0</v>
      </c>
      <c r="C815" t="s">
        <v>45138</v>
      </c>
      <c r="D815">
        <v>1037022454355</v>
      </c>
      <c r="E815">
        <v>1</v>
      </c>
      <c r="F815">
        <v>6151354599</v>
      </c>
      <c r="G815">
        <v>1797000</v>
      </c>
      <c r="H815" t="s">
        <v>40293</v>
      </c>
      <c r="I815">
        <v>2446</v>
      </c>
      <c r="J815">
        <v>37</v>
      </c>
      <c r="K815">
        <v>55</v>
      </c>
    </row>
    <row r="816" spans="1:11">
      <c r="A816">
        <v>90</v>
      </c>
      <c r="B816" t="b">
        <v>0</v>
      </c>
      <c r="C816" t="s">
        <v>44189</v>
      </c>
      <c r="D816">
        <v>1037022454355</v>
      </c>
      <c r="E816">
        <v>1</v>
      </c>
      <c r="F816">
        <v>6156703404</v>
      </c>
      <c r="G816">
        <v>1796000</v>
      </c>
      <c r="H816" t="s">
        <v>40293</v>
      </c>
      <c r="I816">
        <v>2446</v>
      </c>
      <c r="J816">
        <v>7</v>
      </c>
      <c r="K816">
        <v>7</v>
      </c>
    </row>
    <row r="817" spans="1:11">
      <c r="A817">
        <v>90</v>
      </c>
      <c r="B817" t="b">
        <v>0</v>
      </c>
      <c r="C817" t="s">
        <v>45443</v>
      </c>
      <c r="D817">
        <v>1037022454355</v>
      </c>
      <c r="E817">
        <v>1</v>
      </c>
      <c r="F817">
        <v>6157518987</v>
      </c>
      <c r="G817">
        <v>14870</v>
      </c>
      <c r="H817" t="s">
        <v>40293</v>
      </c>
      <c r="I817">
        <v>2454</v>
      </c>
      <c r="J817">
        <v>23</v>
      </c>
      <c r="K817">
        <v>23</v>
      </c>
    </row>
    <row r="818" spans="1:11">
      <c r="A818">
        <v>90</v>
      </c>
      <c r="B818" t="b">
        <v>0</v>
      </c>
      <c r="C818" t="s">
        <v>40972</v>
      </c>
      <c r="D818">
        <v>1037022454355</v>
      </c>
      <c r="E818">
        <v>1</v>
      </c>
      <c r="F818">
        <v>6069402803</v>
      </c>
      <c r="G818">
        <v>700000</v>
      </c>
      <c r="H818" t="s">
        <v>40293</v>
      </c>
      <c r="I818">
        <v>2456</v>
      </c>
      <c r="J818">
        <v>25</v>
      </c>
      <c r="K818">
        <v>243</v>
      </c>
    </row>
    <row r="819" spans="1:11">
      <c r="A819">
        <v>90</v>
      </c>
      <c r="B819" t="b">
        <v>0</v>
      </c>
      <c r="C819" t="s">
        <v>40999</v>
      </c>
      <c r="D819">
        <v>1037022454355</v>
      </c>
      <c r="E819">
        <v>1</v>
      </c>
      <c r="F819">
        <v>6122651459</v>
      </c>
      <c r="G819">
        <v>695000</v>
      </c>
      <c r="H819" t="s">
        <v>40293</v>
      </c>
      <c r="I819">
        <v>2456</v>
      </c>
      <c r="J819">
        <v>19</v>
      </c>
      <c r="K819">
        <v>20</v>
      </c>
    </row>
    <row r="820" spans="1:11">
      <c r="A820">
        <v>90</v>
      </c>
      <c r="B820" t="b">
        <v>0</v>
      </c>
      <c r="C820" t="s">
        <v>42904</v>
      </c>
      <c r="D820">
        <v>1037022454355</v>
      </c>
      <c r="E820">
        <v>1</v>
      </c>
      <c r="F820">
        <v>6147050569</v>
      </c>
      <c r="G820">
        <v>694900</v>
      </c>
      <c r="H820" t="s">
        <v>40293</v>
      </c>
      <c r="I820">
        <v>2456</v>
      </c>
      <c r="J820">
        <v>16</v>
      </c>
      <c r="K820">
        <v>25</v>
      </c>
    </row>
    <row r="821" spans="1:11">
      <c r="A821">
        <v>90</v>
      </c>
      <c r="B821" t="b">
        <v>0</v>
      </c>
      <c r="C821" t="s">
        <v>45119</v>
      </c>
      <c r="D821">
        <v>1037022454355</v>
      </c>
      <c r="E821">
        <v>1</v>
      </c>
      <c r="F821">
        <v>6152435565</v>
      </c>
      <c r="G821">
        <v>675000</v>
      </c>
      <c r="H821" t="s">
        <v>40293</v>
      </c>
      <c r="I821">
        <v>2456</v>
      </c>
      <c r="J821">
        <v>24</v>
      </c>
      <c r="K821">
        <v>24</v>
      </c>
    </row>
    <row r="822" spans="1:11">
      <c r="A822">
        <v>90</v>
      </c>
      <c r="B822" t="b">
        <v>0</v>
      </c>
      <c r="C822" t="s">
        <v>44140</v>
      </c>
      <c r="D822">
        <v>1037022454355</v>
      </c>
      <c r="E822">
        <v>1</v>
      </c>
      <c r="F822">
        <v>6147671332</v>
      </c>
      <c r="G822">
        <v>669900</v>
      </c>
      <c r="H822" t="s">
        <v>40293</v>
      </c>
      <c r="I822">
        <v>2456</v>
      </c>
      <c r="J822">
        <v>7</v>
      </c>
      <c r="K822">
        <v>17</v>
      </c>
    </row>
    <row r="823" spans="1:11">
      <c r="A823">
        <v>30</v>
      </c>
      <c r="B823" t="b">
        <v>0</v>
      </c>
      <c r="C823" t="s">
        <v>44095</v>
      </c>
      <c r="D823">
        <v>1037022454355</v>
      </c>
      <c r="E823">
        <v>1</v>
      </c>
      <c r="F823">
        <v>6151701181</v>
      </c>
      <c r="G823">
        <v>669200</v>
      </c>
      <c r="H823" t="s">
        <v>40293</v>
      </c>
      <c r="I823">
        <v>2456</v>
      </c>
      <c r="J823">
        <v>36</v>
      </c>
      <c r="K823">
        <v>50</v>
      </c>
    </row>
    <row r="824" spans="1:11">
      <c r="A824">
        <v>90</v>
      </c>
      <c r="B824" t="b">
        <v>0</v>
      </c>
      <c r="C824" t="s">
        <v>46307</v>
      </c>
      <c r="D824">
        <v>1037022454355</v>
      </c>
      <c r="E824">
        <v>1</v>
      </c>
      <c r="F824">
        <v>6157398745</v>
      </c>
      <c r="G824">
        <v>669000</v>
      </c>
      <c r="H824" t="s">
        <v>40293</v>
      </c>
      <c r="I824">
        <v>2456</v>
      </c>
      <c r="J824">
        <v>2</v>
      </c>
      <c r="K824">
        <v>2</v>
      </c>
    </row>
    <row r="825" spans="1:11">
      <c r="A825">
        <v>90</v>
      </c>
      <c r="B825" t="b">
        <v>0</v>
      </c>
      <c r="C825" t="s">
        <v>45374</v>
      </c>
      <c r="D825">
        <v>1037022454355</v>
      </c>
      <c r="E825">
        <v>1</v>
      </c>
      <c r="F825">
        <v>6155060593</v>
      </c>
      <c r="G825">
        <v>668900</v>
      </c>
      <c r="H825" t="s">
        <v>40293</v>
      </c>
      <c r="I825">
        <v>2456</v>
      </c>
      <c r="J825">
        <v>46</v>
      </c>
      <c r="K825">
        <v>85</v>
      </c>
    </row>
    <row r="826" spans="1:11">
      <c r="A826">
        <v>90</v>
      </c>
      <c r="B826" t="b">
        <v>0</v>
      </c>
      <c r="C826" t="s">
        <v>41755</v>
      </c>
      <c r="D826">
        <v>1037022454355</v>
      </c>
      <c r="E826">
        <v>1</v>
      </c>
      <c r="F826">
        <v>6106414932</v>
      </c>
      <c r="G826">
        <v>4448</v>
      </c>
      <c r="H826" t="s">
        <v>40293</v>
      </c>
      <c r="I826">
        <v>2463</v>
      </c>
      <c r="J826">
        <v>5007</v>
      </c>
      <c r="K826">
        <v>6467</v>
      </c>
    </row>
    <row r="827" spans="1:11">
      <c r="A827">
        <v>90</v>
      </c>
      <c r="B827" t="b">
        <v>0</v>
      </c>
      <c r="C827" t="s">
        <v>41725</v>
      </c>
      <c r="D827">
        <v>1037022454355</v>
      </c>
      <c r="E827">
        <v>1</v>
      </c>
      <c r="F827">
        <v>6114344084</v>
      </c>
      <c r="G827">
        <v>4447</v>
      </c>
      <c r="H827" t="s">
        <v>40293</v>
      </c>
      <c r="I827">
        <v>2463</v>
      </c>
      <c r="J827">
        <v>1590</v>
      </c>
      <c r="K827">
        <v>1590</v>
      </c>
    </row>
    <row r="828" spans="1:11">
      <c r="A828">
        <v>90</v>
      </c>
      <c r="B828" t="b">
        <v>0</v>
      </c>
      <c r="C828" t="s">
        <v>42127</v>
      </c>
      <c r="D828">
        <v>1037022454355</v>
      </c>
      <c r="E828">
        <v>1</v>
      </c>
      <c r="F828">
        <v>6110690389</v>
      </c>
      <c r="G828">
        <v>4445</v>
      </c>
      <c r="H828" t="s">
        <v>40293</v>
      </c>
      <c r="I828">
        <v>2463</v>
      </c>
      <c r="J828">
        <v>5825</v>
      </c>
      <c r="K828">
        <v>5825</v>
      </c>
    </row>
    <row r="829" spans="1:11">
      <c r="A829">
        <v>90</v>
      </c>
      <c r="B829" t="b">
        <v>0</v>
      </c>
      <c r="C829" t="s">
        <v>42311</v>
      </c>
      <c r="D829">
        <v>1037022454355</v>
      </c>
      <c r="E829">
        <v>1</v>
      </c>
      <c r="F829">
        <v>6133777781</v>
      </c>
      <c r="G829">
        <v>4444</v>
      </c>
      <c r="H829" t="s">
        <v>40293</v>
      </c>
      <c r="I829">
        <v>2463</v>
      </c>
      <c r="J829">
        <v>42</v>
      </c>
      <c r="K829">
        <v>42</v>
      </c>
    </row>
    <row r="830" spans="1:11">
      <c r="A830">
        <v>90</v>
      </c>
      <c r="B830" t="b">
        <v>0</v>
      </c>
      <c r="C830" t="s">
        <v>43545</v>
      </c>
      <c r="D830">
        <v>1037022454355</v>
      </c>
      <c r="E830">
        <v>1</v>
      </c>
      <c r="F830">
        <v>6117590511</v>
      </c>
      <c r="G830">
        <v>4443</v>
      </c>
      <c r="H830" t="s">
        <v>40293</v>
      </c>
      <c r="I830">
        <v>2463</v>
      </c>
      <c r="J830">
        <v>9549</v>
      </c>
      <c r="K830">
        <v>20012</v>
      </c>
    </row>
    <row r="831" spans="1:11">
      <c r="A831">
        <v>90</v>
      </c>
      <c r="B831" t="b">
        <v>0</v>
      </c>
      <c r="C831" t="s">
        <v>45874</v>
      </c>
      <c r="D831">
        <v>1037022454355</v>
      </c>
      <c r="E831">
        <v>1</v>
      </c>
      <c r="F831">
        <v>6153952349</v>
      </c>
      <c r="G831">
        <v>4400</v>
      </c>
      <c r="H831" t="s">
        <v>40293</v>
      </c>
      <c r="I831">
        <v>2463</v>
      </c>
      <c r="J831">
        <v>43366</v>
      </c>
      <c r="K831">
        <v>46366</v>
      </c>
    </row>
    <row r="832" spans="1:11">
      <c r="A832">
        <v>30</v>
      </c>
      <c r="B832" t="b">
        <v>0</v>
      </c>
      <c r="C832" t="s">
        <v>43644</v>
      </c>
      <c r="D832">
        <v>1037022454355</v>
      </c>
      <c r="E832">
        <v>1</v>
      </c>
      <c r="F832">
        <v>6138484467</v>
      </c>
      <c r="G832">
        <v>700000</v>
      </c>
      <c r="H832" t="s">
        <v>40293</v>
      </c>
      <c r="I832">
        <v>2466</v>
      </c>
      <c r="J832">
        <v>3</v>
      </c>
      <c r="K832">
        <v>8</v>
      </c>
    </row>
    <row r="833" spans="1:11">
      <c r="A833">
        <v>90</v>
      </c>
      <c r="B833" t="b">
        <v>0</v>
      </c>
      <c r="C833" t="s">
        <v>41806</v>
      </c>
      <c r="D833">
        <v>1037022454355</v>
      </c>
      <c r="E833">
        <v>1</v>
      </c>
      <c r="F833">
        <v>6127456704</v>
      </c>
      <c r="G833">
        <v>200000</v>
      </c>
      <c r="H833" t="s">
        <v>40293</v>
      </c>
      <c r="I833">
        <v>2476</v>
      </c>
      <c r="J833">
        <v>11</v>
      </c>
      <c r="K833">
        <v>20</v>
      </c>
    </row>
    <row r="834" spans="1:11">
      <c r="A834">
        <v>90</v>
      </c>
      <c r="B834" t="b">
        <v>0</v>
      </c>
      <c r="C834" t="s">
        <v>41045</v>
      </c>
      <c r="D834">
        <v>1037022454355</v>
      </c>
      <c r="E834">
        <v>1</v>
      </c>
      <c r="F834">
        <v>6122652280</v>
      </c>
      <c r="G834">
        <v>1816000</v>
      </c>
      <c r="H834" t="s">
        <v>40293</v>
      </c>
      <c r="I834">
        <v>2478</v>
      </c>
      <c r="J834">
        <v>14</v>
      </c>
      <c r="K834">
        <v>14</v>
      </c>
    </row>
    <row r="835" spans="1:11">
      <c r="A835">
        <v>90</v>
      </c>
      <c r="B835" t="b">
        <v>0</v>
      </c>
      <c r="C835" t="s">
        <v>41808</v>
      </c>
      <c r="D835">
        <v>1037022454355</v>
      </c>
      <c r="E835">
        <v>1</v>
      </c>
      <c r="F835">
        <v>6127456963</v>
      </c>
      <c r="G835">
        <v>1806000</v>
      </c>
      <c r="H835" t="s">
        <v>40293</v>
      </c>
      <c r="I835">
        <v>2478</v>
      </c>
      <c r="J835">
        <v>20</v>
      </c>
      <c r="K835">
        <v>20</v>
      </c>
    </row>
    <row r="836" spans="1:11">
      <c r="A836">
        <v>90</v>
      </c>
      <c r="B836" t="b">
        <v>0</v>
      </c>
      <c r="C836" t="s">
        <v>42236</v>
      </c>
      <c r="D836">
        <v>1037022454355</v>
      </c>
      <c r="E836">
        <v>1</v>
      </c>
      <c r="F836">
        <v>6079181097</v>
      </c>
      <c r="G836">
        <v>1800000</v>
      </c>
      <c r="H836" t="s">
        <v>40293</v>
      </c>
      <c r="I836">
        <v>2478</v>
      </c>
      <c r="J836">
        <v>10</v>
      </c>
      <c r="K836">
        <v>10</v>
      </c>
    </row>
    <row r="837" spans="1:11">
      <c r="A837">
        <v>90</v>
      </c>
      <c r="B837" t="b">
        <v>0</v>
      </c>
      <c r="C837" t="s">
        <v>45186</v>
      </c>
      <c r="D837">
        <v>1037022454355</v>
      </c>
      <c r="E837">
        <v>1</v>
      </c>
      <c r="F837">
        <v>6151551775</v>
      </c>
      <c r="G837">
        <v>1775000</v>
      </c>
      <c r="H837" t="s">
        <v>40293</v>
      </c>
      <c r="I837">
        <v>2478</v>
      </c>
      <c r="J837">
        <v>5</v>
      </c>
      <c r="K837">
        <v>10</v>
      </c>
    </row>
    <row r="838" spans="1:11">
      <c r="A838">
        <v>90</v>
      </c>
      <c r="B838" t="b">
        <v>0</v>
      </c>
      <c r="C838" t="s">
        <v>46288</v>
      </c>
      <c r="D838">
        <v>1037022454355</v>
      </c>
      <c r="E838">
        <v>1</v>
      </c>
      <c r="F838">
        <v>6067286547</v>
      </c>
      <c r="G838">
        <v>1774000</v>
      </c>
      <c r="H838" t="s">
        <v>40293</v>
      </c>
      <c r="I838">
        <v>2478</v>
      </c>
      <c r="J838">
        <v>71</v>
      </c>
      <c r="K838">
        <v>153</v>
      </c>
    </row>
    <row r="839" spans="1:11">
      <c r="A839">
        <v>90</v>
      </c>
      <c r="B839" t="b">
        <v>0</v>
      </c>
      <c r="C839" t="s">
        <v>44231</v>
      </c>
      <c r="D839">
        <v>1037022454355</v>
      </c>
      <c r="E839">
        <v>1</v>
      </c>
      <c r="F839">
        <v>6115986004</v>
      </c>
      <c r="G839">
        <v>1771000</v>
      </c>
      <c r="H839" t="s">
        <v>40293</v>
      </c>
      <c r="I839">
        <v>2478</v>
      </c>
      <c r="J839">
        <v>7</v>
      </c>
      <c r="K839">
        <v>25</v>
      </c>
    </row>
    <row r="840" spans="1:11">
      <c r="A840">
        <v>90</v>
      </c>
      <c r="B840" t="b">
        <v>0</v>
      </c>
      <c r="C840" t="s">
        <v>44306</v>
      </c>
      <c r="D840">
        <v>1037022454355</v>
      </c>
      <c r="E840">
        <v>1</v>
      </c>
      <c r="F840">
        <v>6157242086</v>
      </c>
      <c r="G840">
        <v>1769000</v>
      </c>
      <c r="H840" t="s">
        <v>40293</v>
      </c>
      <c r="I840">
        <v>2478</v>
      </c>
      <c r="J840">
        <v>32</v>
      </c>
      <c r="K840">
        <v>32</v>
      </c>
    </row>
    <row r="841" spans="1:11">
      <c r="A841">
        <v>90</v>
      </c>
      <c r="B841" t="b">
        <v>0</v>
      </c>
      <c r="C841" t="s">
        <v>44575</v>
      </c>
      <c r="D841">
        <v>1037022454355</v>
      </c>
      <c r="E841">
        <v>1</v>
      </c>
      <c r="F841">
        <v>6156701816</v>
      </c>
      <c r="G841">
        <v>1768000</v>
      </c>
      <c r="H841" t="s">
        <v>40293</v>
      </c>
      <c r="I841">
        <v>2478</v>
      </c>
      <c r="J841">
        <v>5</v>
      </c>
      <c r="K841">
        <v>5</v>
      </c>
    </row>
    <row r="842" spans="1:11">
      <c r="A842">
        <v>90</v>
      </c>
      <c r="B842" t="b">
        <v>0</v>
      </c>
      <c r="C842" t="s">
        <v>45434</v>
      </c>
      <c r="D842">
        <v>1037022454355</v>
      </c>
      <c r="E842">
        <v>1</v>
      </c>
      <c r="F842">
        <v>6157518902</v>
      </c>
      <c r="G842">
        <v>16610</v>
      </c>
      <c r="H842" t="s">
        <v>40293</v>
      </c>
      <c r="I842">
        <v>2486</v>
      </c>
      <c r="J842">
        <v>100</v>
      </c>
      <c r="K842">
        <v>100</v>
      </c>
    </row>
    <row r="843" spans="1:11">
      <c r="A843">
        <v>90</v>
      </c>
      <c r="B843" t="b">
        <v>0</v>
      </c>
      <c r="C843" t="s">
        <v>44236</v>
      </c>
      <c r="D843">
        <v>1037022454355</v>
      </c>
      <c r="E843">
        <v>1</v>
      </c>
      <c r="F843">
        <v>6155962994</v>
      </c>
      <c r="G843">
        <v>16550</v>
      </c>
      <c r="H843" t="s">
        <v>40293</v>
      </c>
      <c r="I843">
        <v>2486</v>
      </c>
      <c r="J843">
        <v>9</v>
      </c>
      <c r="K843">
        <v>19</v>
      </c>
    </row>
    <row r="844" spans="1:11">
      <c r="A844">
        <v>90</v>
      </c>
      <c r="B844" t="b">
        <v>0</v>
      </c>
      <c r="C844" t="s">
        <v>42482</v>
      </c>
      <c r="D844">
        <v>1037022454355</v>
      </c>
      <c r="E844">
        <v>1</v>
      </c>
      <c r="F844">
        <v>6137511409</v>
      </c>
      <c r="G844">
        <v>1517000</v>
      </c>
      <c r="H844" t="s">
        <v>40293</v>
      </c>
      <c r="I844">
        <v>2488</v>
      </c>
      <c r="J844">
        <v>5</v>
      </c>
      <c r="K844">
        <v>5</v>
      </c>
    </row>
    <row r="845" spans="1:11">
      <c r="A845">
        <v>90</v>
      </c>
      <c r="B845" t="b">
        <v>0</v>
      </c>
      <c r="C845" t="s">
        <v>40304</v>
      </c>
      <c r="D845">
        <v>1037022454355</v>
      </c>
      <c r="E845">
        <v>1</v>
      </c>
      <c r="F845">
        <v>6123494753</v>
      </c>
      <c r="G845">
        <v>545000</v>
      </c>
      <c r="H845" t="s">
        <v>40293</v>
      </c>
      <c r="I845">
        <v>2488</v>
      </c>
      <c r="J845">
        <v>489</v>
      </c>
      <c r="K845">
        <v>840</v>
      </c>
    </row>
    <row r="846" spans="1:11">
      <c r="A846">
        <v>90</v>
      </c>
      <c r="B846" t="b">
        <v>0</v>
      </c>
      <c r="C846" t="s">
        <v>46433</v>
      </c>
      <c r="D846">
        <v>1037022454355</v>
      </c>
      <c r="E846">
        <v>1</v>
      </c>
      <c r="F846">
        <v>6147865186</v>
      </c>
      <c r="G846">
        <v>539400</v>
      </c>
      <c r="H846" t="s">
        <v>40293</v>
      </c>
      <c r="I846">
        <v>2488</v>
      </c>
      <c r="J846">
        <v>30</v>
      </c>
      <c r="K846">
        <v>40</v>
      </c>
    </row>
    <row r="847" spans="1:11">
      <c r="A847">
        <v>90</v>
      </c>
      <c r="B847" t="b">
        <v>0</v>
      </c>
      <c r="C847" t="s">
        <v>44727</v>
      </c>
      <c r="D847">
        <v>1037022454355</v>
      </c>
      <c r="E847">
        <v>1</v>
      </c>
      <c r="F847">
        <v>6147908768</v>
      </c>
      <c r="G847">
        <v>539300</v>
      </c>
      <c r="H847" t="s">
        <v>40293</v>
      </c>
      <c r="I847">
        <v>2488</v>
      </c>
      <c r="J847">
        <v>18</v>
      </c>
      <c r="K847">
        <v>35</v>
      </c>
    </row>
    <row r="848" spans="1:11">
      <c r="A848">
        <v>90</v>
      </c>
      <c r="B848" t="b">
        <v>0</v>
      </c>
      <c r="C848" t="s">
        <v>46198</v>
      </c>
      <c r="D848">
        <v>1037022454355</v>
      </c>
      <c r="E848">
        <v>1</v>
      </c>
      <c r="F848">
        <v>6153104762</v>
      </c>
      <c r="G848">
        <v>534900</v>
      </c>
      <c r="H848" t="s">
        <v>40293</v>
      </c>
      <c r="I848">
        <v>2488</v>
      </c>
      <c r="J848">
        <v>23</v>
      </c>
      <c r="K848">
        <v>28</v>
      </c>
    </row>
    <row r="849" spans="1:11">
      <c r="A849">
        <v>90</v>
      </c>
      <c r="B849" t="b">
        <v>0</v>
      </c>
      <c r="C849" t="s">
        <v>46155</v>
      </c>
      <c r="D849">
        <v>1037022454355</v>
      </c>
      <c r="E849">
        <v>1</v>
      </c>
      <c r="F849">
        <v>6153268052</v>
      </c>
      <c r="G849">
        <v>520000</v>
      </c>
      <c r="H849" t="s">
        <v>40293</v>
      </c>
      <c r="I849">
        <v>2488</v>
      </c>
      <c r="J849">
        <v>15</v>
      </c>
      <c r="K849">
        <v>20</v>
      </c>
    </row>
    <row r="850" spans="1:11">
      <c r="A850">
        <v>30</v>
      </c>
      <c r="B850" t="b">
        <v>0</v>
      </c>
      <c r="C850" t="s">
        <v>44508</v>
      </c>
      <c r="D850">
        <v>1037022454355</v>
      </c>
      <c r="E850">
        <v>1</v>
      </c>
      <c r="F850">
        <v>6154459608</v>
      </c>
      <c r="G850">
        <v>518700</v>
      </c>
      <c r="H850" t="s">
        <v>40293</v>
      </c>
      <c r="I850">
        <v>2488</v>
      </c>
      <c r="J850">
        <v>7</v>
      </c>
      <c r="K850">
        <v>26</v>
      </c>
    </row>
    <row r="851" spans="1:11">
      <c r="A851">
        <v>7</v>
      </c>
      <c r="B851" t="b">
        <v>0</v>
      </c>
      <c r="C851" t="s">
        <v>46103</v>
      </c>
      <c r="D851">
        <v>1037022454355</v>
      </c>
      <c r="E851">
        <v>1</v>
      </c>
      <c r="F851">
        <v>6156636521</v>
      </c>
      <c r="G851">
        <v>515000</v>
      </c>
      <c r="H851" t="s">
        <v>40293</v>
      </c>
      <c r="I851">
        <v>2488</v>
      </c>
      <c r="J851">
        <v>120</v>
      </c>
      <c r="K851">
        <v>120</v>
      </c>
    </row>
    <row r="852" spans="1:11">
      <c r="A852">
        <v>90</v>
      </c>
      <c r="B852" t="b">
        <v>0</v>
      </c>
      <c r="C852" t="s">
        <v>44940</v>
      </c>
      <c r="D852">
        <v>1037022454355</v>
      </c>
      <c r="E852">
        <v>1</v>
      </c>
      <c r="F852">
        <v>6157053680</v>
      </c>
      <c r="G852">
        <v>514000</v>
      </c>
      <c r="H852" t="s">
        <v>40293</v>
      </c>
      <c r="I852">
        <v>2488</v>
      </c>
      <c r="J852">
        <v>10</v>
      </c>
      <c r="K852">
        <v>10</v>
      </c>
    </row>
    <row r="853" spans="1:11">
      <c r="A853">
        <v>90</v>
      </c>
      <c r="B853" t="b">
        <v>0</v>
      </c>
      <c r="C853" t="s">
        <v>44744</v>
      </c>
      <c r="D853">
        <v>1037022454355</v>
      </c>
      <c r="E853">
        <v>1</v>
      </c>
      <c r="F853">
        <v>6156278668</v>
      </c>
      <c r="G853">
        <v>513900</v>
      </c>
      <c r="H853" t="s">
        <v>40293</v>
      </c>
      <c r="I853">
        <v>2488</v>
      </c>
      <c r="J853">
        <v>64</v>
      </c>
      <c r="K853">
        <v>100</v>
      </c>
    </row>
    <row r="854" spans="1:11">
      <c r="A854">
        <v>90</v>
      </c>
      <c r="B854" t="b">
        <v>0</v>
      </c>
      <c r="C854" t="s">
        <v>40670</v>
      </c>
      <c r="D854">
        <v>1037022454355</v>
      </c>
      <c r="E854">
        <v>1</v>
      </c>
      <c r="F854">
        <v>6087122993</v>
      </c>
      <c r="G854">
        <v>1445</v>
      </c>
      <c r="H854" t="s">
        <v>40293</v>
      </c>
      <c r="I854">
        <v>2506</v>
      </c>
      <c r="J854">
        <v>2500</v>
      </c>
      <c r="K854">
        <v>2500</v>
      </c>
    </row>
    <row r="855" spans="1:11">
      <c r="A855">
        <v>90</v>
      </c>
      <c r="B855" t="b">
        <v>0</v>
      </c>
      <c r="C855" t="s">
        <v>40661</v>
      </c>
      <c r="D855">
        <v>1037022454355</v>
      </c>
      <c r="E855">
        <v>1</v>
      </c>
      <c r="F855">
        <v>6108225422</v>
      </c>
      <c r="G855">
        <v>1300</v>
      </c>
      <c r="H855" t="s">
        <v>40293</v>
      </c>
      <c r="I855">
        <v>2506</v>
      </c>
      <c r="J855">
        <v>300</v>
      </c>
      <c r="K855">
        <v>300</v>
      </c>
    </row>
    <row r="856" spans="1:11">
      <c r="A856">
        <v>90</v>
      </c>
      <c r="B856" t="b">
        <v>0</v>
      </c>
      <c r="C856" t="s">
        <v>40533</v>
      </c>
      <c r="D856">
        <v>1037022454355</v>
      </c>
      <c r="E856">
        <v>1</v>
      </c>
      <c r="F856">
        <v>6110713431</v>
      </c>
      <c r="G856">
        <v>1200</v>
      </c>
      <c r="H856" t="s">
        <v>40293</v>
      </c>
      <c r="I856">
        <v>2506</v>
      </c>
      <c r="J856">
        <v>100</v>
      </c>
      <c r="K856">
        <v>100</v>
      </c>
    </row>
    <row r="857" spans="1:11">
      <c r="A857">
        <v>90</v>
      </c>
      <c r="B857" t="b">
        <v>0</v>
      </c>
      <c r="C857" t="s">
        <v>41873</v>
      </c>
      <c r="D857">
        <v>1037022454355</v>
      </c>
      <c r="E857">
        <v>1</v>
      </c>
      <c r="F857">
        <v>6128549438</v>
      </c>
      <c r="G857">
        <v>999.8</v>
      </c>
      <c r="H857" t="s">
        <v>40293</v>
      </c>
      <c r="I857">
        <v>2506</v>
      </c>
      <c r="J857">
        <v>710</v>
      </c>
      <c r="K857">
        <v>4310</v>
      </c>
    </row>
    <row r="858" spans="1:11">
      <c r="A858">
        <v>30</v>
      </c>
      <c r="B858" t="b">
        <v>0</v>
      </c>
      <c r="C858" t="s">
        <v>43532</v>
      </c>
      <c r="D858">
        <v>1037022454355</v>
      </c>
      <c r="E858">
        <v>1</v>
      </c>
      <c r="F858">
        <v>6144247899</v>
      </c>
      <c r="G858">
        <v>900.1</v>
      </c>
      <c r="H858" t="s">
        <v>40293</v>
      </c>
      <c r="I858">
        <v>2506</v>
      </c>
      <c r="J858">
        <v>54705</v>
      </c>
      <c r="K858">
        <v>100000</v>
      </c>
    </row>
    <row r="859" spans="1:11">
      <c r="A859">
        <v>90</v>
      </c>
      <c r="B859" t="b">
        <v>0</v>
      </c>
      <c r="C859" t="s">
        <v>40540</v>
      </c>
      <c r="D859">
        <v>1037022454355</v>
      </c>
      <c r="E859">
        <v>1</v>
      </c>
      <c r="F859">
        <v>6091736015</v>
      </c>
      <c r="G859">
        <v>1200</v>
      </c>
      <c r="H859" t="s">
        <v>40293</v>
      </c>
      <c r="I859">
        <v>2508</v>
      </c>
      <c r="J859">
        <v>12</v>
      </c>
      <c r="K859">
        <v>840</v>
      </c>
    </row>
    <row r="860" spans="1:11">
      <c r="A860">
        <v>90</v>
      </c>
      <c r="B860" t="b">
        <v>0</v>
      </c>
      <c r="C860" t="s">
        <v>40536</v>
      </c>
      <c r="D860">
        <v>1037022454355</v>
      </c>
      <c r="E860">
        <v>1</v>
      </c>
      <c r="F860">
        <v>6109599442</v>
      </c>
      <c r="G860">
        <v>1098</v>
      </c>
      <c r="H860" t="s">
        <v>40293</v>
      </c>
      <c r="I860">
        <v>2508</v>
      </c>
      <c r="J860">
        <v>1286</v>
      </c>
      <c r="K860">
        <v>2786</v>
      </c>
    </row>
    <row r="861" spans="1:11">
      <c r="A861">
        <v>90</v>
      </c>
      <c r="B861" t="b">
        <v>0</v>
      </c>
      <c r="C861" t="s">
        <v>42415</v>
      </c>
      <c r="D861">
        <v>1037022454355</v>
      </c>
      <c r="E861">
        <v>1</v>
      </c>
      <c r="F861">
        <v>6087123267</v>
      </c>
      <c r="G861">
        <v>1097</v>
      </c>
      <c r="H861" t="s">
        <v>40293</v>
      </c>
      <c r="I861">
        <v>2508</v>
      </c>
      <c r="J861">
        <v>2045</v>
      </c>
      <c r="K861">
        <v>2045</v>
      </c>
    </row>
    <row r="862" spans="1:11">
      <c r="A862">
        <v>90</v>
      </c>
      <c r="B862" t="b">
        <v>0</v>
      </c>
      <c r="C862" t="s">
        <v>43340</v>
      </c>
      <c r="D862">
        <v>1037022454355</v>
      </c>
      <c r="E862">
        <v>1</v>
      </c>
      <c r="F862">
        <v>6137459283</v>
      </c>
      <c r="G862">
        <v>984.8</v>
      </c>
      <c r="H862" t="s">
        <v>40293</v>
      </c>
      <c r="I862">
        <v>2508</v>
      </c>
      <c r="J862">
        <v>901</v>
      </c>
      <c r="K862">
        <v>4929</v>
      </c>
    </row>
    <row r="863" spans="1:11">
      <c r="A863">
        <v>90</v>
      </c>
      <c r="B863" t="b">
        <v>0</v>
      </c>
      <c r="C863" t="s">
        <v>45870</v>
      </c>
      <c r="D863">
        <v>1037022454355</v>
      </c>
      <c r="E863">
        <v>1</v>
      </c>
      <c r="F863">
        <v>6154247231</v>
      </c>
      <c r="G863">
        <v>50</v>
      </c>
      <c r="H863" t="s">
        <v>40293</v>
      </c>
      <c r="I863">
        <v>2514</v>
      </c>
      <c r="J863">
        <v>19066</v>
      </c>
      <c r="K863">
        <v>19066</v>
      </c>
    </row>
    <row r="864" spans="1:11">
      <c r="A864">
        <v>90</v>
      </c>
      <c r="B864" t="b">
        <v>0</v>
      </c>
      <c r="C864" t="s">
        <v>46139</v>
      </c>
      <c r="D864">
        <v>1037022454355</v>
      </c>
      <c r="E864">
        <v>1</v>
      </c>
      <c r="F864">
        <v>6148549210</v>
      </c>
      <c r="G864">
        <v>400000</v>
      </c>
      <c r="H864" t="s">
        <v>40293</v>
      </c>
      <c r="I864">
        <v>2517</v>
      </c>
      <c r="J864">
        <v>2</v>
      </c>
      <c r="K864">
        <v>2</v>
      </c>
    </row>
    <row r="865" spans="1:11">
      <c r="A865">
        <v>90</v>
      </c>
      <c r="B865" t="b">
        <v>0</v>
      </c>
      <c r="C865" t="s">
        <v>41525</v>
      </c>
      <c r="D865">
        <v>1037022454355</v>
      </c>
      <c r="E865">
        <v>1</v>
      </c>
      <c r="F865">
        <v>6114863661</v>
      </c>
      <c r="G865">
        <v>2500000</v>
      </c>
      <c r="H865" t="s">
        <v>40293</v>
      </c>
      <c r="I865">
        <v>2524</v>
      </c>
      <c r="J865">
        <v>12</v>
      </c>
      <c r="K865">
        <v>12</v>
      </c>
    </row>
    <row r="866" spans="1:11">
      <c r="A866">
        <v>90</v>
      </c>
      <c r="B866" t="b">
        <v>0</v>
      </c>
      <c r="C866" t="s">
        <v>44455</v>
      </c>
      <c r="D866">
        <v>1037022454355</v>
      </c>
      <c r="E866">
        <v>1</v>
      </c>
      <c r="F866">
        <v>6153279183</v>
      </c>
      <c r="G866">
        <v>2499000</v>
      </c>
      <c r="H866" t="s">
        <v>40293</v>
      </c>
      <c r="I866">
        <v>2524</v>
      </c>
      <c r="J866">
        <v>15</v>
      </c>
      <c r="K866">
        <v>25</v>
      </c>
    </row>
    <row r="867" spans="1:11">
      <c r="A867">
        <v>90</v>
      </c>
      <c r="B867" t="b">
        <v>0</v>
      </c>
      <c r="C867" t="s">
        <v>44581</v>
      </c>
      <c r="D867">
        <v>1037022454355</v>
      </c>
      <c r="E867">
        <v>1</v>
      </c>
      <c r="F867">
        <v>6156393910</v>
      </c>
      <c r="G867">
        <v>2499000</v>
      </c>
      <c r="H867" t="s">
        <v>40293</v>
      </c>
      <c r="I867">
        <v>2524</v>
      </c>
      <c r="J867">
        <v>20</v>
      </c>
      <c r="K867">
        <v>20</v>
      </c>
    </row>
    <row r="868" spans="1:11">
      <c r="A868">
        <v>90</v>
      </c>
      <c r="B868" t="b">
        <v>0</v>
      </c>
      <c r="C868" t="s">
        <v>44288</v>
      </c>
      <c r="D868">
        <v>1037022454355</v>
      </c>
      <c r="E868">
        <v>1</v>
      </c>
      <c r="F868">
        <v>6155472290</v>
      </c>
      <c r="G868">
        <v>2500000</v>
      </c>
      <c r="H868" t="s">
        <v>40293</v>
      </c>
      <c r="I868">
        <v>2525</v>
      </c>
      <c r="J868">
        <v>5</v>
      </c>
      <c r="K868">
        <v>5</v>
      </c>
    </row>
    <row r="869" spans="1:11">
      <c r="A869">
        <v>90</v>
      </c>
      <c r="B869" t="b">
        <v>0</v>
      </c>
      <c r="C869" t="s">
        <v>43710</v>
      </c>
      <c r="D869">
        <v>1037022454355</v>
      </c>
      <c r="E869">
        <v>1</v>
      </c>
      <c r="F869">
        <v>6146973932</v>
      </c>
      <c r="G869">
        <v>2500000</v>
      </c>
      <c r="H869" t="s">
        <v>40293</v>
      </c>
      <c r="I869">
        <v>2525</v>
      </c>
      <c r="J869">
        <v>11</v>
      </c>
      <c r="K869">
        <v>12</v>
      </c>
    </row>
    <row r="870" spans="1:11">
      <c r="A870">
        <v>90</v>
      </c>
      <c r="B870" t="b">
        <v>0</v>
      </c>
      <c r="C870" t="s">
        <v>44429</v>
      </c>
      <c r="D870">
        <v>1037022454355</v>
      </c>
      <c r="E870">
        <v>1</v>
      </c>
      <c r="F870">
        <v>6155179325</v>
      </c>
      <c r="G870">
        <v>2499000</v>
      </c>
      <c r="H870" t="s">
        <v>40293</v>
      </c>
      <c r="I870">
        <v>2525</v>
      </c>
      <c r="J870">
        <v>20</v>
      </c>
      <c r="K870">
        <v>20</v>
      </c>
    </row>
    <row r="871" spans="1:11">
      <c r="A871">
        <v>90</v>
      </c>
      <c r="B871" t="b">
        <v>0</v>
      </c>
      <c r="C871" t="s">
        <v>45345</v>
      </c>
      <c r="D871">
        <v>1037022454355</v>
      </c>
      <c r="E871">
        <v>1</v>
      </c>
      <c r="F871">
        <v>6148539408</v>
      </c>
      <c r="G871">
        <v>2499000</v>
      </c>
      <c r="H871" t="s">
        <v>40293</v>
      </c>
      <c r="I871">
        <v>2525</v>
      </c>
      <c r="J871">
        <v>18</v>
      </c>
      <c r="K871">
        <v>20</v>
      </c>
    </row>
    <row r="872" spans="1:11">
      <c r="A872">
        <v>90</v>
      </c>
      <c r="B872" t="b">
        <v>0</v>
      </c>
      <c r="C872" t="s">
        <v>41219</v>
      </c>
      <c r="D872">
        <v>1037022454355</v>
      </c>
      <c r="E872">
        <v>1</v>
      </c>
      <c r="F872">
        <v>6093688881</v>
      </c>
      <c r="G872">
        <v>500000</v>
      </c>
      <c r="H872" t="s">
        <v>40293</v>
      </c>
      <c r="I872">
        <v>2529</v>
      </c>
      <c r="J872">
        <v>26</v>
      </c>
      <c r="K872">
        <v>27</v>
      </c>
    </row>
    <row r="873" spans="1:11">
      <c r="A873">
        <v>90</v>
      </c>
      <c r="B873" t="b">
        <v>0</v>
      </c>
      <c r="C873" t="s">
        <v>44801</v>
      </c>
      <c r="D873">
        <v>1037022454355</v>
      </c>
      <c r="E873">
        <v>1</v>
      </c>
      <c r="F873">
        <v>6150530995</v>
      </c>
      <c r="G873">
        <v>499000</v>
      </c>
      <c r="H873" t="s">
        <v>40293</v>
      </c>
      <c r="I873">
        <v>2529</v>
      </c>
      <c r="J873">
        <v>1</v>
      </c>
      <c r="K873">
        <v>1</v>
      </c>
    </row>
    <row r="874" spans="1:11">
      <c r="A874">
        <v>90</v>
      </c>
      <c r="B874" t="b">
        <v>0</v>
      </c>
      <c r="C874" t="s">
        <v>40775</v>
      </c>
      <c r="D874">
        <v>1037022454355</v>
      </c>
      <c r="E874">
        <v>1</v>
      </c>
      <c r="F874">
        <v>6094334523</v>
      </c>
      <c r="G874">
        <v>1230000</v>
      </c>
      <c r="H874" t="s">
        <v>40293</v>
      </c>
      <c r="I874">
        <v>2531</v>
      </c>
      <c r="J874">
        <v>11</v>
      </c>
      <c r="K874">
        <v>11</v>
      </c>
    </row>
    <row r="875" spans="1:11">
      <c r="A875">
        <v>90</v>
      </c>
      <c r="B875" t="b">
        <v>0</v>
      </c>
      <c r="C875" t="s">
        <v>44512</v>
      </c>
      <c r="D875">
        <v>1037022454355</v>
      </c>
      <c r="E875">
        <v>1</v>
      </c>
      <c r="F875">
        <v>6151772712</v>
      </c>
      <c r="G875">
        <v>1223000</v>
      </c>
      <c r="H875" t="s">
        <v>40293</v>
      </c>
      <c r="I875">
        <v>2531</v>
      </c>
      <c r="J875">
        <v>10</v>
      </c>
      <c r="K875">
        <v>25</v>
      </c>
    </row>
    <row r="876" spans="1:11">
      <c r="A876">
        <v>90</v>
      </c>
      <c r="B876" t="b">
        <v>0</v>
      </c>
      <c r="C876" t="s">
        <v>43699</v>
      </c>
      <c r="D876">
        <v>1037022454355</v>
      </c>
      <c r="E876">
        <v>1</v>
      </c>
      <c r="F876">
        <v>6146973660</v>
      </c>
      <c r="G876">
        <v>2500000</v>
      </c>
      <c r="H876" t="s">
        <v>40293</v>
      </c>
      <c r="I876">
        <v>2533</v>
      </c>
      <c r="J876">
        <v>11</v>
      </c>
      <c r="K876">
        <v>12</v>
      </c>
    </row>
    <row r="877" spans="1:11">
      <c r="A877">
        <v>90</v>
      </c>
      <c r="B877" t="b">
        <v>0</v>
      </c>
      <c r="C877" t="s">
        <v>42998</v>
      </c>
      <c r="D877">
        <v>1037022454355</v>
      </c>
      <c r="E877">
        <v>1</v>
      </c>
      <c r="F877">
        <v>6099930910</v>
      </c>
      <c r="G877">
        <v>2499000</v>
      </c>
      <c r="H877" t="s">
        <v>40293</v>
      </c>
      <c r="I877">
        <v>2533</v>
      </c>
      <c r="J877">
        <v>4</v>
      </c>
      <c r="K877">
        <v>20</v>
      </c>
    </row>
    <row r="878" spans="1:11">
      <c r="A878">
        <v>90</v>
      </c>
      <c r="B878" t="b">
        <v>0</v>
      </c>
      <c r="C878" t="s">
        <v>44946</v>
      </c>
      <c r="D878">
        <v>1037022454355</v>
      </c>
      <c r="E878">
        <v>1</v>
      </c>
      <c r="F878">
        <v>6152302392</v>
      </c>
      <c r="G878">
        <v>2499000</v>
      </c>
      <c r="H878" t="s">
        <v>40293</v>
      </c>
      <c r="I878">
        <v>2533</v>
      </c>
      <c r="J878">
        <v>25</v>
      </c>
      <c r="K878">
        <v>25</v>
      </c>
    </row>
    <row r="879" spans="1:11">
      <c r="A879">
        <v>90</v>
      </c>
      <c r="B879" t="b">
        <v>0</v>
      </c>
      <c r="C879" t="s">
        <v>44285</v>
      </c>
      <c r="D879">
        <v>1037022454355</v>
      </c>
      <c r="E879">
        <v>1</v>
      </c>
      <c r="F879">
        <v>6155472221</v>
      </c>
      <c r="G879">
        <v>2443000</v>
      </c>
      <c r="H879" t="s">
        <v>40293</v>
      </c>
      <c r="I879">
        <v>2533</v>
      </c>
      <c r="J879">
        <v>1</v>
      </c>
      <c r="K879">
        <v>5</v>
      </c>
    </row>
    <row r="880" spans="1:11">
      <c r="A880">
        <v>90</v>
      </c>
      <c r="B880" t="b">
        <v>0</v>
      </c>
      <c r="C880" t="s">
        <v>46448</v>
      </c>
      <c r="D880">
        <v>1037022454355</v>
      </c>
      <c r="E880">
        <v>1</v>
      </c>
      <c r="F880">
        <v>6157368058</v>
      </c>
      <c r="G880">
        <v>2500000</v>
      </c>
      <c r="H880" t="s">
        <v>40293</v>
      </c>
      <c r="I880">
        <v>2534</v>
      </c>
      <c r="J880">
        <v>10</v>
      </c>
      <c r="K880">
        <v>10</v>
      </c>
    </row>
    <row r="881" spans="1:11">
      <c r="A881">
        <v>90</v>
      </c>
      <c r="B881" t="b">
        <v>0</v>
      </c>
      <c r="C881" t="s">
        <v>46371</v>
      </c>
      <c r="D881">
        <v>1037022454355</v>
      </c>
      <c r="E881">
        <v>1</v>
      </c>
      <c r="F881">
        <v>6152845045</v>
      </c>
      <c r="G881">
        <v>2499000</v>
      </c>
      <c r="H881" t="s">
        <v>40293</v>
      </c>
      <c r="I881">
        <v>2534</v>
      </c>
      <c r="J881">
        <v>25</v>
      </c>
      <c r="K881">
        <v>25</v>
      </c>
    </row>
    <row r="882" spans="1:11">
      <c r="A882">
        <v>90</v>
      </c>
      <c r="B882" t="b">
        <v>0</v>
      </c>
      <c r="C882" t="s">
        <v>41231</v>
      </c>
      <c r="D882">
        <v>1037022454355</v>
      </c>
      <c r="E882">
        <v>1</v>
      </c>
      <c r="F882">
        <v>6093689036</v>
      </c>
      <c r="G882">
        <v>500000</v>
      </c>
      <c r="H882" t="s">
        <v>40293</v>
      </c>
      <c r="I882">
        <v>2545</v>
      </c>
      <c r="J882">
        <v>10</v>
      </c>
      <c r="K882">
        <v>10</v>
      </c>
    </row>
    <row r="883" spans="1:11">
      <c r="A883">
        <v>90</v>
      </c>
      <c r="B883" t="b">
        <v>0</v>
      </c>
      <c r="C883" t="s">
        <v>41310</v>
      </c>
      <c r="D883">
        <v>1037022454355</v>
      </c>
      <c r="E883">
        <v>1</v>
      </c>
      <c r="F883">
        <v>6119937439</v>
      </c>
      <c r="G883">
        <v>1661000</v>
      </c>
      <c r="H883" t="s">
        <v>40293</v>
      </c>
      <c r="I883">
        <v>2547</v>
      </c>
      <c r="J883">
        <v>5</v>
      </c>
      <c r="K883">
        <v>5</v>
      </c>
    </row>
    <row r="884" spans="1:11">
      <c r="A884">
        <v>90</v>
      </c>
      <c r="B884" t="b">
        <v>0</v>
      </c>
      <c r="C884" t="s">
        <v>40782</v>
      </c>
      <c r="D884">
        <v>1037022454355</v>
      </c>
      <c r="E884">
        <v>1</v>
      </c>
      <c r="F884">
        <v>6125333189</v>
      </c>
      <c r="G884">
        <v>1500000</v>
      </c>
      <c r="H884" t="s">
        <v>40293</v>
      </c>
      <c r="I884">
        <v>2547</v>
      </c>
      <c r="J884">
        <v>3</v>
      </c>
      <c r="K884">
        <v>3</v>
      </c>
    </row>
    <row r="885" spans="1:11">
      <c r="A885">
        <v>90</v>
      </c>
      <c r="B885" t="b">
        <v>0</v>
      </c>
      <c r="C885" t="s">
        <v>43670</v>
      </c>
      <c r="D885">
        <v>1037022454355</v>
      </c>
      <c r="E885">
        <v>1</v>
      </c>
      <c r="F885">
        <v>6073244598</v>
      </c>
      <c r="G885">
        <v>1492000</v>
      </c>
      <c r="H885" t="s">
        <v>40293</v>
      </c>
      <c r="I885">
        <v>2547</v>
      </c>
      <c r="J885">
        <v>11</v>
      </c>
      <c r="K885">
        <v>25</v>
      </c>
    </row>
    <row r="886" spans="1:11">
      <c r="A886">
        <v>90</v>
      </c>
      <c r="B886" t="b">
        <v>0</v>
      </c>
      <c r="C886" t="s">
        <v>41124</v>
      </c>
      <c r="D886">
        <v>1037022454355</v>
      </c>
      <c r="E886">
        <v>1</v>
      </c>
      <c r="F886">
        <v>6107154702</v>
      </c>
      <c r="G886">
        <v>2630000</v>
      </c>
      <c r="H886" t="s">
        <v>40293</v>
      </c>
      <c r="I886">
        <v>2549</v>
      </c>
      <c r="J886">
        <v>2</v>
      </c>
      <c r="K886">
        <v>2</v>
      </c>
    </row>
    <row r="887" spans="1:11">
      <c r="A887">
        <v>90</v>
      </c>
      <c r="B887" t="b">
        <v>0</v>
      </c>
      <c r="C887" t="s">
        <v>45069</v>
      </c>
      <c r="D887">
        <v>1037022454355</v>
      </c>
      <c r="E887">
        <v>1</v>
      </c>
      <c r="F887">
        <v>6157251887</v>
      </c>
      <c r="G887">
        <v>2629000</v>
      </c>
      <c r="H887" t="s">
        <v>40293</v>
      </c>
      <c r="I887">
        <v>2549</v>
      </c>
      <c r="J887">
        <v>20</v>
      </c>
      <c r="K887">
        <v>20</v>
      </c>
    </row>
    <row r="888" spans="1:11">
      <c r="A888">
        <v>90</v>
      </c>
      <c r="B888" t="b">
        <v>0</v>
      </c>
      <c r="C888" t="s">
        <v>46503</v>
      </c>
      <c r="D888">
        <v>1037022454355</v>
      </c>
      <c r="E888">
        <v>1</v>
      </c>
      <c r="F888">
        <v>6154812759</v>
      </c>
      <c r="G888">
        <v>2629000</v>
      </c>
      <c r="H888" t="s">
        <v>40293</v>
      </c>
      <c r="I888">
        <v>2549</v>
      </c>
      <c r="J888">
        <v>19</v>
      </c>
      <c r="K888">
        <v>20</v>
      </c>
    </row>
    <row r="889" spans="1:11">
      <c r="A889">
        <v>90</v>
      </c>
      <c r="B889" t="b">
        <v>0</v>
      </c>
      <c r="C889" t="s">
        <v>41100</v>
      </c>
      <c r="D889">
        <v>1037022454355</v>
      </c>
      <c r="E889">
        <v>1</v>
      </c>
      <c r="F889">
        <v>6107154215</v>
      </c>
      <c r="G889">
        <v>2838000</v>
      </c>
      <c r="H889" t="s">
        <v>40293</v>
      </c>
      <c r="I889">
        <v>2550</v>
      </c>
      <c r="J889">
        <v>8</v>
      </c>
      <c r="K889">
        <v>8</v>
      </c>
    </row>
    <row r="890" spans="1:11">
      <c r="A890">
        <v>90</v>
      </c>
      <c r="B890" t="b">
        <v>0</v>
      </c>
      <c r="C890" t="s">
        <v>40353</v>
      </c>
      <c r="D890">
        <v>1037022454355</v>
      </c>
      <c r="E890">
        <v>1</v>
      </c>
      <c r="F890">
        <v>6107727335</v>
      </c>
      <c r="G890">
        <v>2815000</v>
      </c>
      <c r="H890" t="s">
        <v>40293</v>
      </c>
      <c r="I890">
        <v>2550</v>
      </c>
      <c r="J890">
        <v>7</v>
      </c>
      <c r="K890">
        <v>10</v>
      </c>
    </row>
    <row r="891" spans="1:11">
      <c r="A891">
        <v>90</v>
      </c>
      <c r="B891" t="b">
        <v>0</v>
      </c>
      <c r="C891" t="s">
        <v>44294</v>
      </c>
      <c r="D891">
        <v>1037022454355</v>
      </c>
      <c r="E891">
        <v>1</v>
      </c>
      <c r="F891">
        <v>6155472367</v>
      </c>
      <c r="G891">
        <v>2507000</v>
      </c>
      <c r="H891" t="s">
        <v>40293</v>
      </c>
      <c r="I891">
        <v>2550</v>
      </c>
      <c r="J891">
        <v>3</v>
      </c>
      <c r="K891">
        <v>5</v>
      </c>
    </row>
    <row r="892" spans="1:11">
      <c r="A892">
        <v>90</v>
      </c>
      <c r="B892" t="b">
        <v>0</v>
      </c>
      <c r="C892" t="s">
        <v>46191</v>
      </c>
      <c r="D892">
        <v>1037022454355</v>
      </c>
      <c r="E892">
        <v>1</v>
      </c>
      <c r="F892">
        <v>6156283170</v>
      </c>
      <c r="G892">
        <v>2500000</v>
      </c>
      <c r="H892" t="s">
        <v>40293</v>
      </c>
      <c r="I892">
        <v>2550</v>
      </c>
      <c r="J892">
        <v>14</v>
      </c>
      <c r="K892">
        <v>15</v>
      </c>
    </row>
    <row r="893" spans="1:11">
      <c r="A893">
        <v>90</v>
      </c>
      <c r="B893" t="b">
        <v>0</v>
      </c>
      <c r="C893" t="s">
        <v>44991</v>
      </c>
      <c r="D893">
        <v>1037022454355</v>
      </c>
      <c r="E893">
        <v>1</v>
      </c>
      <c r="F893">
        <v>6152302888</v>
      </c>
      <c r="G893">
        <v>2499000</v>
      </c>
      <c r="H893" t="s">
        <v>40293</v>
      </c>
      <c r="I893">
        <v>2550</v>
      </c>
      <c r="J893">
        <v>3</v>
      </c>
      <c r="K893">
        <v>20</v>
      </c>
    </row>
    <row r="894" spans="1:11">
      <c r="A894">
        <v>90</v>
      </c>
      <c r="B894" t="b">
        <v>0</v>
      </c>
      <c r="C894" t="s">
        <v>45042</v>
      </c>
      <c r="D894">
        <v>1037022454355</v>
      </c>
      <c r="E894">
        <v>1</v>
      </c>
      <c r="F894">
        <v>6157251555</v>
      </c>
      <c r="G894">
        <v>2499000</v>
      </c>
      <c r="H894" t="s">
        <v>40293</v>
      </c>
      <c r="I894">
        <v>2550</v>
      </c>
      <c r="J894">
        <v>20</v>
      </c>
      <c r="K894">
        <v>20</v>
      </c>
    </row>
    <row r="895" spans="1:11">
      <c r="A895">
        <v>90</v>
      </c>
      <c r="B895" t="b">
        <v>0</v>
      </c>
      <c r="C895" t="s">
        <v>45267</v>
      </c>
      <c r="D895">
        <v>1037022454355</v>
      </c>
      <c r="E895">
        <v>1</v>
      </c>
      <c r="F895">
        <v>6156394502</v>
      </c>
      <c r="G895">
        <v>2499000</v>
      </c>
      <c r="H895" t="s">
        <v>40293</v>
      </c>
      <c r="I895">
        <v>2550</v>
      </c>
      <c r="J895">
        <v>20</v>
      </c>
      <c r="K895">
        <v>20</v>
      </c>
    </row>
    <row r="896" spans="1:11">
      <c r="A896">
        <v>90</v>
      </c>
      <c r="B896" t="b">
        <v>0</v>
      </c>
      <c r="C896" t="s">
        <v>45015</v>
      </c>
      <c r="D896">
        <v>1037022454355</v>
      </c>
      <c r="E896">
        <v>1</v>
      </c>
      <c r="F896">
        <v>6153581108</v>
      </c>
      <c r="G896">
        <v>2500000</v>
      </c>
      <c r="H896" t="s">
        <v>40293</v>
      </c>
      <c r="I896">
        <v>2551</v>
      </c>
      <c r="J896">
        <v>11</v>
      </c>
      <c r="K896">
        <v>11</v>
      </c>
    </row>
    <row r="897" spans="1:11">
      <c r="A897">
        <v>90</v>
      </c>
      <c r="B897" t="b">
        <v>0</v>
      </c>
      <c r="C897" t="s">
        <v>45120</v>
      </c>
      <c r="D897">
        <v>1037022454355</v>
      </c>
      <c r="E897">
        <v>1</v>
      </c>
      <c r="F897">
        <v>6156394130</v>
      </c>
      <c r="G897">
        <v>2499000</v>
      </c>
      <c r="H897" t="s">
        <v>40293</v>
      </c>
      <c r="I897">
        <v>2551</v>
      </c>
      <c r="J897">
        <v>20</v>
      </c>
      <c r="K897">
        <v>20</v>
      </c>
    </row>
    <row r="898" spans="1:11">
      <c r="A898">
        <v>90</v>
      </c>
      <c r="B898" t="b">
        <v>0</v>
      </c>
      <c r="C898" t="s">
        <v>45392</v>
      </c>
      <c r="D898">
        <v>1037022454355</v>
      </c>
      <c r="E898">
        <v>1</v>
      </c>
      <c r="F898">
        <v>6150014591</v>
      </c>
      <c r="G898">
        <v>2499000</v>
      </c>
      <c r="H898" t="s">
        <v>40293</v>
      </c>
      <c r="I898">
        <v>2551</v>
      </c>
      <c r="J898">
        <v>11</v>
      </c>
      <c r="K898">
        <v>21</v>
      </c>
    </row>
    <row r="899" spans="1:11">
      <c r="A899">
        <v>90</v>
      </c>
      <c r="B899" t="b">
        <v>0</v>
      </c>
      <c r="C899" t="s">
        <v>40496</v>
      </c>
      <c r="D899">
        <v>1037022454355</v>
      </c>
      <c r="E899">
        <v>1</v>
      </c>
      <c r="F899">
        <v>6075126455</v>
      </c>
      <c r="G899">
        <v>1228000</v>
      </c>
      <c r="H899" t="s">
        <v>40293</v>
      </c>
      <c r="I899">
        <v>2553</v>
      </c>
      <c r="J899">
        <v>13</v>
      </c>
      <c r="K899">
        <v>20</v>
      </c>
    </row>
    <row r="900" spans="1:11">
      <c r="A900">
        <v>90</v>
      </c>
      <c r="B900" t="b">
        <v>0</v>
      </c>
      <c r="C900" t="s">
        <v>42976</v>
      </c>
      <c r="D900">
        <v>1037022454355</v>
      </c>
      <c r="E900">
        <v>1</v>
      </c>
      <c r="F900">
        <v>6131026974</v>
      </c>
      <c r="G900">
        <v>1130000</v>
      </c>
      <c r="H900" t="s">
        <v>40293</v>
      </c>
      <c r="I900">
        <v>2553</v>
      </c>
      <c r="J900">
        <v>2</v>
      </c>
      <c r="K900">
        <v>2</v>
      </c>
    </row>
    <row r="901" spans="1:11">
      <c r="A901">
        <v>90</v>
      </c>
      <c r="B901" t="b">
        <v>0</v>
      </c>
      <c r="C901" t="s">
        <v>41470</v>
      </c>
      <c r="D901">
        <v>1037022454355</v>
      </c>
      <c r="E901">
        <v>1</v>
      </c>
      <c r="F901">
        <v>6102705341</v>
      </c>
      <c r="G901">
        <v>1120000</v>
      </c>
      <c r="H901" t="s">
        <v>40293</v>
      </c>
      <c r="I901">
        <v>2553</v>
      </c>
      <c r="J901">
        <v>1</v>
      </c>
      <c r="K901">
        <v>50</v>
      </c>
    </row>
    <row r="902" spans="1:11">
      <c r="A902">
        <v>90</v>
      </c>
      <c r="B902" t="b">
        <v>0</v>
      </c>
      <c r="C902" t="s">
        <v>42046</v>
      </c>
      <c r="D902">
        <v>1037022454355</v>
      </c>
      <c r="E902">
        <v>1</v>
      </c>
      <c r="F902">
        <v>6122789028</v>
      </c>
      <c r="G902">
        <v>1115000</v>
      </c>
      <c r="H902" t="s">
        <v>40293</v>
      </c>
      <c r="I902">
        <v>2553</v>
      </c>
      <c r="J902">
        <v>3</v>
      </c>
      <c r="K902">
        <v>50</v>
      </c>
    </row>
    <row r="903" spans="1:11">
      <c r="A903">
        <v>90</v>
      </c>
      <c r="B903" t="b">
        <v>0</v>
      </c>
      <c r="C903" t="s">
        <v>41260</v>
      </c>
      <c r="D903">
        <v>1037022454355</v>
      </c>
      <c r="E903">
        <v>1</v>
      </c>
      <c r="F903">
        <v>6068556441</v>
      </c>
      <c r="G903">
        <v>2700000</v>
      </c>
      <c r="H903" t="s">
        <v>40293</v>
      </c>
      <c r="I903">
        <v>2559</v>
      </c>
      <c r="J903">
        <v>9</v>
      </c>
      <c r="K903">
        <v>12</v>
      </c>
    </row>
    <row r="904" spans="1:11">
      <c r="A904">
        <v>90</v>
      </c>
      <c r="B904" t="b">
        <v>0</v>
      </c>
      <c r="C904" t="s">
        <v>42144</v>
      </c>
      <c r="D904">
        <v>1037022454355</v>
      </c>
      <c r="E904">
        <v>1</v>
      </c>
      <c r="F904">
        <v>6099617276</v>
      </c>
      <c r="G904">
        <v>2691000</v>
      </c>
      <c r="H904" t="s">
        <v>40293</v>
      </c>
      <c r="I904">
        <v>2559</v>
      </c>
      <c r="J904">
        <v>8</v>
      </c>
      <c r="K904">
        <v>50</v>
      </c>
    </row>
    <row r="905" spans="1:11">
      <c r="A905">
        <v>90</v>
      </c>
      <c r="B905" t="b">
        <v>0</v>
      </c>
      <c r="C905" t="s">
        <v>42332</v>
      </c>
      <c r="D905">
        <v>1037022454355</v>
      </c>
      <c r="E905">
        <v>1</v>
      </c>
      <c r="F905">
        <v>6115986223</v>
      </c>
      <c r="G905">
        <v>2690000</v>
      </c>
      <c r="H905" t="s">
        <v>40293</v>
      </c>
      <c r="I905">
        <v>2559</v>
      </c>
      <c r="J905">
        <v>10</v>
      </c>
      <c r="K905">
        <v>25</v>
      </c>
    </row>
    <row r="906" spans="1:11">
      <c r="A906">
        <v>90</v>
      </c>
      <c r="B906" t="b">
        <v>0</v>
      </c>
      <c r="C906" t="s">
        <v>41263</v>
      </c>
      <c r="D906">
        <v>1037022454355</v>
      </c>
      <c r="E906">
        <v>1</v>
      </c>
      <c r="F906">
        <v>6068556486</v>
      </c>
      <c r="G906">
        <v>2698000</v>
      </c>
      <c r="H906" t="s">
        <v>40293</v>
      </c>
      <c r="I906">
        <v>2563</v>
      </c>
      <c r="J906">
        <v>9</v>
      </c>
      <c r="K906">
        <v>11</v>
      </c>
    </row>
    <row r="907" spans="1:11">
      <c r="A907">
        <v>90</v>
      </c>
      <c r="B907" t="b">
        <v>0</v>
      </c>
      <c r="C907" t="s">
        <v>42148</v>
      </c>
      <c r="D907">
        <v>1037022454355</v>
      </c>
      <c r="E907">
        <v>1</v>
      </c>
      <c r="F907">
        <v>6106407234</v>
      </c>
      <c r="G907">
        <v>2684000</v>
      </c>
      <c r="H907" t="s">
        <v>40293</v>
      </c>
      <c r="I907">
        <v>2563</v>
      </c>
      <c r="J907">
        <v>8</v>
      </c>
      <c r="K907">
        <v>30</v>
      </c>
    </row>
    <row r="908" spans="1:11">
      <c r="A908">
        <v>90</v>
      </c>
      <c r="B908" t="b">
        <v>0</v>
      </c>
      <c r="C908" t="s">
        <v>42487</v>
      </c>
      <c r="D908">
        <v>1037022454355</v>
      </c>
      <c r="E908">
        <v>1</v>
      </c>
      <c r="F908">
        <v>6073397630</v>
      </c>
      <c r="G908">
        <v>2683000</v>
      </c>
      <c r="H908" t="s">
        <v>40293</v>
      </c>
      <c r="I908">
        <v>2563</v>
      </c>
      <c r="J908">
        <v>12</v>
      </c>
      <c r="K908">
        <v>25</v>
      </c>
    </row>
    <row r="909" spans="1:11">
      <c r="A909">
        <v>90</v>
      </c>
      <c r="B909" t="b">
        <v>0</v>
      </c>
      <c r="C909" t="s">
        <v>43010</v>
      </c>
      <c r="D909">
        <v>1037022454355</v>
      </c>
      <c r="E909">
        <v>1</v>
      </c>
      <c r="F909">
        <v>6138302650</v>
      </c>
      <c r="G909">
        <v>2500000</v>
      </c>
      <c r="H909" t="s">
        <v>40293</v>
      </c>
      <c r="I909">
        <v>2563</v>
      </c>
      <c r="J909">
        <v>16</v>
      </c>
      <c r="K909">
        <v>16</v>
      </c>
    </row>
    <row r="910" spans="1:11">
      <c r="A910">
        <v>90</v>
      </c>
      <c r="B910" t="b">
        <v>0</v>
      </c>
      <c r="C910" t="s">
        <v>43366</v>
      </c>
      <c r="D910">
        <v>1037022454355</v>
      </c>
      <c r="E910">
        <v>1</v>
      </c>
      <c r="F910">
        <v>6145498651</v>
      </c>
      <c r="G910">
        <v>2498000</v>
      </c>
      <c r="H910" t="s">
        <v>40293</v>
      </c>
      <c r="I910">
        <v>2563</v>
      </c>
      <c r="J910">
        <v>19</v>
      </c>
      <c r="K910">
        <v>20</v>
      </c>
    </row>
    <row r="911" spans="1:11">
      <c r="A911">
        <v>90</v>
      </c>
      <c r="B911" t="b">
        <v>0</v>
      </c>
      <c r="C911" t="s">
        <v>41993</v>
      </c>
      <c r="D911">
        <v>1037022454355</v>
      </c>
      <c r="E911">
        <v>1</v>
      </c>
      <c r="F911">
        <v>6126141403</v>
      </c>
      <c r="G911">
        <v>3000000</v>
      </c>
      <c r="H911" t="s">
        <v>40293</v>
      </c>
      <c r="I911">
        <v>2567</v>
      </c>
      <c r="J911">
        <v>8</v>
      </c>
      <c r="K911">
        <v>25</v>
      </c>
    </row>
    <row r="912" spans="1:11">
      <c r="A912">
        <v>90</v>
      </c>
      <c r="B912" t="b">
        <v>0</v>
      </c>
      <c r="C912" t="s">
        <v>42933</v>
      </c>
      <c r="D912">
        <v>1037022454355</v>
      </c>
      <c r="E912">
        <v>1</v>
      </c>
      <c r="F912">
        <v>6138266962</v>
      </c>
      <c r="G912">
        <v>2800000</v>
      </c>
      <c r="H912" t="s">
        <v>40293</v>
      </c>
      <c r="I912">
        <v>2567</v>
      </c>
      <c r="J912">
        <v>6</v>
      </c>
      <c r="K912">
        <v>18</v>
      </c>
    </row>
    <row r="913" spans="1:11">
      <c r="A913">
        <v>90</v>
      </c>
      <c r="B913" t="b">
        <v>0</v>
      </c>
      <c r="C913" t="s">
        <v>46189</v>
      </c>
      <c r="D913">
        <v>1037022454355</v>
      </c>
      <c r="E913">
        <v>1</v>
      </c>
      <c r="F913">
        <v>6156709130</v>
      </c>
      <c r="G913">
        <v>2799000</v>
      </c>
      <c r="H913" t="s">
        <v>40293</v>
      </c>
      <c r="I913">
        <v>2567</v>
      </c>
      <c r="J913">
        <v>3</v>
      </c>
      <c r="K913">
        <v>3</v>
      </c>
    </row>
    <row r="914" spans="1:11">
      <c r="A914">
        <v>90</v>
      </c>
      <c r="B914" t="b">
        <v>0</v>
      </c>
      <c r="C914" t="s">
        <v>40876</v>
      </c>
      <c r="D914">
        <v>1037022454355</v>
      </c>
      <c r="E914">
        <v>1</v>
      </c>
      <c r="F914">
        <v>6073398399</v>
      </c>
      <c r="G914">
        <v>2578000</v>
      </c>
      <c r="H914" t="s">
        <v>40293</v>
      </c>
      <c r="I914">
        <v>2571</v>
      </c>
      <c r="J914">
        <v>12</v>
      </c>
      <c r="K914">
        <v>25</v>
      </c>
    </row>
    <row r="915" spans="1:11">
      <c r="A915">
        <v>90</v>
      </c>
      <c r="B915" t="b">
        <v>0</v>
      </c>
      <c r="C915" t="s">
        <v>43673</v>
      </c>
      <c r="D915">
        <v>1037022454355</v>
      </c>
      <c r="E915">
        <v>1</v>
      </c>
      <c r="F915">
        <v>6138256392</v>
      </c>
      <c r="G915">
        <v>2400000</v>
      </c>
      <c r="H915" t="s">
        <v>40293</v>
      </c>
      <c r="I915">
        <v>2571</v>
      </c>
      <c r="J915">
        <v>3</v>
      </c>
      <c r="K915">
        <v>22</v>
      </c>
    </row>
    <row r="916" spans="1:11">
      <c r="A916">
        <v>90</v>
      </c>
      <c r="B916" t="b">
        <v>0</v>
      </c>
      <c r="C916" t="s">
        <v>44278</v>
      </c>
      <c r="D916">
        <v>1037022454355</v>
      </c>
      <c r="E916">
        <v>1</v>
      </c>
      <c r="F916">
        <v>6153366729</v>
      </c>
      <c r="G916">
        <v>2745000</v>
      </c>
      <c r="H916" t="s">
        <v>40293</v>
      </c>
      <c r="I916">
        <v>2575</v>
      </c>
      <c r="J916">
        <v>1</v>
      </c>
      <c r="K916">
        <v>1</v>
      </c>
    </row>
    <row r="917" spans="1:11">
      <c r="A917">
        <v>90</v>
      </c>
      <c r="B917" t="b">
        <v>0</v>
      </c>
      <c r="C917" t="s">
        <v>45808</v>
      </c>
      <c r="D917">
        <v>1037022454355</v>
      </c>
      <c r="E917">
        <v>1</v>
      </c>
      <c r="F917">
        <v>6153427416</v>
      </c>
      <c r="G917">
        <v>2743000</v>
      </c>
      <c r="H917" t="s">
        <v>40293</v>
      </c>
      <c r="I917">
        <v>2575</v>
      </c>
      <c r="J917">
        <v>1</v>
      </c>
      <c r="K917">
        <v>1</v>
      </c>
    </row>
    <row r="918" spans="1:11">
      <c r="A918">
        <v>90</v>
      </c>
      <c r="B918" t="b">
        <v>0</v>
      </c>
      <c r="C918" t="s">
        <v>45919</v>
      </c>
      <c r="D918">
        <v>1037022454355</v>
      </c>
      <c r="E918">
        <v>1</v>
      </c>
      <c r="F918">
        <v>6145498652</v>
      </c>
      <c r="G918">
        <v>2742000</v>
      </c>
      <c r="H918" t="s">
        <v>40293</v>
      </c>
      <c r="I918">
        <v>2575</v>
      </c>
      <c r="J918">
        <v>55</v>
      </c>
      <c r="K918">
        <v>60</v>
      </c>
    </row>
    <row r="919" spans="1:11">
      <c r="A919">
        <v>90</v>
      </c>
      <c r="B919" t="b">
        <v>0</v>
      </c>
      <c r="C919" t="s">
        <v>44344</v>
      </c>
      <c r="D919">
        <v>1037022454355</v>
      </c>
      <c r="E919">
        <v>1</v>
      </c>
      <c r="F919">
        <v>6109466795</v>
      </c>
      <c r="G919">
        <v>2740000</v>
      </c>
      <c r="H919" t="s">
        <v>40293</v>
      </c>
      <c r="I919">
        <v>2575</v>
      </c>
      <c r="J919">
        <v>4</v>
      </c>
      <c r="K919">
        <v>25</v>
      </c>
    </row>
    <row r="920" spans="1:11">
      <c r="A920">
        <v>90</v>
      </c>
      <c r="B920" t="b">
        <v>0</v>
      </c>
      <c r="C920" t="s">
        <v>45363</v>
      </c>
      <c r="D920">
        <v>1037022454355</v>
      </c>
      <c r="E920">
        <v>1</v>
      </c>
      <c r="F920">
        <v>6132614357</v>
      </c>
      <c r="G920">
        <v>2739000</v>
      </c>
      <c r="H920" t="s">
        <v>40293</v>
      </c>
      <c r="I920">
        <v>2575</v>
      </c>
      <c r="J920">
        <v>1</v>
      </c>
      <c r="K920">
        <v>7</v>
      </c>
    </row>
    <row r="921" spans="1:11">
      <c r="A921">
        <v>90</v>
      </c>
      <c r="B921" t="b">
        <v>0</v>
      </c>
      <c r="C921" t="s">
        <v>44346</v>
      </c>
      <c r="D921">
        <v>1037022454355</v>
      </c>
      <c r="E921">
        <v>1</v>
      </c>
      <c r="F921">
        <v>6156709242</v>
      </c>
      <c r="G921">
        <v>2738000</v>
      </c>
      <c r="H921" t="s">
        <v>40293</v>
      </c>
      <c r="I921">
        <v>2575</v>
      </c>
      <c r="J921">
        <v>1</v>
      </c>
      <c r="K921">
        <v>1</v>
      </c>
    </row>
    <row r="922" spans="1:11">
      <c r="A922">
        <v>90</v>
      </c>
      <c r="B922" t="b">
        <v>0</v>
      </c>
      <c r="C922" t="s">
        <v>45154</v>
      </c>
      <c r="D922">
        <v>1037022454355</v>
      </c>
      <c r="E922">
        <v>1</v>
      </c>
      <c r="F922">
        <v>6156630535</v>
      </c>
      <c r="G922">
        <v>139400000</v>
      </c>
      <c r="H922" t="s">
        <v>40293</v>
      </c>
      <c r="I922">
        <v>2589</v>
      </c>
      <c r="J922">
        <v>1</v>
      </c>
      <c r="K922">
        <v>1</v>
      </c>
    </row>
    <row r="923" spans="1:11">
      <c r="A923">
        <v>90</v>
      </c>
      <c r="B923" t="b">
        <v>0</v>
      </c>
      <c r="C923" t="s">
        <v>46110</v>
      </c>
      <c r="D923">
        <v>1037022454355</v>
      </c>
      <c r="E923">
        <v>1</v>
      </c>
      <c r="F923">
        <v>6148876492</v>
      </c>
      <c r="G923">
        <v>150000</v>
      </c>
      <c r="H923" t="s">
        <v>40293</v>
      </c>
      <c r="I923">
        <v>2603</v>
      </c>
      <c r="J923">
        <v>18</v>
      </c>
      <c r="K923">
        <v>23</v>
      </c>
    </row>
    <row r="924" spans="1:11">
      <c r="A924">
        <v>90</v>
      </c>
      <c r="B924" t="b">
        <v>0</v>
      </c>
      <c r="C924" t="s">
        <v>45862</v>
      </c>
      <c r="D924">
        <v>1037022454355</v>
      </c>
      <c r="E924">
        <v>1</v>
      </c>
      <c r="F924">
        <v>6157458396</v>
      </c>
      <c r="G924">
        <v>149900</v>
      </c>
      <c r="H924" t="s">
        <v>40293</v>
      </c>
      <c r="I924">
        <v>2603</v>
      </c>
      <c r="J924">
        <v>1</v>
      </c>
      <c r="K924">
        <v>1</v>
      </c>
    </row>
    <row r="925" spans="1:11">
      <c r="A925">
        <v>90</v>
      </c>
      <c r="B925" t="b">
        <v>0</v>
      </c>
      <c r="C925" t="s">
        <v>41234</v>
      </c>
      <c r="D925">
        <v>1037022454355</v>
      </c>
      <c r="E925">
        <v>1</v>
      </c>
      <c r="F925">
        <v>6096703735</v>
      </c>
      <c r="G925">
        <v>548500</v>
      </c>
      <c r="H925" t="s">
        <v>40293</v>
      </c>
      <c r="I925">
        <v>2605</v>
      </c>
      <c r="J925">
        <v>2</v>
      </c>
      <c r="K925">
        <v>5</v>
      </c>
    </row>
    <row r="926" spans="1:11">
      <c r="A926">
        <v>90</v>
      </c>
      <c r="B926" t="b">
        <v>0</v>
      </c>
      <c r="C926" t="s">
        <v>40776</v>
      </c>
      <c r="D926">
        <v>1037022454355</v>
      </c>
      <c r="E926">
        <v>1</v>
      </c>
      <c r="F926">
        <v>6088600129</v>
      </c>
      <c r="G926">
        <v>539100</v>
      </c>
      <c r="H926" t="s">
        <v>40293</v>
      </c>
      <c r="I926">
        <v>2605</v>
      </c>
      <c r="J926">
        <v>112</v>
      </c>
      <c r="K926">
        <v>180</v>
      </c>
    </row>
    <row r="927" spans="1:11">
      <c r="A927">
        <v>90</v>
      </c>
      <c r="B927" t="b">
        <v>0</v>
      </c>
      <c r="C927" t="s">
        <v>45740</v>
      </c>
      <c r="D927">
        <v>1037022454355</v>
      </c>
      <c r="E927">
        <v>1</v>
      </c>
      <c r="F927">
        <v>6152738516</v>
      </c>
      <c r="G927">
        <v>500000</v>
      </c>
      <c r="H927" t="s">
        <v>40293</v>
      </c>
      <c r="I927">
        <v>2605</v>
      </c>
      <c r="J927">
        <v>3</v>
      </c>
      <c r="K927">
        <v>3</v>
      </c>
    </row>
    <row r="928" spans="1:11">
      <c r="A928">
        <v>90</v>
      </c>
      <c r="B928" t="b">
        <v>0</v>
      </c>
      <c r="C928" t="s">
        <v>40838</v>
      </c>
      <c r="D928">
        <v>1037022454355</v>
      </c>
      <c r="E928">
        <v>1</v>
      </c>
      <c r="F928">
        <v>6097219781</v>
      </c>
      <c r="G928">
        <v>499900</v>
      </c>
      <c r="H928" t="s">
        <v>40293</v>
      </c>
      <c r="I928">
        <v>2605</v>
      </c>
      <c r="J928">
        <v>23</v>
      </c>
      <c r="K928">
        <v>53</v>
      </c>
    </row>
    <row r="929" spans="1:11">
      <c r="A929">
        <v>90</v>
      </c>
      <c r="B929" t="b">
        <v>0</v>
      </c>
      <c r="C929" t="s">
        <v>40357</v>
      </c>
      <c r="D929">
        <v>1037022454355</v>
      </c>
      <c r="E929">
        <v>1</v>
      </c>
      <c r="F929">
        <v>6067848765</v>
      </c>
      <c r="G929">
        <v>499700</v>
      </c>
      <c r="H929" t="s">
        <v>40293</v>
      </c>
      <c r="I929">
        <v>2605</v>
      </c>
      <c r="J929">
        <v>37</v>
      </c>
      <c r="K929">
        <v>200</v>
      </c>
    </row>
    <row r="930" spans="1:11">
      <c r="A930">
        <v>90</v>
      </c>
      <c r="B930" t="b">
        <v>0</v>
      </c>
      <c r="C930" t="s">
        <v>43381</v>
      </c>
      <c r="D930">
        <v>1037022454355</v>
      </c>
      <c r="E930">
        <v>1</v>
      </c>
      <c r="F930">
        <v>6104528400</v>
      </c>
      <c r="G930">
        <v>255</v>
      </c>
      <c r="H930" t="s">
        <v>40293</v>
      </c>
      <c r="I930">
        <v>2613</v>
      </c>
      <c r="J930">
        <v>18850</v>
      </c>
      <c r="K930">
        <v>50000</v>
      </c>
    </row>
    <row r="931" spans="1:11">
      <c r="A931">
        <v>90</v>
      </c>
      <c r="B931" t="b">
        <v>0</v>
      </c>
      <c r="C931" t="s">
        <v>41419</v>
      </c>
      <c r="D931">
        <v>1037022454355</v>
      </c>
      <c r="E931">
        <v>1</v>
      </c>
      <c r="F931">
        <v>6106832678</v>
      </c>
      <c r="G931">
        <v>140</v>
      </c>
      <c r="H931" t="s">
        <v>40293</v>
      </c>
      <c r="I931">
        <v>2613</v>
      </c>
      <c r="J931">
        <v>94841</v>
      </c>
      <c r="K931">
        <v>100000</v>
      </c>
    </row>
    <row r="932" spans="1:11">
      <c r="A932">
        <v>90</v>
      </c>
      <c r="B932" t="b">
        <v>0</v>
      </c>
      <c r="C932" t="s">
        <v>40595</v>
      </c>
      <c r="D932">
        <v>1037022454355</v>
      </c>
      <c r="E932">
        <v>1</v>
      </c>
      <c r="F932">
        <v>6119955100</v>
      </c>
      <c r="G932">
        <v>139.5</v>
      </c>
      <c r="H932" t="s">
        <v>40293</v>
      </c>
      <c r="I932">
        <v>2613</v>
      </c>
      <c r="J932">
        <v>27626</v>
      </c>
      <c r="K932">
        <v>170316</v>
      </c>
    </row>
    <row r="933" spans="1:11">
      <c r="A933">
        <v>90</v>
      </c>
      <c r="B933" t="b">
        <v>0</v>
      </c>
      <c r="C933" t="s">
        <v>44767</v>
      </c>
      <c r="D933">
        <v>1037022454355</v>
      </c>
      <c r="E933">
        <v>1</v>
      </c>
      <c r="F933">
        <v>6156396083</v>
      </c>
      <c r="G933">
        <v>139.4</v>
      </c>
      <c r="H933" t="s">
        <v>40293</v>
      </c>
      <c r="I933">
        <v>2613</v>
      </c>
      <c r="J933">
        <v>45259</v>
      </c>
      <c r="K933">
        <v>50000</v>
      </c>
    </row>
    <row r="934" spans="1:11">
      <c r="A934">
        <v>90</v>
      </c>
      <c r="B934" t="b">
        <v>0</v>
      </c>
      <c r="C934" t="s">
        <v>40391</v>
      </c>
      <c r="D934">
        <v>1037022454355</v>
      </c>
      <c r="E934">
        <v>1</v>
      </c>
      <c r="F934">
        <v>6101535041</v>
      </c>
      <c r="G934">
        <v>1099</v>
      </c>
      <c r="H934" t="s">
        <v>40293</v>
      </c>
      <c r="I934">
        <v>2621</v>
      </c>
      <c r="J934">
        <v>18000</v>
      </c>
      <c r="K934">
        <v>20000</v>
      </c>
    </row>
    <row r="935" spans="1:11">
      <c r="A935">
        <v>90</v>
      </c>
      <c r="B935" t="b">
        <v>0</v>
      </c>
      <c r="C935" t="s">
        <v>41647</v>
      </c>
      <c r="D935">
        <v>1037022454355</v>
      </c>
      <c r="E935">
        <v>1</v>
      </c>
      <c r="F935">
        <v>6102087122</v>
      </c>
      <c r="G935">
        <v>1098</v>
      </c>
      <c r="H935" t="s">
        <v>40293</v>
      </c>
      <c r="I935">
        <v>2621</v>
      </c>
      <c r="J935">
        <v>28238</v>
      </c>
      <c r="K935">
        <v>50000</v>
      </c>
    </row>
    <row r="936" spans="1:11">
      <c r="A936">
        <v>90</v>
      </c>
      <c r="B936" t="b">
        <v>0</v>
      </c>
      <c r="C936" t="s">
        <v>40891</v>
      </c>
      <c r="D936">
        <v>1037022454355</v>
      </c>
      <c r="E936">
        <v>1</v>
      </c>
      <c r="F936">
        <v>6070154752</v>
      </c>
      <c r="G936">
        <v>1000</v>
      </c>
      <c r="H936" t="s">
        <v>40293</v>
      </c>
      <c r="I936">
        <v>2621</v>
      </c>
      <c r="J936">
        <v>108121</v>
      </c>
      <c r="K936">
        <v>337247</v>
      </c>
    </row>
    <row r="937" spans="1:11">
      <c r="A937">
        <v>90</v>
      </c>
      <c r="B937" t="b">
        <v>0</v>
      </c>
      <c r="C937" t="s">
        <v>44473</v>
      </c>
      <c r="D937">
        <v>1037022454355</v>
      </c>
      <c r="E937">
        <v>1</v>
      </c>
      <c r="F937">
        <v>6147872767</v>
      </c>
      <c r="G937">
        <v>999</v>
      </c>
      <c r="H937" t="s">
        <v>40293</v>
      </c>
      <c r="I937">
        <v>2621</v>
      </c>
      <c r="J937">
        <v>36055</v>
      </c>
      <c r="K937">
        <v>38055</v>
      </c>
    </row>
    <row r="938" spans="1:11">
      <c r="A938">
        <v>14</v>
      </c>
      <c r="B938" t="b">
        <v>0</v>
      </c>
      <c r="C938" t="s">
        <v>46445</v>
      </c>
      <c r="D938">
        <v>1037022454355</v>
      </c>
      <c r="E938">
        <v>1</v>
      </c>
      <c r="F938">
        <v>6148061922</v>
      </c>
      <c r="G938">
        <v>950</v>
      </c>
      <c r="H938" t="s">
        <v>40293</v>
      </c>
      <c r="I938">
        <v>2621</v>
      </c>
      <c r="J938">
        <v>17200</v>
      </c>
      <c r="K938">
        <v>17200</v>
      </c>
    </row>
    <row r="939" spans="1:11">
      <c r="A939">
        <v>90</v>
      </c>
      <c r="B939" t="b">
        <v>0</v>
      </c>
      <c r="C939" t="s">
        <v>43632</v>
      </c>
      <c r="D939">
        <v>1037022454355</v>
      </c>
      <c r="E939">
        <v>1</v>
      </c>
      <c r="F939">
        <v>6141957548</v>
      </c>
      <c r="G939">
        <v>618</v>
      </c>
      <c r="H939" t="s">
        <v>40293</v>
      </c>
      <c r="I939">
        <v>2629</v>
      </c>
      <c r="J939">
        <v>1765</v>
      </c>
      <c r="K939">
        <v>1765</v>
      </c>
    </row>
    <row r="940" spans="1:11">
      <c r="A940">
        <v>90</v>
      </c>
      <c r="B940" t="b">
        <v>0</v>
      </c>
      <c r="C940" t="s">
        <v>44413</v>
      </c>
      <c r="D940">
        <v>1037022454355</v>
      </c>
      <c r="E940">
        <v>1</v>
      </c>
      <c r="F940">
        <v>6147871881</v>
      </c>
      <c r="G940">
        <v>615.29999999999995</v>
      </c>
      <c r="H940" t="s">
        <v>40293</v>
      </c>
      <c r="I940">
        <v>2629</v>
      </c>
      <c r="J940">
        <v>87940</v>
      </c>
      <c r="K940">
        <v>95040</v>
      </c>
    </row>
    <row r="941" spans="1:11">
      <c r="A941">
        <v>30</v>
      </c>
      <c r="B941" t="b">
        <v>0</v>
      </c>
      <c r="C941" t="s">
        <v>45205</v>
      </c>
      <c r="D941">
        <v>1037022454355</v>
      </c>
      <c r="E941">
        <v>1</v>
      </c>
      <c r="F941">
        <v>6156605850</v>
      </c>
      <c r="G941">
        <v>615.20000000000005</v>
      </c>
      <c r="H941" t="s">
        <v>40293</v>
      </c>
      <c r="I941">
        <v>2629</v>
      </c>
      <c r="J941">
        <v>41000</v>
      </c>
      <c r="K941">
        <v>50000</v>
      </c>
    </row>
    <row r="942" spans="1:11">
      <c r="A942">
        <v>90</v>
      </c>
      <c r="B942" t="b">
        <v>0</v>
      </c>
      <c r="C942" t="s">
        <v>41792</v>
      </c>
      <c r="D942">
        <v>1037022454355</v>
      </c>
      <c r="E942">
        <v>1</v>
      </c>
      <c r="F942">
        <v>6126282999</v>
      </c>
      <c r="G942">
        <v>1400</v>
      </c>
      <c r="H942" t="s">
        <v>40293</v>
      </c>
      <c r="I942">
        <v>2637</v>
      </c>
      <c r="J942">
        <v>19000</v>
      </c>
      <c r="K942">
        <v>20000</v>
      </c>
    </row>
    <row r="943" spans="1:11">
      <c r="A943">
        <v>30</v>
      </c>
      <c r="B943" t="b">
        <v>0</v>
      </c>
      <c r="C943" t="s">
        <v>43805</v>
      </c>
      <c r="D943">
        <v>1037022454355</v>
      </c>
      <c r="E943">
        <v>1</v>
      </c>
      <c r="F943">
        <v>6144683107</v>
      </c>
      <c r="G943">
        <v>1399</v>
      </c>
      <c r="H943" t="s">
        <v>40293</v>
      </c>
      <c r="I943">
        <v>2637</v>
      </c>
      <c r="J943">
        <v>10000</v>
      </c>
      <c r="K943">
        <v>10000</v>
      </c>
    </row>
    <row r="944" spans="1:11">
      <c r="A944">
        <v>90</v>
      </c>
      <c r="B944" t="b">
        <v>0</v>
      </c>
      <c r="C944" t="s">
        <v>41846</v>
      </c>
      <c r="D944">
        <v>1037022454355</v>
      </c>
      <c r="E944">
        <v>1</v>
      </c>
      <c r="F944">
        <v>6128398757</v>
      </c>
      <c r="G944">
        <v>240.1</v>
      </c>
      <c r="H944" t="s">
        <v>40293</v>
      </c>
      <c r="I944">
        <v>2647</v>
      </c>
      <c r="J944">
        <v>1000</v>
      </c>
      <c r="K944">
        <v>1000</v>
      </c>
    </row>
    <row r="945" spans="1:11">
      <c r="A945">
        <v>90</v>
      </c>
      <c r="B945" t="b">
        <v>0</v>
      </c>
      <c r="C945" t="s">
        <v>41214</v>
      </c>
      <c r="D945">
        <v>1037022454355</v>
      </c>
      <c r="E945">
        <v>1</v>
      </c>
      <c r="F945">
        <v>6119955038</v>
      </c>
      <c r="G945">
        <v>240</v>
      </c>
      <c r="H945" t="s">
        <v>40293</v>
      </c>
      <c r="I945">
        <v>2647</v>
      </c>
      <c r="J945">
        <v>678007</v>
      </c>
      <c r="K945">
        <v>688437</v>
      </c>
    </row>
    <row r="946" spans="1:11">
      <c r="A946">
        <v>30</v>
      </c>
      <c r="B946" t="b">
        <v>0</v>
      </c>
      <c r="C946" t="s">
        <v>43646</v>
      </c>
      <c r="D946">
        <v>1037022454355</v>
      </c>
      <c r="E946">
        <v>1</v>
      </c>
      <c r="F946">
        <v>6146905921</v>
      </c>
      <c r="G946">
        <v>1798</v>
      </c>
      <c r="H946" t="s">
        <v>40293</v>
      </c>
      <c r="I946">
        <v>2655</v>
      </c>
      <c r="J946">
        <v>36699</v>
      </c>
      <c r="K946">
        <v>37299</v>
      </c>
    </row>
    <row r="947" spans="1:11">
      <c r="A947">
        <v>7</v>
      </c>
      <c r="B947" t="b">
        <v>0</v>
      </c>
      <c r="C947" t="s">
        <v>45546</v>
      </c>
      <c r="D947">
        <v>1037022454355</v>
      </c>
      <c r="E947">
        <v>1</v>
      </c>
      <c r="F947">
        <v>6156635492</v>
      </c>
      <c r="G947">
        <v>696.9</v>
      </c>
      <c r="H947" t="s">
        <v>40293</v>
      </c>
      <c r="I947">
        <v>2679</v>
      </c>
      <c r="J947">
        <v>70000</v>
      </c>
      <c r="K947">
        <v>70000</v>
      </c>
    </row>
    <row r="948" spans="1:11">
      <c r="A948">
        <v>90</v>
      </c>
      <c r="B948" t="b">
        <v>0</v>
      </c>
      <c r="C948" t="s">
        <v>45381</v>
      </c>
      <c r="D948">
        <v>1037022454355</v>
      </c>
      <c r="E948">
        <v>1</v>
      </c>
      <c r="F948">
        <v>6155624687</v>
      </c>
      <c r="G948">
        <v>2700</v>
      </c>
      <c r="H948" t="s">
        <v>40293</v>
      </c>
      <c r="I948">
        <v>2801</v>
      </c>
      <c r="J948">
        <v>600</v>
      </c>
      <c r="K948">
        <v>1000</v>
      </c>
    </row>
    <row r="949" spans="1:11">
      <c r="A949">
        <v>90</v>
      </c>
      <c r="B949" t="b">
        <v>0</v>
      </c>
      <c r="C949" t="s">
        <v>46489</v>
      </c>
      <c r="D949">
        <v>1037022454355</v>
      </c>
      <c r="E949">
        <v>1</v>
      </c>
      <c r="F949">
        <v>6152584406</v>
      </c>
      <c r="G949">
        <v>378.1</v>
      </c>
      <c r="H949" t="s">
        <v>40293</v>
      </c>
      <c r="I949">
        <v>2817</v>
      </c>
      <c r="J949">
        <v>99000</v>
      </c>
      <c r="K949">
        <v>100000</v>
      </c>
    </row>
    <row r="950" spans="1:11">
      <c r="A950">
        <v>90</v>
      </c>
      <c r="B950" t="b">
        <v>0</v>
      </c>
      <c r="C950" t="s">
        <v>45354</v>
      </c>
      <c r="D950">
        <v>1037022454355</v>
      </c>
      <c r="E950">
        <v>1</v>
      </c>
      <c r="F950">
        <v>6149751922</v>
      </c>
      <c r="G950">
        <v>377.8</v>
      </c>
      <c r="H950" t="s">
        <v>40293</v>
      </c>
      <c r="I950">
        <v>2817</v>
      </c>
      <c r="J950">
        <v>201061</v>
      </c>
      <c r="K950">
        <v>205509</v>
      </c>
    </row>
    <row r="951" spans="1:11">
      <c r="A951">
        <v>90</v>
      </c>
      <c r="B951" t="b">
        <v>0</v>
      </c>
      <c r="C951" t="s">
        <v>40377</v>
      </c>
      <c r="D951">
        <v>1037022454355</v>
      </c>
      <c r="E951">
        <v>1</v>
      </c>
      <c r="F951">
        <v>6120048633</v>
      </c>
      <c r="G951">
        <v>3000000</v>
      </c>
      <c r="H951" t="s">
        <v>40293</v>
      </c>
      <c r="I951">
        <v>2865</v>
      </c>
      <c r="J951">
        <v>5</v>
      </c>
      <c r="K951">
        <v>5</v>
      </c>
    </row>
    <row r="952" spans="1:11">
      <c r="A952">
        <v>90</v>
      </c>
      <c r="B952" t="b">
        <v>0</v>
      </c>
      <c r="C952" t="s">
        <v>42979</v>
      </c>
      <c r="D952">
        <v>1037022454355</v>
      </c>
      <c r="E952">
        <v>1</v>
      </c>
      <c r="F952">
        <v>6144298088</v>
      </c>
      <c r="G952">
        <v>1522000</v>
      </c>
      <c r="H952" t="s">
        <v>40293</v>
      </c>
      <c r="I952">
        <v>2867</v>
      </c>
      <c r="J952">
        <v>10</v>
      </c>
      <c r="K952">
        <v>10</v>
      </c>
    </row>
    <row r="953" spans="1:11">
      <c r="A953">
        <v>90</v>
      </c>
      <c r="B953" t="b">
        <v>0</v>
      </c>
      <c r="C953" t="s">
        <v>44153</v>
      </c>
      <c r="D953">
        <v>1037022454355</v>
      </c>
      <c r="E953">
        <v>1</v>
      </c>
      <c r="F953">
        <v>6156256819</v>
      </c>
      <c r="G953">
        <v>1100000</v>
      </c>
      <c r="H953" t="s">
        <v>40293</v>
      </c>
      <c r="I953">
        <v>2867</v>
      </c>
      <c r="J953">
        <v>6</v>
      </c>
      <c r="K953">
        <v>6</v>
      </c>
    </row>
    <row r="954" spans="1:11">
      <c r="A954">
        <v>90</v>
      </c>
      <c r="B954" t="b">
        <v>0</v>
      </c>
      <c r="C954" t="s">
        <v>44196</v>
      </c>
      <c r="D954">
        <v>1037022454355</v>
      </c>
      <c r="E954">
        <v>1</v>
      </c>
      <c r="F954">
        <v>6132762743</v>
      </c>
      <c r="G954">
        <v>1100000</v>
      </c>
      <c r="H954" t="s">
        <v>40293</v>
      </c>
      <c r="I954">
        <v>2867</v>
      </c>
      <c r="J954">
        <v>1814</v>
      </c>
      <c r="K954">
        <v>2205</v>
      </c>
    </row>
    <row r="955" spans="1:11">
      <c r="A955">
        <v>90</v>
      </c>
      <c r="B955" t="b">
        <v>0</v>
      </c>
      <c r="C955" t="s">
        <v>45396</v>
      </c>
      <c r="D955">
        <v>1037022454355</v>
      </c>
      <c r="E955">
        <v>1</v>
      </c>
      <c r="F955">
        <v>6156109188</v>
      </c>
      <c r="G955">
        <v>1099000</v>
      </c>
      <c r="H955" t="s">
        <v>40293</v>
      </c>
      <c r="I955">
        <v>2867</v>
      </c>
      <c r="J955">
        <v>14</v>
      </c>
      <c r="K955">
        <v>14</v>
      </c>
    </row>
    <row r="956" spans="1:11">
      <c r="A956">
        <v>90</v>
      </c>
      <c r="B956" t="b">
        <v>0</v>
      </c>
      <c r="C956" t="s">
        <v>44247</v>
      </c>
      <c r="D956">
        <v>1037022454355</v>
      </c>
      <c r="E956">
        <v>1</v>
      </c>
      <c r="F956">
        <v>6132763361</v>
      </c>
      <c r="G956">
        <v>1400000</v>
      </c>
      <c r="H956" t="s">
        <v>40293</v>
      </c>
      <c r="I956">
        <v>2868</v>
      </c>
      <c r="J956">
        <v>2011</v>
      </c>
      <c r="K956">
        <v>2250</v>
      </c>
    </row>
    <row r="957" spans="1:11">
      <c r="A957">
        <v>90</v>
      </c>
      <c r="B957" t="b">
        <v>0</v>
      </c>
      <c r="C957" t="s">
        <v>45498</v>
      </c>
      <c r="D957">
        <v>1037022454355</v>
      </c>
      <c r="E957">
        <v>1</v>
      </c>
      <c r="F957">
        <v>6091229950</v>
      </c>
      <c r="G957">
        <v>1399000</v>
      </c>
      <c r="H957" t="s">
        <v>40293</v>
      </c>
      <c r="I957">
        <v>2868</v>
      </c>
      <c r="J957">
        <v>97</v>
      </c>
      <c r="K957">
        <v>400</v>
      </c>
    </row>
    <row r="958" spans="1:11">
      <c r="A958">
        <v>90</v>
      </c>
      <c r="B958" t="b">
        <v>0</v>
      </c>
      <c r="C958" t="s">
        <v>43798</v>
      </c>
      <c r="D958">
        <v>1037022454355</v>
      </c>
      <c r="E958">
        <v>1</v>
      </c>
      <c r="F958">
        <v>6098457070</v>
      </c>
      <c r="G958">
        <v>1099000</v>
      </c>
      <c r="H958" t="s">
        <v>40293</v>
      </c>
      <c r="I958">
        <v>2869</v>
      </c>
      <c r="J958">
        <v>33</v>
      </c>
      <c r="K958">
        <v>33</v>
      </c>
    </row>
    <row r="959" spans="1:11">
      <c r="A959">
        <v>90</v>
      </c>
      <c r="B959" t="b">
        <v>0</v>
      </c>
      <c r="C959" t="s">
        <v>42983</v>
      </c>
      <c r="D959">
        <v>1037022454355</v>
      </c>
      <c r="E959">
        <v>1</v>
      </c>
      <c r="F959">
        <v>6132763961</v>
      </c>
      <c r="G959">
        <v>1025000</v>
      </c>
      <c r="H959" t="s">
        <v>40293</v>
      </c>
      <c r="I959">
        <v>2869</v>
      </c>
      <c r="J959">
        <v>843</v>
      </c>
      <c r="K959">
        <v>844</v>
      </c>
    </row>
    <row r="960" spans="1:11">
      <c r="A960">
        <v>90</v>
      </c>
      <c r="B960" t="b">
        <v>0</v>
      </c>
      <c r="C960" t="s">
        <v>44718</v>
      </c>
      <c r="D960">
        <v>1037022454355</v>
      </c>
      <c r="E960">
        <v>1</v>
      </c>
      <c r="F960">
        <v>6127559751</v>
      </c>
      <c r="G960">
        <v>1000000</v>
      </c>
      <c r="H960" t="s">
        <v>40293</v>
      </c>
      <c r="I960">
        <v>2869</v>
      </c>
      <c r="J960">
        <v>634</v>
      </c>
      <c r="K960">
        <v>636</v>
      </c>
    </row>
    <row r="961" spans="1:11">
      <c r="A961">
        <v>90</v>
      </c>
      <c r="B961" t="b">
        <v>0</v>
      </c>
      <c r="C961" t="s">
        <v>42897</v>
      </c>
      <c r="D961">
        <v>1037022454355</v>
      </c>
      <c r="E961">
        <v>1</v>
      </c>
      <c r="F961">
        <v>6143042686</v>
      </c>
      <c r="G961">
        <v>774000</v>
      </c>
      <c r="H961" t="s">
        <v>40293</v>
      </c>
      <c r="I961">
        <v>2870</v>
      </c>
      <c r="J961">
        <v>10</v>
      </c>
      <c r="K961">
        <v>10</v>
      </c>
    </row>
    <row r="962" spans="1:11">
      <c r="A962">
        <v>90</v>
      </c>
      <c r="B962" t="b">
        <v>0</v>
      </c>
      <c r="C962" t="s">
        <v>43008</v>
      </c>
      <c r="D962">
        <v>1037022454355</v>
      </c>
      <c r="E962">
        <v>1</v>
      </c>
      <c r="F962">
        <v>6132764746</v>
      </c>
      <c r="G962">
        <v>725000</v>
      </c>
      <c r="H962" t="s">
        <v>40293</v>
      </c>
      <c r="I962">
        <v>2870</v>
      </c>
      <c r="J962">
        <v>7197</v>
      </c>
      <c r="K962">
        <v>7261</v>
      </c>
    </row>
    <row r="963" spans="1:11">
      <c r="A963">
        <v>30</v>
      </c>
      <c r="B963" t="b">
        <v>0</v>
      </c>
      <c r="C963" t="s">
        <v>43220</v>
      </c>
      <c r="D963">
        <v>1037022454355</v>
      </c>
      <c r="E963">
        <v>1</v>
      </c>
      <c r="F963">
        <v>6130313018</v>
      </c>
      <c r="G963">
        <v>724900</v>
      </c>
      <c r="H963" t="s">
        <v>40293</v>
      </c>
      <c r="I963">
        <v>2870</v>
      </c>
      <c r="J963">
        <v>12</v>
      </c>
      <c r="K963">
        <v>20</v>
      </c>
    </row>
    <row r="964" spans="1:11">
      <c r="A964">
        <v>90</v>
      </c>
      <c r="B964" t="b">
        <v>0</v>
      </c>
      <c r="C964" t="s">
        <v>44764</v>
      </c>
      <c r="D964">
        <v>1037022454355</v>
      </c>
      <c r="E964">
        <v>1</v>
      </c>
      <c r="F964">
        <v>6127560205</v>
      </c>
      <c r="G964">
        <v>700000</v>
      </c>
      <c r="H964" t="s">
        <v>40293</v>
      </c>
      <c r="I964">
        <v>2870</v>
      </c>
      <c r="J964">
        <v>521</v>
      </c>
      <c r="K964">
        <v>731</v>
      </c>
    </row>
    <row r="965" spans="1:11">
      <c r="A965">
        <v>30</v>
      </c>
      <c r="B965" t="b">
        <v>0</v>
      </c>
      <c r="C965" t="s">
        <v>45721</v>
      </c>
      <c r="D965">
        <v>1037022454355</v>
      </c>
      <c r="E965">
        <v>1</v>
      </c>
      <c r="F965">
        <v>6154917079</v>
      </c>
      <c r="G965">
        <v>700000</v>
      </c>
      <c r="H965" t="s">
        <v>40293</v>
      </c>
      <c r="I965">
        <v>2870</v>
      </c>
      <c r="J965">
        <v>58</v>
      </c>
      <c r="K965">
        <v>58</v>
      </c>
    </row>
    <row r="966" spans="1:11">
      <c r="A966">
        <v>90</v>
      </c>
      <c r="B966" t="b">
        <v>0</v>
      </c>
      <c r="C966" t="s">
        <v>42979</v>
      </c>
      <c r="D966">
        <v>1037022454355</v>
      </c>
      <c r="E966">
        <v>1</v>
      </c>
      <c r="F966">
        <v>6144298089</v>
      </c>
      <c r="G966">
        <v>1449000</v>
      </c>
      <c r="H966" t="s">
        <v>40293</v>
      </c>
      <c r="I966">
        <v>2872</v>
      </c>
      <c r="J966">
        <v>5</v>
      </c>
      <c r="K966">
        <v>5</v>
      </c>
    </row>
    <row r="967" spans="1:11">
      <c r="A967">
        <v>90</v>
      </c>
      <c r="B967" t="b">
        <v>0</v>
      </c>
      <c r="C967" t="s">
        <v>43739</v>
      </c>
      <c r="D967">
        <v>1037022454355</v>
      </c>
      <c r="E967">
        <v>1</v>
      </c>
      <c r="F967">
        <v>6143042765</v>
      </c>
      <c r="G967">
        <v>1448000</v>
      </c>
      <c r="H967" t="s">
        <v>40293</v>
      </c>
      <c r="I967">
        <v>2872</v>
      </c>
      <c r="J967">
        <v>10</v>
      </c>
      <c r="K967">
        <v>10</v>
      </c>
    </row>
    <row r="968" spans="1:11">
      <c r="A968">
        <v>90</v>
      </c>
      <c r="B968" t="b">
        <v>0</v>
      </c>
      <c r="C968" t="s">
        <v>44297</v>
      </c>
      <c r="D968">
        <v>1037022454355</v>
      </c>
      <c r="E968">
        <v>1</v>
      </c>
      <c r="F968">
        <v>6132764231</v>
      </c>
      <c r="G968">
        <v>1300000</v>
      </c>
      <c r="H968" t="s">
        <v>40293</v>
      </c>
      <c r="I968">
        <v>2872</v>
      </c>
      <c r="J968">
        <v>6638</v>
      </c>
      <c r="K968">
        <v>7018</v>
      </c>
    </row>
    <row r="969" spans="1:11">
      <c r="A969">
        <v>90</v>
      </c>
      <c r="B969" t="b">
        <v>0</v>
      </c>
      <c r="C969" t="s">
        <v>41660</v>
      </c>
      <c r="D969">
        <v>1037022454355</v>
      </c>
      <c r="E969">
        <v>1</v>
      </c>
      <c r="F969">
        <v>6106117704</v>
      </c>
      <c r="G969">
        <v>419000</v>
      </c>
      <c r="H969" t="s">
        <v>40293</v>
      </c>
      <c r="I969">
        <v>2873</v>
      </c>
      <c r="J969">
        <v>17</v>
      </c>
      <c r="K969">
        <v>25</v>
      </c>
    </row>
    <row r="970" spans="1:11">
      <c r="A970">
        <v>90</v>
      </c>
      <c r="B970" t="b">
        <v>0</v>
      </c>
      <c r="C970" t="s">
        <v>40605</v>
      </c>
      <c r="D970">
        <v>1037022454355</v>
      </c>
      <c r="E970">
        <v>1</v>
      </c>
      <c r="F970">
        <v>6067854217</v>
      </c>
      <c r="G970">
        <v>418900</v>
      </c>
      <c r="H970" t="s">
        <v>40293</v>
      </c>
      <c r="I970">
        <v>2873</v>
      </c>
      <c r="J970">
        <v>72</v>
      </c>
      <c r="K970">
        <v>133</v>
      </c>
    </row>
    <row r="971" spans="1:11">
      <c r="A971">
        <v>90</v>
      </c>
      <c r="B971" t="b">
        <v>0</v>
      </c>
      <c r="C971" t="s">
        <v>41196</v>
      </c>
      <c r="D971">
        <v>1037022454355</v>
      </c>
      <c r="E971">
        <v>1</v>
      </c>
      <c r="F971">
        <v>6122917467</v>
      </c>
      <c r="G971">
        <v>418800</v>
      </c>
      <c r="H971" t="s">
        <v>40293</v>
      </c>
      <c r="I971">
        <v>2873</v>
      </c>
      <c r="J971">
        <v>6</v>
      </c>
      <c r="K971">
        <v>6</v>
      </c>
    </row>
    <row r="972" spans="1:11">
      <c r="A972">
        <v>90</v>
      </c>
      <c r="B972" t="b">
        <v>0</v>
      </c>
      <c r="C972" t="s">
        <v>41548</v>
      </c>
      <c r="D972">
        <v>1037022454355</v>
      </c>
      <c r="E972">
        <v>1</v>
      </c>
      <c r="F972">
        <v>6106868871</v>
      </c>
      <c r="G972">
        <v>417000</v>
      </c>
      <c r="H972" t="s">
        <v>40293</v>
      </c>
      <c r="I972">
        <v>2873</v>
      </c>
      <c r="J972">
        <v>58</v>
      </c>
      <c r="K972">
        <v>150</v>
      </c>
    </row>
    <row r="973" spans="1:11">
      <c r="A973">
        <v>90</v>
      </c>
      <c r="B973" t="b">
        <v>0</v>
      </c>
      <c r="C973" t="s">
        <v>43637</v>
      </c>
      <c r="D973">
        <v>1037022454355</v>
      </c>
      <c r="E973">
        <v>1</v>
      </c>
      <c r="F973">
        <v>6130456107</v>
      </c>
      <c r="G973">
        <v>1488000</v>
      </c>
      <c r="H973" t="s">
        <v>40293</v>
      </c>
      <c r="I973">
        <v>2875</v>
      </c>
      <c r="J973">
        <v>33</v>
      </c>
      <c r="K973">
        <v>142</v>
      </c>
    </row>
    <row r="974" spans="1:11">
      <c r="A974">
        <v>30</v>
      </c>
      <c r="B974" t="b">
        <v>0</v>
      </c>
      <c r="C974" t="s">
        <v>43268</v>
      </c>
      <c r="D974">
        <v>1037022454355</v>
      </c>
      <c r="E974">
        <v>1</v>
      </c>
      <c r="F974">
        <v>6130314008</v>
      </c>
      <c r="G974">
        <v>1487000</v>
      </c>
      <c r="H974" t="s">
        <v>40293</v>
      </c>
      <c r="I974">
        <v>2875</v>
      </c>
      <c r="J974">
        <v>20</v>
      </c>
      <c r="K974">
        <v>20</v>
      </c>
    </row>
    <row r="975" spans="1:11">
      <c r="A975">
        <v>90</v>
      </c>
      <c r="B975" t="b">
        <v>0</v>
      </c>
      <c r="C975" t="s">
        <v>44628</v>
      </c>
      <c r="D975">
        <v>1037022454355</v>
      </c>
      <c r="E975">
        <v>1</v>
      </c>
      <c r="F975">
        <v>6127558755</v>
      </c>
      <c r="G975">
        <v>1450000</v>
      </c>
      <c r="H975" t="s">
        <v>40293</v>
      </c>
      <c r="I975">
        <v>2875</v>
      </c>
      <c r="J975">
        <v>625</v>
      </c>
      <c r="K975">
        <v>638</v>
      </c>
    </row>
    <row r="976" spans="1:11">
      <c r="A976">
        <v>90</v>
      </c>
      <c r="B976" t="b">
        <v>0</v>
      </c>
      <c r="C976" t="s">
        <v>44827</v>
      </c>
      <c r="D976">
        <v>1037022454355</v>
      </c>
      <c r="E976">
        <v>1</v>
      </c>
      <c r="F976">
        <v>6107638113</v>
      </c>
      <c r="G976">
        <v>1449000</v>
      </c>
      <c r="H976" t="s">
        <v>40293</v>
      </c>
      <c r="I976">
        <v>2875</v>
      </c>
      <c r="J976">
        <v>33</v>
      </c>
      <c r="K976">
        <v>200</v>
      </c>
    </row>
    <row r="977" spans="1:11">
      <c r="A977">
        <v>90</v>
      </c>
      <c r="B977" t="b">
        <v>0</v>
      </c>
      <c r="C977" t="s">
        <v>46332</v>
      </c>
      <c r="D977">
        <v>1037022454355</v>
      </c>
      <c r="E977">
        <v>1</v>
      </c>
      <c r="F977">
        <v>6138950746</v>
      </c>
      <c r="G977">
        <v>1449000</v>
      </c>
      <c r="H977" t="s">
        <v>40293</v>
      </c>
      <c r="I977">
        <v>2875</v>
      </c>
      <c r="J977">
        <v>23</v>
      </c>
      <c r="K977">
        <v>23</v>
      </c>
    </row>
    <row r="978" spans="1:11">
      <c r="A978">
        <v>90</v>
      </c>
      <c r="B978" t="b">
        <v>0</v>
      </c>
      <c r="C978" t="s">
        <v>43747</v>
      </c>
      <c r="D978">
        <v>1037022454355</v>
      </c>
      <c r="E978">
        <v>1</v>
      </c>
      <c r="F978">
        <v>6143042878</v>
      </c>
      <c r="G978">
        <v>1645000</v>
      </c>
      <c r="H978" t="s">
        <v>40293</v>
      </c>
      <c r="I978">
        <v>2876</v>
      </c>
      <c r="J978">
        <v>10</v>
      </c>
      <c r="K978">
        <v>10</v>
      </c>
    </row>
    <row r="979" spans="1:11">
      <c r="A979">
        <v>30</v>
      </c>
      <c r="B979" t="b">
        <v>0</v>
      </c>
      <c r="C979" t="s">
        <v>43278</v>
      </c>
      <c r="D979">
        <v>1037022454355</v>
      </c>
      <c r="E979">
        <v>1</v>
      </c>
      <c r="F979">
        <v>6130314304</v>
      </c>
      <c r="G979">
        <v>1549000</v>
      </c>
      <c r="H979" t="s">
        <v>40293</v>
      </c>
      <c r="I979">
        <v>2876</v>
      </c>
      <c r="J979">
        <v>4</v>
      </c>
      <c r="K979">
        <v>20</v>
      </c>
    </row>
    <row r="980" spans="1:11">
      <c r="A980">
        <v>90</v>
      </c>
      <c r="B980" t="b">
        <v>0</v>
      </c>
      <c r="C980" t="s">
        <v>44358</v>
      </c>
      <c r="D980">
        <v>1037022454355</v>
      </c>
      <c r="E980">
        <v>1</v>
      </c>
      <c r="F980">
        <v>6132765050</v>
      </c>
      <c r="G980">
        <v>1500000</v>
      </c>
      <c r="H980" t="s">
        <v>40293</v>
      </c>
      <c r="I980">
        <v>2876</v>
      </c>
      <c r="J980">
        <v>3929</v>
      </c>
      <c r="K980">
        <v>4005</v>
      </c>
    </row>
    <row r="981" spans="1:11">
      <c r="A981">
        <v>90</v>
      </c>
      <c r="B981" t="b">
        <v>0</v>
      </c>
      <c r="C981" t="s">
        <v>44808</v>
      </c>
      <c r="D981">
        <v>1037022454355</v>
      </c>
      <c r="E981">
        <v>1</v>
      </c>
      <c r="F981">
        <v>6067857434</v>
      </c>
      <c r="G981">
        <v>1499000</v>
      </c>
      <c r="H981" t="s">
        <v>40293</v>
      </c>
      <c r="I981">
        <v>2876</v>
      </c>
      <c r="J981">
        <v>199</v>
      </c>
      <c r="K981">
        <v>400</v>
      </c>
    </row>
    <row r="982" spans="1:11">
      <c r="A982">
        <v>90</v>
      </c>
      <c r="B982" t="b">
        <v>0</v>
      </c>
      <c r="C982" t="s">
        <v>42740</v>
      </c>
      <c r="D982">
        <v>1037022454355</v>
      </c>
      <c r="E982">
        <v>1</v>
      </c>
      <c r="F982">
        <v>6134654019</v>
      </c>
      <c r="G982">
        <v>974800</v>
      </c>
      <c r="H982" t="s">
        <v>40293</v>
      </c>
      <c r="I982">
        <v>2881</v>
      </c>
      <c r="J982">
        <v>21</v>
      </c>
      <c r="K982">
        <v>40</v>
      </c>
    </row>
    <row r="983" spans="1:11">
      <c r="A983">
        <v>90</v>
      </c>
      <c r="B983" t="b">
        <v>0</v>
      </c>
      <c r="C983" t="s">
        <v>41749</v>
      </c>
      <c r="D983">
        <v>1037022454355</v>
      </c>
      <c r="E983">
        <v>1</v>
      </c>
      <c r="F983">
        <v>6069386907</v>
      </c>
      <c r="G983">
        <v>1125000</v>
      </c>
      <c r="H983" t="s">
        <v>40293</v>
      </c>
      <c r="I983">
        <v>2889</v>
      </c>
      <c r="J983">
        <v>60</v>
      </c>
      <c r="K983">
        <v>100</v>
      </c>
    </row>
    <row r="984" spans="1:11">
      <c r="A984">
        <v>90</v>
      </c>
      <c r="B984" t="b">
        <v>0</v>
      </c>
      <c r="C984" t="s">
        <v>45446</v>
      </c>
      <c r="D984">
        <v>1037022454355</v>
      </c>
      <c r="E984">
        <v>1</v>
      </c>
      <c r="F984">
        <v>6150342809</v>
      </c>
      <c r="G984">
        <v>1122000</v>
      </c>
      <c r="H984" t="s">
        <v>40293</v>
      </c>
      <c r="I984">
        <v>2889</v>
      </c>
      <c r="J984">
        <v>4</v>
      </c>
      <c r="K984">
        <v>4</v>
      </c>
    </row>
    <row r="985" spans="1:11">
      <c r="A985">
        <v>90</v>
      </c>
      <c r="B985" t="b">
        <v>0</v>
      </c>
      <c r="C985" t="s">
        <v>44647</v>
      </c>
      <c r="D985">
        <v>1037022454355</v>
      </c>
      <c r="E985">
        <v>1</v>
      </c>
      <c r="F985">
        <v>6138634480</v>
      </c>
      <c r="G985">
        <v>1120000</v>
      </c>
      <c r="H985" t="s">
        <v>40293</v>
      </c>
      <c r="I985">
        <v>2889</v>
      </c>
      <c r="J985">
        <v>47</v>
      </c>
      <c r="K985">
        <v>116</v>
      </c>
    </row>
    <row r="986" spans="1:11">
      <c r="A986">
        <v>90</v>
      </c>
      <c r="B986" t="b">
        <v>0</v>
      </c>
      <c r="C986" t="s">
        <v>44105</v>
      </c>
      <c r="D986">
        <v>1037022454355</v>
      </c>
      <c r="E986">
        <v>1</v>
      </c>
      <c r="F986">
        <v>6130533247</v>
      </c>
      <c r="G986">
        <v>1119000</v>
      </c>
      <c r="H986" t="s">
        <v>40293</v>
      </c>
      <c r="I986">
        <v>2889</v>
      </c>
      <c r="J986">
        <v>98</v>
      </c>
      <c r="K986">
        <v>140</v>
      </c>
    </row>
    <row r="987" spans="1:11">
      <c r="A987">
        <v>90</v>
      </c>
      <c r="B987" t="b">
        <v>0</v>
      </c>
      <c r="C987" t="s">
        <v>41057</v>
      </c>
      <c r="D987">
        <v>1037022454355</v>
      </c>
      <c r="E987">
        <v>1</v>
      </c>
      <c r="F987">
        <v>6119932793</v>
      </c>
      <c r="G987">
        <v>3529000</v>
      </c>
      <c r="H987" t="s">
        <v>40293</v>
      </c>
      <c r="I987">
        <v>2897</v>
      </c>
      <c r="J987">
        <v>5</v>
      </c>
      <c r="K987">
        <v>10</v>
      </c>
    </row>
    <row r="988" spans="1:11">
      <c r="A988">
        <v>90</v>
      </c>
      <c r="B988" t="b">
        <v>0</v>
      </c>
      <c r="C988" t="s">
        <v>41176</v>
      </c>
      <c r="D988">
        <v>1037022454355</v>
      </c>
      <c r="E988">
        <v>1</v>
      </c>
      <c r="F988">
        <v>6122917022</v>
      </c>
      <c r="G988">
        <v>3527000</v>
      </c>
      <c r="H988" t="s">
        <v>40293</v>
      </c>
      <c r="I988">
        <v>2897</v>
      </c>
      <c r="J988">
        <v>6</v>
      </c>
      <c r="K988">
        <v>6</v>
      </c>
    </row>
    <row r="989" spans="1:11">
      <c r="A989">
        <v>90</v>
      </c>
      <c r="B989" t="b">
        <v>0</v>
      </c>
      <c r="C989" t="s">
        <v>41394</v>
      </c>
      <c r="D989">
        <v>1037022454355</v>
      </c>
      <c r="E989">
        <v>1</v>
      </c>
      <c r="F989">
        <v>6123985779</v>
      </c>
      <c r="G989">
        <v>3518000</v>
      </c>
      <c r="H989" t="s">
        <v>40293</v>
      </c>
      <c r="I989">
        <v>2897</v>
      </c>
      <c r="J989">
        <v>12</v>
      </c>
      <c r="K989">
        <v>12</v>
      </c>
    </row>
    <row r="990" spans="1:11">
      <c r="A990">
        <v>90</v>
      </c>
      <c r="B990" t="b">
        <v>0</v>
      </c>
      <c r="C990" t="s">
        <v>42119</v>
      </c>
      <c r="D990">
        <v>1037022454355</v>
      </c>
      <c r="E990">
        <v>1</v>
      </c>
      <c r="F990">
        <v>6105479381</v>
      </c>
      <c r="G990">
        <v>3515000</v>
      </c>
      <c r="H990" t="s">
        <v>40293</v>
      </c>
      <c r="I990">
        <v>2897</v>
      </c>
      <c r="J990">
        <v>7</v>
      </c>
      <c r="K990">
        <v>20</v>
      </c>
    </row>
    <row r="991" spans="1:11">
      <c r="A991">
        <v>90</v>
      </c>
      <c r="B991" t="b">
        <v>0</v>
      </c>
      <c r="C991" t="s">
        <v>42710</v>
      </c>
      <c r="D991">
        <v>1037022454355</v>
      </c>
      <c r="E991">
        <v>1</v>
      </c>
      <c r="F991">
        <v>6132981591</v>
      </c>
      <c r="G991">
        <v>3513000</v>
      </c>
      <c r="H991" t="s">
        <v>40293</v>
      </c>
      <c r="I991">
        <v>2897</v>
      </c>
      <c r="J991">
        <v>3</v>
      </c>
      <c r="K991">
        <v>3</v>
      </c>
    </row>
    <row r="992" spans="1:11">
      <c r="A992">
        <v>90</v>
      </c>
      <c r="B992" t="b">
        <v>0</v>
      </c>
      <c r="C992" t="s">
        <v>42422</v>
      </c>
      <c r="D992">
        <v>1037022454355</v>
      </c>
      <c r="E992">
        <v>1</v>
      </c>
      <c r="F992">
        <v>6099837624</v>
      </c>
      <c r="G992">
        <v>3240000</v>
      </c>
      <c r="H992" t="s">
        <v>40293</v>
      </c>
      <c r="I992">
        <v>2897</v>
      </c>
      <c r="J992">
        <v>20</v>
      </c>
      <c r="K992">
        <v>20</v>
      </c>
    </row>
    <row r="993" spans="1:11">
      <c r="A993">
        <v>90</v>
      </c>
      <c r="B993" t="b">
        <v>0</v>
      </c>
      <c r="C993" t="s">
        <v>43812</v>
      </c>
      <c r="D993">
        <v>1037022454355</v>
      </c>
      <c r="E993">
        <v>1</v>
      </c>
      <c r="F993">
        <v>6114503957</v>
      </c>
      <c r="G993">
        <v>3238000</v>
      </c>
      <c r="H993" t="s">
        <v>40293</v>
      </c>
      <c r="I993">
        <v>2897</v>
      </c>
      <c r="J993">
        <v>173</v>
      </c>
      <c r="K993">
        <v>280</v>
      </c>
    </row>
    <row r="994" spans="1:11">
      <c r="A994">
        <v>90</v>
      </c>
      <c r="B994" t="b">
        <v>0</v>
      </c>
      <c r="C994" t="s">
        <v>43555</v>
      </c>
      <c r="D994">
        <v>1037022454355</v>
      </c>
      <c r="E994">
        <v>1</v>
      </c>
      <c r="F994">
        <v>6145654386</v>
      </c>
      <c r="G994">
        <v>3227000</v>
      </c>
      <c r="H994" t="s">
        <v>40293</v>
      </c>
      <c r="I994">
        <v>2897</v>
      </c>
      <c r="J994">
        <v>22</v>
      </c>
      <c r="K994">
        <v>25</v>
      </c>
    </row>
    <row r="995" spans="1:11">
      <c r="A995">
        <v>90</v>
      </c>
      <c r="B995" t="b">
        <v>0</v>
      </c>
      <c r="C995" t="s">
        <v>43635</v>
      </c>
      <c r="D995">
        <v>1037022454355</v>
      </c>
      <c r="E995">
        <v>1</v>
      </c>
      <c r="F995">
        <v>6146217451</v>
      </c>
      <c r="G995">
        <v>3226000</v>
      </c>
      <c r="H995" t="s">
        <v>40293</v>
      </c>
      <c r="I995">
        <v>2897</v>
      </c>
      <c r="J995">
        <v>3</v>
      </c>
      <c r="K995">
        <v>20</v>
      </c>
    </row>
    <row r="996" spans="1:11">
      <c r="A996">
        <v>90</v>
      </c>
      <c r="B996" t="b">
        <v>0</v>
      </c>
      <c r="C996" t="s">
        <v>44960</v>
      </c>
      <c r="D996">
        <v>1037022454355</v>
      </c>
      <c r="E996">
        <v>1</v>
      </c>
      <c r="F996">
        <v>6156693495</v>
      </c>
      <c r="G996">
        <v>3225000</v>
      </c>
      <c r="H996" t="s">
        <v>40293</v>
      </c>
      <c r="I996">
        <v>2897</v>
      </c>
      <c r="J996">
        <v>7</v>
      </c>
      <c r="K996">
        <v>7</v>
      </c>
    </row>
    <row r="997" spans="1:11">
      <c r="A997">
        <v>90</v>
      </c>
      <c r="B997" t="b">
        <v>0</v>
      </c>
      <c r="C997" t="s">
        <v>45809</v>
      </c>
      <c r="D997">
        <v>1037022454355</v>
      </c>
      <c r="E997">
        <v>1</v>
      </c>
      <c r="F997">
        <v>6155917823</v>
      </c>
      <c r="G997">
        <v>3225000</v>
      </c>
      <c r="H997" t="s">
        <v>40293</v>
      </c>
      <c r="I997">
        <v>2897</v>
      </c>
      <c r="J997">
        <v>1</v>
      </c>
      <c r="K997">
        <v>1</v>
      </c>
    </row>
    <row r="998" spans="1:11">
      <c r="A998">
        <v>90</v>
      </c>
      <c r="B998" t="b">
        <v>0</v>
      </c>
      <c r="C998" t="s">
        <v>41733</v>
      </c>
      <c r="D998">
        <v>1037022454355</v>
      </c>
      <c r="E998">
        <v>1</v>
      </c>
      <c r="F998">
        <v>6083378463</v>
      </c>
      <c r="G998">
        <v>1607000</v>
      </c>
      <c r="H998" t="s">
        <v>40293</v>
      </c>
      <c r="I998">
        <v>2905</v>
      </c>
      <c r="J998">
        <v>13</v>
      </c>
      <c r="K998">
        <v>19</v>
      </c>
    </row>
    <row r="999" spans="1:11">
      <c r="A999">
        <v>90</v>
      </c>
      <c r="B999" t="b">
        <v>0</v>
      </c>
      <c r="C999" t="s">
        <v>42002</v>
      </c>
      <c r="D999">
        <v>1037022454355</v>
      </c>
      <c r="E999">
        <v>1</v>
      </c>
      <c r="F999">
        <v>6071878398</v>
      </c>
      <c r="G999">
        <v>1605000</v>
      </c>
      <c r="H999" t="s">
        <v>40293</v>
      </c>
      <c r="I999">
        <v>2905</v>
      </c>
      <c r="J999">
        <v>2</v>
      </c>
      <c r="K999">
        <v>2</v>
      </c>
    </row>
    <row r="1000" spans="1:11">
      <c r="A1000">
        <v>90</v>
      </c>
      <c r="B1000" t="b">
        <v>0</v>
      </c>
      <c r="C1000" t="s">
        <v>42749</v>
      </c>
      <c r="D1000">
        <v>1037022454355</v>
      </c>
      <c r="E1000">
        <v>1</v>
      </c>
      <c r="F1000">
        <v>6072624680</v>
      </c>
      <c r="G1000">
        <v>1603000</v>
      </c>
      <c r="H1000" t="s">
        <v>40293</v>
      </c>
      <c r="I1000">
        <v>2905</v>
      </c>
      <c r="J1000">
        <v>52</v>
      </c>
      <c r="K1000">
        <v>100</v>
      </c>
    </row>
    <row r="1001" spans="1:11">
      <c r="A1001">
        <v>90</v>
      </c>
      <c r="B1001" t="b">
        <v>0</v>
      </c>
      <c r="C1001" t="s">
        <v>42412</v>
      </c>
      <c r="D1001">
        <v>1037022454355</v>
      </c>
      <c r="E1001">
        <v>1</v>
      </c>
      <c r="F1001">
        <v>6073360406</v>
      </c>
      <c r="G1001">
        <v>1602000</v>
      </c>
      <c r="H1001" t="s">
        <v>40293</v>
      </c>
      <c r="I1001">
        <v>2905</v>
      </c>
      <c r="J1001">
        <v>14</v>
      </c>
      <c r="K1001">
        <v>25</v>
      </c>
    </row>
    <row r="1002" spans="1:11">
      <c r="A1002">
        <v>90</v>
      </c>
      <c r="B1002" t="b">
        <v>0</v>
      </c>
      <c r="C1002" t="s">
        <v>43132</v>
      </c>
      <c r="D1002">
        <v>1037022454355</v>
      </c>
      <c r="E1002">
        <v>1</v>
      </c>
      <c r="F1002">
        <v>6138305701</v>
      </c>
      <c r="G1002">
        <v>1500000</v>
      </c>
      <c r="H1002" t="s">
        <v>40293</v>
      </c>
      <c r="I1002">
        <v>2905</v>
      </c>
      <c r="J1002">
        <v>11</v>
      </c>
      <c r="K1002">
        <v>17</v>
      </c>
    </row>
    <row r="1003" spans="1:11">
      <c r="A1003">
        <v>90</v>
      </c>
      <c r="B1003" t="b">
        <v>0</v>
      </c>
      <c r="C1003" t="s">
        <v>44110</v>
      </c>
      <c r="D1003">
        <v>1037022454355</v>
      </c>
      <c r="E1003">
        <v>1</v>
      </c>
      <c r="F1003">
        <v>6153414982</v>
      </c>
      <c r="G1003">
        <v>1498000</v>
      </c>
      <c r="H1003" t="s">
        <v>40293</v>
      </c>
      <c r="I1003">
        <v>2905</v>
      </c>
      <c r="J1003">
        <v>7</v>
      </c>
      <c r="K1003">
        <v>8</v>
      </c>
    </row>
    <row r="1004" spans="1:11">
      <c r="A1004">
        <v>90</v>
      </c>
      <c r="B1004" t="b">
        <v>0</v>
      </c>
      <c r="C1004" t="s">
        <v>44979</v>
      </c>
      <c r="D1004">
        <v>1037022454355</v>
      </c>
      <c r="E1004">
        <v>1</v>
      </c>
      <c r="F1004">
        <v>6156693658</v>
      </c>
      <c r="G1004">
        <v>1497000</v>
      </c>
      <c r="H1004" t="s">
        <v>40293</v>
      </c>
      <c r="I1004">
        <v>2905</v>
      </c>
      <c r="J1004">
        <v>2</v>
      </c>
      <c r="K1004">
        <v>2</v>
      </c>
    </row>
    <row r="1005" spans="1:11">
      <c r="A1005">
        <v>90</v>
      </c>
      <c r="B1005" t="b">
        <v>0</v>
      </c>
      <c r="C1005" t="s">
        <v>43061</v>
      </c>
      <c r="D1005">
        <v>1037022454355</v>
      </c>
      <c r="E1005">
        <v>1</v>
      </c>
      <c r="F1005">
        <v>6143153547</v>
      </c>
      <c r="G1005">
        <v>3600000</v>
      </c>
      <c r="H1005" t="s">
        <v>40293</v>
      </c>
      <c r="I1005">
        <v>2913</v>
      </c>
      <c r="J1005">
        <v>5</v>
      </c>
      <c r="K1005">
        <v>5</v>
      </c>
    </row>
    <row r="1006" spans="1:11">
      <c r="A1006">
        <v>90</v>
      </c>
      <c r="B1006" t="b">
        <v>0</v>
      </c>
      <c r="C1006" t="s">
        <v>42732</v>
      </c>
      <c r="D1006">
        <v>1037022454355</v>
      </c>
      <c r="E1006">
        <v>1</v>
      </c>
      <c r="F1006">
        <v>6108537475</v>
      </c>
      <c r="G1006">
        <v>3499000</v>
      </c>
      <c r="H1006" t="s">
        <v>40293</v>
      </c>
      <c r="I1006">
        <v>2913</v>
      </c>
      <c r="J1006">
        <v>2</v>
      </c>
      <c r="K1006">
        <v>75</v>
      </c>
    </row>
    <row r="1007" spans="1:11">
      <c r="A1007">
        <v>90</v>
      </c>
      <c r="B1007" t="b">
        <v>0</v>
      </c>
      <c r="C1007" t="s">
        <v>43967</v>
      </c>
      <c r="D1007">
        <v>1037022454355</v>
      </c>
      <c r="E1007">
        <v>1</v>
      </c>
      <c r="F1007">
        <v>6138265185</v>
      </c>
      <c r="G1007">
        <v>3400000</v>
      </c>
      <c r="H1007" t="s">
        <v>40293</v>
      </c>
      <c r="I1007">
        <v>2913</v>
      </c>
      <c r="J1007">
        <v>9</v>
      </c>
      <c r="K1007">
        <v>17</v>
      </c>
    </row>
    <row r="1008" spans="1:11">
      <c r="A1008">
        <v>90</v>
      </c>
      <c r="B1008" t="b">
        <v>0</v>
      </c>
      <c r="C1008" t="s">
        <v>43597</v>
      </c>
      <c r="D1008">
        <v>1037022454355</v>
      </c>
      <c r="E1008">
        <v>1</v>
      </c>
      <c r="F1008">
        <v>6139318235</v>
      </c>
      <c r="G1008">
        <v>3375000</v>
      </c>
      <c r="H1008" t="s">
        <v>40293</v>
      </c>
      <c r="I1008">
        <v>2913</v>
      </c>
      <c r="J1008">
        <v>10</v>
      </c>
      <c r="K1008">
        <v>10</v>
      </c>
    </row>
    <row r="1009" spans="1:11">
      <c r="A1009">
        <v>90</v>
      </c>
      <c r="B1009" t="b">
        <v>0</v>
      </c>
      <c r="C1009" t="s">
        <v>43000</v>
      </c>
      <c r="D1009">
        <v>1037022454355</v>
      </c>
      <c r="E1009">
        <v>1</v>
      </c>
      <c r="F1009">
        <v>6140006276</v>
      </c>
      <c r="G1009">
        <v>3371000</v>
      </c>
      <c r="H1009" t="s">
        <v>40293</v>
      </c>
      <c r="I1009">
        <v>2913</v>
      </c>
      <c r="J1009">
        <v>13</v>
      </c>
      <c r="K1009">
        <v>23</v>
      </c>
    </row>
    <row r="1010" spans="1:11">
      <c r="A1010">
        <v>90</v>
      </c>
      <c r="B1010" t="b">
        <v>0</v>
      </c>
      <c r="C1010" t="s">
        <v>44942</v>
      </c>
      <c r="D1010">
        <v>1037022454355</v>
      </c>
      <c r="E1010">
        <v>1</v>
      </c>
      <c r="F1010">
        <v>6156693266</v>
      </c>
      <c r="G1010">
        <v>3370000</v>
      </c>
      <c r="H1010" t="s">
        <v>40293</v>
      </c>
      <c r="I1010">
        <v>2913</v>
      </c>
      <c r="J1010">
        <v>8</v>
      </c>
      <c r="K1010">
        <v>13</v>
      </c>
    </row>
    <row r="1011" spans="1:11">
      <c r="A1011">
        <v>90</v>
      </c>
      <c r="B1011" t="b">
        <v>0</v>
      </c>
      <c r="C1011" t="s">
        <v>42592</v>
      </c>
      <c r="D1011">
        <v>1037022454355</v>
      </c>
      <c r="E1011">
        <v>1</v>
      </c>
      <c r="F1011">
        <v>6134384097</v>
      </c>
      <c r="G1011">
        <v>3400000</v>
      </c>
      <c r="H1011" t="s">
        <v>40293</v>
      </c>
      <c r="I1011">
        <v>2921</v>
      </c>
      <c r="J1011">
        <v>16</v>
      </c>
      <c r="K1011">
        <v>20</v>
      </c>
    </row>
    <row r="1012" spans="1:11">
      <c r="A1012">
        <v>90</v>
      </c>
      <c r="B1012" t="b">
        <v>0</v>
      </c>
      <c r="C1012" t="s">
        <v>40691</v>
      </c>
      <c r="D1012">
        <v>1037022454355</v>
      </c>
      <c r="E1012">
        <v>1</v>
      </c>
      <c r="F1012">
        <v>6088598128</v>
      </c>
      <c r="G1012">
        <v>8143000</v>
      </c>
      <c r="H1012" t="s">
        <v>40293</v>
      </c>
      <c r="I1012">
        <v>2929</v>
      </c>
      <c r="J1012">
        <v>9</v>
      </c>
      <c r="K1012">
        <v>15</v>
      </c>
    </row>
    <row r="1013" spans="1:11">
      <c r="A1013">
        <v>90</v>
      </c>
      <c r="B1013" t="b">
        <v>0</v>
      </c>
      <c r="C1013" t="s">
        <v>40783</v>
      </c>
      <c r="D1013">
        <v>1037022454355</v>
      </c>
      <c r="E1013">
        <v>1</v>
      </c>
      <c r="F1013">
        <v>6067890911</v>
      </c>
      <c r="G1013">
        <v>8140000</v>
      </c>
      <c r="H1013" t="s">
        <v>40293</v>
      </c>
      <c r="I1013">
        <v>2929</v>
      </c>
      <c r="J1013">
        <v>9</v>
      </c>
      <c r="K1013">
        <v>14</v>
      </c>
    </row>
    <row r="1014" spans="1:11">
      <c r="A1014">
        <v>90</v>
      </c>
      <c r="B1014" t="b">
        <v>0</v>
      </c>
      <c r="C1014" t="s">
        <v>41322</v>
      </c>
      <c r="D1014">
        <v>1037022454355</v>
      </c>
      <c r="E1014">
        <v>1</v>
      </c>
      <c r="F1014">
        <v>6077797983</v>
      </c>
      <c r="G1014">
        <v>8093000</v>
      </c>
      <c r="H1014" t="s">
        <v>40293</v>
      </c>
      <c r="I1014">
        <v>2929</v>
      </c>
      <c r="J1014">
        <v>6</v>
      </c>
      <c r="K1014">
        <v>6</v>
      </c>
    </row>
    <row r="1015" spans="1:11">
      <c r="A1015">
        <v>90</v>
      </c>
      <c r="B1015" t="b">
        <v>0</v>
      </c>
      <c r="C1015" t="s">
        <v>42486</v>
      </c>
      <c r="D1015">
        <v>1037022454355</v>
      </c>
      <c r="E1015">
        <v>1</v>
      </c>
      <c r="F1015">
        <v>6132216097</v>
      </c>
      <c r="G1015">
        <v>8053000</v>
      </c>
      <c r="H1015" t="s">
        <v>40293</v>
      </c>
      <c r="I1015">
        <v>2929</v>
      </c>
      <c r="J1015">
        <v>9</v>
      </c>
      <c r="K1015">
        <v>9</v>
      </c>
    </row>
    <row r="1016" spans="1:11">
      <c r="A1016">
        <v>90</v>
      </c>
      <c r="B1016" t="b">
        <v>0</v>
      </c>
      <c r="C1016" t="s">
        <v>43673</v>
      </c>
      <c r="D1016">
        <v>1037022454355</v>
      </c>
      <c r="E1016">
        <v>1</v>
      </c>
      <c r="F1016">
        <v>6138256391</v>
      </c>
      <c r="G1016">
        <v>7900000</v>
      </c>
      <c r="H1016" t="s">
        <v>40293</v>
      </c>
      <c r="I1016">
        <v>2929</v>
      </c>
      <c r="J1016">
        <v>6</v>
      </c>
      <c r="K1016">
        <v>9</v>
      </c>
    </row>
    <row r="1017" spans="1:11">
      <c r="A1017">
        <v>90</v>
      </c>
      <c r="B1017" t="b">
        <v>0</v>
      </c>
      <c r="C1017" t="s">
        <v>42955</v>
      </c>
      <c r="D1017">
        <v>1037022454355</v>
      </c>
      <c r="E1017">
        <v>1</v>
      </c>
      <c r="F1017">
        <v>6147049330</v>
      </c>
      <c r="G1017">
        <v>7899000</v>
      </c>
      <c r="H1017" t="s">
        <v>40293</v>
      </c>
      <c r="I1017">
        <v>2929</v>
      </c>
      <c r="J1017">
        <v>14</v>
      </c>
      <c r="K1017">
        <v>25</v>
      </c>
    </row>
    <row r="1018" spans="1:11">
      <c r="A1018">
        <v>90</v>
      </c>
      <c r="B1018" t="b">
        <v>0</v>
      </c>
      <c r="C1018" t="s">
        <v>45607</v>
      </c>
      <c r="D1018">
        <v>1037022454355</v>
      </c>
      <c r="E1018">
        <v>1</v>
      </c>
      <c r="F1018">
        <v>6120132702</v>
      </c>
      <c r="G1018">
        <v>7800000</v>
      </c>
      <c r="H1018" t="s">
        <v>40293</v>
      </c>
      <c r="I1018">
        <v>2929</v>
      </c>
      <c r="J1018">
        <v>5</v>
      </c>
      <c r="K1018">
        <v>5</v>
      </c>
    </row>
    <row r="1019" spans="1:11">
      <c r="A1019">
        <v>90</v>
      </c>
      <c r="B1019" t="b">
        <v>0</v>
      </c>
      <c r="C1019" t="s">
        <v>40794</v>
      </c>
      <c r="D1019">
        <v>1037022454355</v>
      </c>
      <c r="E1019">
        <v>1</v>
      </c>
      <c r="F1019">
        <v>6122462379</v>
      </c>
      <c r="G1019">
        <v>5000000</v>
      </c>
      <c r="H1019" t="s">
        <v>40293</v>
      </c>
      <c r="I1019">
        <v>2937</v>
      </c>
      <c r="J1019">
        <v>1</v>
      </c>
      <c r="K1019">
        <v>1</v>
      </c>
    </row>
    <row r="1020" spans="1:11">
      <c r="A1020">
        <v>90</v>
      </c>
      <c r="B1020" t="b">
        <v>0</v>
      </c>
      <c r="C1020" t="s">
        <v>43295</v>
      </c>
      <c r="D1020">
        <v>1037022454355</v>
      </c>
      <c r="E1020">
        <v>1</v>
      </c>
      <c r="F1020">
        <v>6145617385</v>
      </c>
      <c r="G1020">
        <v>2800000</v>
      </c>
      <c r="H1020" t="s">
        <v>40293</v>
      </c>
      <c r="I1020">
        <v>2937</v>
      </c>
      <c r="J1020">
        <v>24</v>
      </c>
      <c r="K1020">
        <v>50</v>
      </c>
    </row>
    <row r="1021" spans="1:11">
      <c r="A1021">
        <v>90</v>
      </c>
      <c r="B1021" t="b">
        <v>0</v>
      </c>
      <c r="C1021" t="s">
        <v>40909</v>
      </c>
      <c r="D1021">
        <v>1037022454355</v>
      </c>
      <c r="E1021">
        <v>1</v>
      </c>
      <c r="F1021">
        <v>6117078795</v>
      </c>
      <c r="G1021">
        <v>19110000</v>
      </c>
      <c r="H1021" t="s">
        <v>40293</v>
      </c>
      <c r="I1021">
        <v>2953</v>
      </c>
      <c r="J1021">
        <v>6</v>
      </c>
      <c r="K1021">
        <v>6</v>
      </c>
    </row>
    <row r="1022" spans="1:11">
      <c r="A1022">
        <v>90</v>
      </c>
      <c r="B1022" t="b">
        <v>0</v>
      </c>
      <c r="C1022" t="s">
        <v>42840</v>
      </c>
      <c r="D1022">
        <v>1037022454355</v>
      </c>
      <c r="E1022">
        <v>1</v>
      </c>
      <c r="F1022">
        <v>6126139952</v>
      </c>
      <c r="G1022">
        <v>8019000</v>
      </c>
      <c r="H1022" t="s">
        <v>40293</v>
      </c>
      <c r="I1022">
        <v>2961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42126</v>
      </c>
      <c r="D1023">
        <v>1037022454355</v>
      </c>
      <c r="E1023">
        <v>1</v>
      </c>
      <c r="F1023">
        <v>6127598576</v>
      </c>
      <c r="G1023">
        <v>7750000</v>
      </c>
      <c r="H1023" t="s">
        <v>40293</v>
      </c>
      <c r="I1023">
        <v>2961</v>
      </c>
      <c r="J1023">
        <v>8</v>
      </c>
      <c r="K1023">
        <v>9</v>
      </c>
    </row>
    <row r="1024" spans="1:11">
      <c r="A1024">
        <v>90</v>
      </c>
      <c r="B1024" t="b">
        <v>0</v>
      </c>
      <c r="C1024" t="s">
        <v>44401</v>
      </c>
      <c r="D1024">
        <v>1037022454355</v>
      </c>
      <c r="E1024">
        <v>1</v>
      </c>
      <c r="F1024">
        <v>6153409493</v>
      </c>
      <c r="G1024">
        <v>7700000</v>
      </c>
      <c r="H1024" t="s">
        <v>40293</v>
      </c>
      <c r="I1024">
        <v>2961</v>
      </c>
      <c r="J1024">
        <v>7</v>
      </c>
      <c r="K1024">
        <v>7</v>
      </c>
    </row>
    <row r="1025" spans="1:11">
      <c r="A1025">
        <v>90</v>
      </c>
      <c r="B1025" t="b">
        <v>0</v>
      </c>
      <c r="C1025" t="s">
        <v>43125</v>
      </c>
      <c r="D1025">
        <v>1037022454355</v>
      </c>
      <c r="E1025">
        <v>1</v>
      </c>
      <c r="F1025">
        <v>6143613957</v>
      </c>
      <c r="G1025">
        <v>3021000</v>
      </c>
      <c r="H1025" t="s">
        <v>40293</v>
      </c>
      <c r="I1025">
        <v>2969</v>
      </c>
      <c r="J1025">
        <v>2</v>
      </c>
      <c r="K1025">
        <v>2</v>
      </c>
    </row>
    <row r="1026" spans="1:11">
      <c r="A1026">
        <v>30</v>
      </c>
      <c r="B1026" t="b">
        <v>0</v>
      </c>
      <c r="C1026" t="s">
        <v>43156</v>
      </c>
      <c r="D1026">
        <v>1037022454355</v>
      </c>
      <c r="E1026">
        <v>1</v>
      </c>
      <c r="F1026">
        <v>6144401117</v>
      </c>
      <c r="G1026">
        <v>3020000</v>
      </c>
      <c r="H1026" t="s">
        <v>40293</v>
      </c>
      <c r="I1026">
        <v>2969</v>
      </c>
      <c r="J1026">
        <v>13</v>
      </c>
      <c r="K1026">
        <v>23</v>
      </c>
    </row>
    <row r="1027" spans="1:11">
      <c r="A1027">
        <v>90</v>
      </c>
      <c r="B1027" t="b">
        <v>0</v>
      </c>
      <c r="C1027" t="s">
        <v>43698</v>
      </c>
      <c r="D1027">
        <v>1037022454355</v>
      </c>
      <c r="E1027">
        <v>1</v>
      </c>
      <c r="F1027">
        <v>6146219987</v>
      </c>
      <c r="G1027">
        <v>3018000</v>
      </c>
      <c r="H1027" t="s">
        <v>40293</v>
      </c>
      <c r="I1027">
        <v>2969</v>
      </c>
      <c r="J1027">
        <v>8</v>
      </c>
      <c r="K1027">
        <v>8</v>
      </c>
    </row>
    <row r="1028" spans="1:11">
      <c r="A1028">
        <v>90</v>
      </c>
      <c r="B1028" t="b">
        <v>0</v>
      </c>
      <c r="C1028" t="s">
        <v>43528</v>
      </c>
      <c r="D1028">
        <v>1037022454355</v>
      </c>
      <c r="E1028">
        <v>1</v>
      </c>
      <c r="F1028">
        <v>6146400589</v>
      </c>
      <c r="G1028">
        <v>3017000</v>
      </c>
      <c r="H1028" t="s">
        <v>40293</v>
      </c>
      <c r="I1028">
        <v>2969</v>
      </c>
      <c r="J1028">
        <v>15</v>
      </c>
      <c r="K1028">
        <v>20</v>
      </c>
    </row>
    <row r="1029" spans="1:11">
      <c r="A1029">
        <v>90</v>
      </c>
      <c r="B1029" t="b">
        <v>0</v>
      </c>
      <c r="C1029" t="s">
        <v>45998</v>
      </c>
      <c r="D1029">
        <v>1037022454355</v>
      </c>
      <c r="E1029">
        <v>1</v>
      </c>
      <c r="F1029">
        <v>6148153879</v>
      </c>
      <c r="G1029">
        <v>3016000</v>
      </c>
      <c r="H1029" t="s">
        <v>40293</v>
      </c>
      <c r="I1029">
        <v>2969</v>
      </c>
      <c r="J1029">
        <v>7</v>
      </c>
      <c r="K1029">
        <v>7</v>
      </c>
    </row>
    <row r="1030" spans="1:11">
      <c r="A1030">
        <v>90</v>
      </c>
      <c r="B1030" t="b">
        <v>0</v>
      </c>
      <c r="C1030" t="s">
        <v>45351</v>
      </c>
      <c r="D1030">
        <v>1037022454355</v>
      </c>
      <c r="E1030">
        <v>1</v>
      </c>
      <c r="F1030">
        <v>6108824650</v>
      </c>
      <c r="G1030">
        <v>3010000</v>
      </c>
      <c r="H1030" t="s">
        <v>40293</v>
      </c>
      <c r="I1030">
        <v>2969</v>
      </c>
      <c r="J1030">
        <v>138</v>
      </c>
      <c r="K1030">
        <v>290</v>
      </c>
    </row>
    <row r="1031" spans="1:11">
      <c r="A1031">
        <v>90</v>
      </c>
      <c r="B1031" t="b">
        <v>0</v>
      </c>
      <c r="C1031" t="s">
        <v>44816</v>
      </c>
      <c r="D1031">
        <v>1037022454355</v>
      </c>
      <c r="E1031">
        <v>1</v>
      </c>
      <c r="F1031">
        <v>6153414814</v>
      </c>
      <c r="G1031">
        <v>2999000</v>
      </c>
      <c r="H1031" t="s">
        <v>40293</v>
      </c>
      <c r="I1031">
        <v>2969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45921</v>
      </c>
      <c r="D1032">
        <v>1037022454355</v>
      </c>
      <c r="E1032">
        <v>1</v>
      </c>
      <c r="F1032">
        <v>6145498655</v>
      </c>
      <c r="G1032">
        <v>2997000</v>
      </c>
      <c r="H1032" t="s">
        <v>40293</v>
      </c>
      <c r="I1032">
        <v>2969</v>
      </c>
      <c r="J1032">
        <v>54</v>
      </c>
      <c r="K1032">
        <v>103</v>
      </c>
    </row>
    <row r="1033" spans="1:11">
      <c r="A1033">
        <v>90</v>
      </c>
      <c r="B1033" t="b">
        <v>0</v>
      </c>
      <c r="C1033" t="s">
        <v>45333</v>
      </c>
      <c r="D1033">
        <v>1037022454355</v>
      </c>
      <c r="E1033">
        <v>1</v>
      </c>
      <c r="F1033">
        <v>6155355060</v>
      </c>
      <c r="G1033">
        <v>2996000</v>
      </c>
      <c r="H1033" t="s">
        <v>40293</v>
      </c>
      <c r="I1033">
        <v>2969</v>
      </c>
      <c r="J1033">
        <v>17</v>
      </c>
      <c r="K1033">
        <v>24</v>
      </c>
    </row>
    <row r="1034" spans="1:11">
      <c r="A1034">
        <v>90</v>
      </c>
      <c r="B1034" t="b">
        <v>0</v>
      </c>
      <c r="C1034" t="s">
        <v>46135</v>
      </c>
      <c r="D1034">
        <v>1037022454355</v>
      </c>
      <c r="E1034">
        <v>1</v>
      </c>
      <c r="F1034">
        <v>6153628213</v>
      </c>
      <c r="G1034">
        <v>2995000</v>
      </c>
      <c r="H1034" t="s">
        <v>40293</v>
      </c>
      <c r="I1034">
        <v>2969</v>
      </c>
      <c r="J1034">
        <v>2</v>
      </c>
      <c r="K1034">
        <v>7</v>
      </c>
    </row>
    <row r="1035" spans="1:11">
      <c r="A1035">
        <v>90</v>
      </c>
      <c r="B1035" t="b">
        <v>0</v>
      </c>
      <c r="C1035" t="s">
        <v>43010</v>
      </c>
      <c r="D1035">
        <v>1037022454355</v>
      </c>
      <c r="E1035">
        <v>1</v>
      </c>
      <c r="F1035">
        <v>6138302663</v>
      </c>
      <c r="G1035">
        <v>1400000</v>
      </c>
      <c r="H1035" t="s">
        <v>40293</v>
      </c>
      <c r="I1035">
        <v>2977</v>
      </c>
      <c r="J1035">
        <v>19</v>
      </c>
      <c r="K1035">
        <v>21</v>
      </c>
    </row>
    <row r="1036" spans="1:11">
      <c r="A1036">
        <v>90</v>
      </c>
      <c r="B1036" t="b">
        <v>0</v>
      </c>
      <c r="C1036" t="s">
        <v>40373</v>
      </c>
      <c r="D1036">
        <v>1037022454355</v>
      </c>
      <c r="E1036">
        <v>1</v>
      </c>
      <c r="F1036">
        <v>6101665726</v>
      </c>
      <c r="G1036">
        <v>3000000</v>
      </c>
      <c r="H1036" t="s">
        <v>40293</v>
      </c>
      <c r="I1036">
        <v>2985</v>
      </c>
      <c r="J1036">
        <v>1</v>
      </c>
      <c r="K1036">
        <v>1</v>
      </c>
    </row>
    <row r="1037" spans="1:11">
      <c r="A1037">
        <v>90</v>
      </c>
      <c r="B1037" t="b">
        <v>0</v>
      </c>
      <c r="C1037" t="s">
        <v>41943</v>
      </c>
      <c r="D1037">
        <v>1037022454355</v>
      </c>
      <c r="E1037">
        <v>1</v>
      </c>
      <c r="F1037">
        <v>6126132951</v>
      </c>
      <c r="G1037">
        <v>1300000</v>
      </c>
      <c r="H1037" t="s">
        <v>40293</v>
      </c>
      <c r="I1037">
        <v>2993</v>
      </c>
      <c r="J1037">
        <v>6</v>
      </c>
      <c r="K1037">
        <v>25</v>
      </c>
    </row>
    <row r="1038" spans="1:11">
      <c r="A1038">
        <v>30</v>
      </c>
      <c r="B1038" t="b">
        <v>0</v>
      </c>
      <c r="C1038" t="s">
        <v>45626</v>
      </c>
      <c r="D1038">
        <v>1037022454355</v>
      </c>
      <c r="E1038">
        <v>1</v>
      </c>
      <c r="F1038">
        <v>6134878489</v>
      </c>
      <c r="G1038">
        <v>155000000</v>
      </c>
      <c r="H1038" t="s">
        <v>40293</v>
      </c>
      <c r="I1038">
        <v>2998</v>
      </c>
      <c r="J1038">
        <v>3</v>
      </c>
      <c r="K1038">
        <v>3</v>
      </c>
    </row>
    <row r="1039" spans="1:11">
      <c r="A1039">
        <v>90</v>
      </c>
      <c r="B1039" t="b">
        <v>0</v>
      </c>
      <c r="C1039" t="s">
        <v>44217</v>
      </c>
      <c r="D1039">
        <v>1037022454355</v>
      </c>
      <c r="E1039">
        <v>1</v>
      </c>
      <c r="F1039">
        <v>6153341338</v>
      </c>
      <c r="G1039">
        <v>100000000</v>
      </c>
      <c r="H1039" t="s">
        <v>40293</v>
      </c>
      <c r="I1039">
        <v>2998</v>
      </c>
      <c r="J1039">
        <v>1</v>
      </c>
      <c r="K1039">
        <v>2</v>
      </c>
    </row>
    <row r="1040" spans="1:11">
      <c r="A1040">
        <v>30</v>
      </c>
      <c r="B1040" t="b">
        <v>0</v>
      </c>
      <c r="C1040" t="s">
        <v>44887</v>
      </c>
      <c r="D1040">
        <v>1037022454355</v>
      </c>
      <c r="E1040">
        <v>1</v>
      </c>
      <c r="F1040">
        <v>6155283545</v>
      </c>
      <c r="G1040">
        <v>100000000</v>
      </c>
      <c r="H1040" t="s">
        <v>40293</v>
      </c>
      <c r="I1040">
        <v>2998</v>
      </c>
      <c r="J1040">
        <v>1</v>
      </c>
      <c r="K1040">
        <v>1</v>
      </c>
    </row>
    <row r="1041" spans="1:11">
      <c r="A1041">
        <v>90</v>
      </c>
      <c r="B1041" t="b">
        <v>0</v>
      </c>
      <c r="C1041" t="s">
        <v>43435</v>
      </c>
      <c r="D1041">
        <v>1037022454355</v>
      </c>
      <c r="E1041">
        <v>1</v>
      </c>
      <c r="F1041">
        <v>6140410962</v>
      </c>
      <c r="G1041">
        <v>1250000</v>
      </c>
      <c r="H1041" t="s">
        <v>40293</v>
      </c>
      <c r="I1041">
        <v>3001</v>
      </c>
      <c r="J1041">
        <v>16</v>
      </c>
      <c r="K1041">
        <v>25</v>
      </c>
    </row>
    <row r="1042" spans="1:11">
      <c r="A1042">
        <v>90</v>
      </c>
      <c r="B1042" t="b">
        <v>0</v>
      </c>
      <c r="C1042" t="s">
        <v>40804</v>
      </c>
      <c r="D1042">
        <v>1037022454355</v>
      </c>
      <c r="E1042">
        <v>1</v>
      </c>
      <c r="F1042">
        <v>6102199535</v>
      </c>
      <c r="G1042">
        <v>4000000</v>
      </c>
      <c r="H1042" t="s">
        <v>40293</v>
      </c>
      <c r="I1042">
        <v>3009</v>
      </c>
      <c r="J1042">
        <v>8</v>
      </c>
      <c r="K1042">
        <v>8</v>
      </c>
    </row>
    <row r="1043" spans="1:11">
      <c r="A1043">
        <v>90</v>
      </c>
      <c r="B1043" t="b">
        <v>0</v>
      </c>
      <c r="C1043" t="s">
        <v>41896</v>
      </c>
      <c r="D1043">
        <v>1037022454355</v>
      </c>
      <c r="E1043">
        <v>1</v>
      </c>
      <c r="F1043">
        <v>6127601054</v>
      </c>
      <c r="G1043">
        <v>3954000</v>
      </c>
      <c r="H1043" t="s">
        <v>40293</v>
      </c>
      <c r="I1043">
        <v>3009</v>
      </c>
      <c r="J1043">
        <v>3</v>
      </c>
      <c r="K1043">
        <v>3</v>
      </c>
    </row>
    <row r="1044" spans="1:11">
      <c r="A1044">
        <v>90</v>
      </c>
      <c r="B1044" t="b">
        <v>0</v>
      </c>
      <c r="C1044" t="s">
        <v>42035</v>
      </c>
      <c r="D1044">
        <v>1037022454355</v>
      </c>
      <c r="E1044">
        <v>1</v>
      </c>
      <c r="F1044">
        <v>6071881480</v>
      </c>
      <c r="G1044">
        <v>3919000</v>
      </c>
      <c r="H1044" t="s">
        <v>40293</v>
      </c>
      <c r="I1044">
        <v>3009</v>
      </c>
      <c r="J1044">
        <v>4</v>
      </c>
      <c r="K1044">
        <v>4</v>
      </c>
    </row>
    <row r="1045" spans="1:11">
      <c r="A1045">
        <v>90</v>
      </c>
      <c r="B1045" t="b">
        <v>0</v>
      </c>
      <c r="C1045" t="s">
        <v>43600</v>
      </c>
      <c r="D1045">
        <v>1037022454355</v>
      </c>
      <c r="E1045">
        <v>1</v>
      </c>
      <c r="F1045">
        <v>6073372838</v>
      </c>
      <c r="G1045">
        <v>3894000</v>
      </c>
      <c r="H1045" t="s">
        <v>40293</v>
      </c>
      <c r="I1045">
        <v>3009</v>
      </c>
      <c r="J1045">
        <v>22</v>
      </c>
      <c r="K1045">
        <v>25</v>
      </c>
    </row>
    <row r="1046" spans="1:11">
      <c r="A1046">
        <v>90</v>
      </c>
      <c r="B1046" t="b">
        <v>0</v>
      </c>
      <c r="C1046" t="s">
        <v>43132</v>
      </c>
      <c r="D1046">
        <v>1037022454355</v>
      </c>
      <c r="E1046">
        <v>1</v>
      </c>
      <c r="F1046">
        <v>6138305697</v>
      </c>
      <c r="G1046">
        <v>3600000</v>
      </c>
      <c r="H1046" t="s">
        <v>40293</v>
      </c>
      <c r="I1046">
        <v>3009</v>
      </c>
      <c r="J1046">
        <v>8</v>
      </c>
      <c r="K1046">
        <v>8</v>
      </c>
    </row>
    <row r="1047" spans="1:11">
      <c r="A1047">
        <v>30</v>
      </c>
      <c r="B1047" t="b">
        <v>0</v>
      </c>
      <c r="C1047" t="s">
        <v>45133</v>
      </c>
      <c r="D1047">
        <v>1037022454355</v>
      </c>
      <c r="E1047">
        <v>1</v>
      </c>
      <c r="F1047">
        <v>6126843980</v>
      </c>
      <c r="G1047">
        <v>3540000</v>
      </c>
      <c r="H1047" t="s">
        <v>40293</v>
      </c>
      <c r="I1047">
        <v>3009</v>
      </c>
      <c r="J1047">
        <v>4</v>
      </c>
      <c r="K1047">
        <v>4</v>
      </c>
    </row>
    <row r="1048" spans="1:11">
      <c r="A1048">
        <v>90</v>
      </c>
      <c r="B1048" t="b">
        <v>0</v>
      </c>
      <c r="C1048" t="s">
        <v>45738</v>
      </c>
      <c r="D1048">
        <v>1037022454355</v>
      </c>
      <c r="E1048">
        <v>1</v>
      </c>
      <c r="F1048">
        <v>6142056122</v>
      </c>
      <c r="G1048">
        <v>3536000</v>
      </c>
      <c r="H1048" t="s">
        <v>40293</v>
      </c>
      <c r="I1048">
        <v>3009</v>
      </c>
      <c r="J1048">
        <v>3</v>
      </c>
      <c r="K1048">
        <v>3</v>
      </c>
    </row>
    <row r="1049" spans="1:11">
      <c r="A1049">
        <v>90</v>
      </c>
      <c r="B1049" t="b">
        <v>0</v>
      </c>
      <c r="C1049" t="s">
        <v>42652</v>
      </c>
      <c r="D1049">
        <v>1037022454355</v>
      </c>
      <c r="E1049">
        <v>1</v>
      </c>
      <c r="F1049">
        <v>6134386683</v>
      </c>
      <c r="G1049">
        <v>1100000</v>
      </c>
      <c r="H1049" t="s">
        <v>40293</v>
      </c>
      <c r="I1049">
        <v>3017</v>
      </c>
      <c r="J1049">
        <v>32</v>
      </c>
      <c r="K1049">
        <v>35</v>
      </c>
    </row>
    <row r="1050" spans="1:11">
      <c r="A1050">
        <v>90</v>
      </c>
      <c r="B1050" t="b">
        <v>0</v>
      </c>
      <c r="C1050" t="s">
        <v>43217</v>
      </c>
      <c r="D1050">
        <v>1037022454355</v>
      </c>
      <c r="E1050">
        <v>1</v>
      </c>
      <c r="F1050">
        <v>6143911679</v>
      </c>
      <c r="G1050">
        <v>1097000</v>
      </c>
      <c r="H1050" t="s">
        <v>40293</v>
      </c>
      <c r="I1050">
        <v>3017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45053</v>
      </c>
      <c r="D1051">
        <v>1037022454355</v>
      </c>
      <c r="E1051">
        <v>1</v>
      </c>
      <c r="F1051">
        <v>6149682339</v>
      </c>
      <c r="G1051">
        <v>1097000</v>
      </c>
      <c r="H1051" t="s">
        <v>40293</v>
      </c>
      <c r="I1051">
        <v>3017</v>
      </c>
      <c r="J1051">
        <v>2</v>
      </c>
      <c r="K1051">
        <v>2</v>
      </c>
    </row>
    <row r="1052" spans="1:11">
      <c r="A1052">
        <v>90</v>
      </c>
      <c r="B1052" t="b">
        <v>0</v>
      </c>
      <c r="C1052" t="s">
        <v>41226</v>
      </c>
      <c r="D1052">
        <v>1037022454355</v>
      </c>
      <c r="E1052">
        <v>1</v>
      </c>
      <c r="F1052">
        <v>6101618826</v>
      </c>
      <c r="G1052">
        <v>5871000</v>
      </c>
      <c r="H1052" t="s">
        <v>40293</v>
      </c>
      <c r="I1052">
        <v>3025</v>
      </c>
      <c r="J1052">
        <v>6</v>
      </c>
      <c r="K1052">
        <v>6</v>
      </c>
    </row>
    <row r="1053" spans="1:11">
      <c r="A1053">
        <v>90</v>
      </c>
      <c r="B1053" t="b">
        <v>0</v>
      </c>
      <c r="C1053" t="s">
        <v>40675</v>
      </c>
      <c r="D1053">
        <v>1037022454355</v>
      </c>
      <c r="E1053">
        <v>1</v>
      </c>
      <c r="F1053">
        <v>6107897984</v>
      </c>
      <c r="G1053">
        <v>5828000</v>
      </c>
      <c r="H1053" t="s">
        <v>40293</v>
      </c>
      <c r="I1053">
        <v>3025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41818</v>
      </c>
      <c r="D1054">
        <v>1037022454355</v>
      </c>
      <c r="E1054">
        <v>1</v>
      </c>
      <c r="F1054">
        <v>6086989827</v>
      </c>
      <c r="G1054">
        <v>5742000</v>
      </c>
      <c r="H1054" t="s">
        <v>40293</v>
      </c>
      <c r="I1054">
        <v>3025</v>
      </c>
      <c r="J1054">
        <v>83</v>
      </c>
      <c r="K1054">
        <v>98</v>
      </c>
    </row>
    <row r="1055" spans="1:11">
      <c r="A1055">
        <v>90</v>
      </c>
      <c r="B1055" t="b">
        <v>0</v>
      </c>
      <c r="C1055" t="s">
        <v>42613</v>
      </c>
      <c r="D1055">
        <v>1037022454355</v>
      </c>
      <c r="E1055">
        <v>1</v>
      </c>
      <c r="F1055">
        <v>6134024675</v>
      </c>
      <c r="G1055">
        <v>5740000</v>
      </c>
      <c r="H1055" t="s">
        <v>40293</v>
      </c>
      <c r="I1055">
        <v>3025</v>
      </c>
      <c r="J1055">
        <v>5</v>
      </c>
      <c r="K1055">
        <v>5</v>
      </c>
    </row>
    <row r="1056" spans="1:11">
      <c r="A1056">
        <v>90</v>
      </c>
      <c r="B1056" t="b">
        <v>0</v>
      </c>
      <c r="C1056" t="s">
        <v>42357</v>
      </c>
      <c r="D1056">
        <v>1037022454355</v>
      </c>
      <c r="E1056">
        <v>1</v>
      </c>
      <c r="F1056">
        <v>6080729920</v>
      </c>
      <c r="G1056">
        <v>5739000</v>
      </c>
      <c r="H1056" t="s">
        <v>40293</v>
      </c>
      <c r="I1056">
        <v>3025</v>
      </c>
      <c r="J1056">
        <v>5</v>
      </c>
      <c r="K1056">
        <v>20</v>
      </c>
    </row>
    <row r="1057" spans="1:11">
      <c r="A1057">
        <v>90</v>
      </c>
      <c r="B1057" t="b">
        <v>0</v>
      </c>
      <c r="C1057" t="s">
        <v>43899</v>
      </c>
      <c r="D1057">
        <v>1037022454355</v>
      </c>
      <c r="E1057">
        <v>1</v>
      </c>
      <c r="F1057">
        <v>6077937296</v>
      </c>
      <c r="G1057">
        <v>5738000</v>
      </c>
      <c r="H1057" t="s">
        <v>40293</v>
      </c>
      <c r="I1057">
        <v>3025</v>
      </c>
      <c r="J1057">
        <v>1</v>
      </c>
      <c r="K1057">
        <v>10</v>
      </c>
    </row>
    <row r="1058" spans="1:11">
      <c r="A1058">
        <v>90</v>
      </c>
      <c r="B1058" t="b">
        <v>0</v>
      </c>
      <c r="C1058" t="s">
        <v>46386</v>
      </c>
      <c r="D1058">
        <v>1037022454355</v>
      </c>
      <c r="E1058">
        <v>1</v>
      </c>
      <c r="F1058">
        <v>6152222676</v>
      </c>
      <c r="G1058">
        <v>5250000</v>
      </c>
      <c r="H1058" t="s">
        <v>40293</v>
      </c>
      <c r="I1058">
        <v>3025</v>
      </c>
      <c r="J1058">
        <v>2</v>
      </c>
      <c r="K1058">
        <v>2</v>
      </c>
    </row>
    <row r="1059" spans="1:11">
      <c r="A1059">
        <v>90</v>
      </c>
      <c r="B1059" t="b">
        <v>0</v>
      </c>
      <c r="C1059" t="s">
        <v>43722</v>
      </c>
      <c r="D1059">
        <v>1037022454355</v>
      </c>
      <c r="E1059">
        <v>1</v>
      </c>
      <c r="F1059">
        <v>6144282718</v>
      </c>
      <c r="G1059">
        <v>5000000</v>
      </c>
      <c r="H1059" t="s">
        <v>40293</v>
      </c>
      <c r="I1059">
        <v>3025</v>
      </c>
      <c r="J1059">
        <v>3</v>
      </c>
      <c r="K1059">
        <v>3</v>
      </c>
    </row>
    <row r="1060" spans="1:11">
      <c r="A1060">
        <v>90</v>
      </c>
      <c r="B1060" t="b">
        <v>0</v>
      </c>
      <c r="C1060" t="s">
        <v>42577</v>
      </c>
      <c r="D1060">
        <v>1037022454355</v>
      </c>
      <c r="E1060">
        <v>1</v>
      </c>
      <c r="F1060">
        <v>6113411889</v>
      </c>
      <c r="G1060">
        <v>1438000</v>
      </c>
      <c r="H1060" t="s">
        <v>40293</v>
      </c>
      <c r="I1060">
        <v>3033</v>
      </c>
      <c r="J1060">
        <v>44</v>
      </c>
      <c r="K1060">
        <v>128</v>
      </c>
    </row>
    <row r="1061" spans="1:11">
      <c r="A1061">
        <v>30</v>
      </c>
      <c r="B1061" t="b">
        <v>0</v>
      </c>
      <c r="C1061" t="s">
        <v>44784</v>
      </c>
      <c r="D1061">
        <v>1037022454355</v>
      </c>
      <c r="E1061">
        <v>1</v>
      </c>
      <c r="F1061">
        <v>6149515014</v>
      </c>
      <c r="G1061">
        <v>1401000</v>
      </c>
      <c r="H1061" t="s">
        <v>40293</v>
      </c>
      <c r="I1061">
        <v>3033</v>
      </c>
      <c r="J1061">
        <v>4</v>
      </c>
      <c r="K1061">
        <v>4</v>
      </c>
    </row>
    <row r="1062" spans="1:11">
      <c r="A1062">
        <v>90</v>
      </c>
      <c r="B1062" t="b">
        <v>0</v>
      </c>
      <c r="C1062" t="s">
        <v>44953</v>
      </c>
      <c r="D1062">
        <v>1037022454355</v>
      </c>
      <c r="E1062">
        <v>1</v>
      </c>
      <c r="F1062">
        <v>6149517194</v>
      </c>
      <c r="G1062">
        <v>1400000</v>
      </c>
      <c r="H1062" t="s">
        <v>40293</v>
      </c>
      <c r="I1062">
        <v>3033</v>
      </c>
      <c r="J1062">
        <v>3</v>
      </c>
      <c r="K1062">
        <v>8</v>
      </c>
    </row>
    <row r="1063" spans="1:11">
      <c r="A1063">
        <v>90</v>
      </c>
      <c r="B1063" t="b">
        <v>0</v>
      </c>
      <c r="C1063" t="s">
        <v>45567</v>
      </c>
      <c r="D1063">
        <v>1037022454355</v>
      </c>
      <c r="E1063">
        <v>1</v>
      </c>
      <c r="F1063">
        <v>6153424388</v>
      </c>
      <c r="G1063">
        <v>1397000</v>
      </c>
      <c r="H1063" t="s">
        <v>40293</v>
      </c>
      <c r="I1063">
        <v>3033</v>
      </c>
      <c r="J1063">
        <v>7</v>
      </c>
      <c r="K1063">
        <v>17</v>
      </c>
    </row>
    <row r="1064" spans="1:11">
      <c r="A1064">
        <v>90</v>
      </c>
      <c r="B1064" t="b">
        <v>0</v>
      </c>
      <c r="C1064" t="s">
        <v>45638</v>
      </c>
      <c r="D1064">
        <v>1037022454355</v>
      </c>
      <c r="E1064">
        <v>1</v>
      </c>
      <c r="F1064">
        <v>6150640014</v>
      </c>
      <c r="G1064">
        <v>1396000</v>
      </c>
      <c r="H1064" t="s">
        <v>40293</v>
      </c>
      <c r="I1064">
        <v>3033</v>
      </c>
      <c r="J1064">
        <v>8</v>
      </c>
      <c r="K1064">
        <v>25</v>
      </c>
    </row>
    <row r="1065" spans="1:11">
      <c r="A1065">
        <v>90</v>
      </c>
      <c r="B1065" t="b">
        <v>0</v>
      </c>
      <c r="C1065" t="s">
        <v>40504</v>
      </c>
      <c r="D1065">
        <v>1037022454355</v>
      </c>
      <c r="E1065">
        <v>1</v>
      </c>
      <c r="F1065">
        <v>6089380738</v>
      </c>
      <c r="G1065">
        <v>1700000</v>
      </c>
      <c r="H1065" t="s">
        <v>40293</v>
      </c>
      <c r="I1065">
        <v>3041</v>
      </c>
      <c r="J1065">
        <v>2</v>
      </c>
      <c r="K1065">
        <v>6</v>
      </c>
    </row>
    <row r="1066" spans="1:11">
      <c r="A1066">
        <v>90</v>
      </c>
      <c r="B1066" t="b">
        <v>0</v>
      </c>
      <c r="C1066" t="s">
        <v>42754</v>
      </c>
      <c r="D1066">
        <v>1037022454355</v>
      </c>
      <c r="E1066">
        <v>1</v>
      </c>
      <c r="F1066">
        <v>6134654804</v>
      </c>
      <c r="G1066">
        <v>1590000</v>
      </c>
      <c r="H1066" t="s">
        <v>40293</v>
      </c>
      <c r="I1066">
        <v>3041</v>
      </c>
      <c r="J1066">
        <v>89</v>
      </c>
      <c r="K1066">
        <v>119</v>
      </c>
    </row>
    <row r="1067" spans="1:11">
      <c r="A1067">
        <v>90</v>
      </c>
      <c r="B1067" t="b">
        <v>0</v>
      </c>
      <c r="C1067" t="s">
        <v>45878</v>
      </c>
      <c r="D1067">
        <v>1037022454355</v>
      </c>
      <c r="E1067">
        <v>1</v>
      </c>
      <c r="F1067">
        <v>6088186999</v>
      </c>
      <c r="G1067">
        <v>1589000</v>
      </c>
      <c r="H1067" t="s">
        <v>40293</v>
      </c>
      <c r="I1067">
        <v>3041</v>
      </c>
      <c r="J1067">
        <v>8</v>
      </c>
      <c r="K1067">
        <v>25</v>
      </c>
    </row>
    <row r="1068" spans="1:11">
      <c r="A1068">
        <v>90</v>
      </c>
      <c r="B1068" t="b">
        <v>0</v>
      </c>
      <c r="C1068" t="s">
        <v>40679</v>
      </c>
      <c r="D1068">
        <v>1037022454355</v>
      </c>
      <c r="E1068">
        <v>1</v>
      </c>
      <c r="F1068">
        <v>6104588572</v>
      </c>
      <c r="G1068">
        <v>10900000</v>
      </c>
      <c r="H1068" t="s">
        <v>40293</v>
      </c>
      <c r="I1068">
        <v>3049</v>
      </c>
      <c r="J1068">
        <v>3</v>
      </c>
      <c r="K1068">
        <v>3</v>
      </c>
    </row>
    <row r="1069" spans="1:11">
      <c r="A1069">
        <v>90</v>
      </c>
      <c r="B1069" t="b">
        <v>0</v>
      </c>
      <c r="C1069" t="s">
        <v>43676</v>
      </c>
      <c r="D1069">
        <v>1037022454355</v>
      </c>
      <c r="E1069">
        <v>1</v>
      </c>
      <c r="F1069">
        <v>6143154754</v>
      </c>
      <c r="G1069">
        <v>7000000</v>
      </c>
      <c r="H1069" t="s">
        <v>40293</v>
      </c>
      <c r="I1069">
        <v>3049</v>
      </c>
      <c r="J1069">
        <v>4</v>
      </c>
      <c r="K1069">
        <v>8</v>
      </c>
    </row>
    <row r="1070" spans="1:11">
      <c r="A1070">
        <v>90</v>
      </c>
      <c r="B1070" t="b">
        <v>0</v>
      </c>
      <c r="C1070" t="s">
        <v>40529</v>
      </c>
      <c r="D1070">
        <v>1037022454355</v>
      </c>
      <c r="E1070">
        <v>1</v>
      </c>
      <c r="F1070">
        <v>6097770010</v>
      </c>
      <c r="G1070">
        <v>9000000</v>
      </c>
      <c r="H1070" t="s">
        <v>40293</v>
      </c>
      <c r="I1070">
        <v>3057</v>
      </c>
      <c r="J1070">
        <v>11</v>
      </c>
      <c r="K1070">
        <v>30</v>
      </c>
    </row>
    <row r="1071" spans="1:11">
      <c r="A1071">
        <v>90</v>
      </c>
      <c r="B1071" t="b">
        <v>0</v>
      </c>
      <c r="C1071" t="s">
        <v>42417</v>
      </c>
      <c r="D1071">
        <v>1037022454355</v>
      </c>
      <c r="E1071">
        <v>1</v>
      </c>
      <c r="F1071">
        <v>6132801962</v>
      </c>
      <c r="G1071">
        <v>8398000</v>
      </c>
      <c r="H1071" t="s">
        <v>40293</v>
      </c>
      <c r="I1071">
        <v>3057</v>
      </c>
      <c r="J1071">
        <v>8</v>
      </c>
      <c r="K1071">
        <v>8</v>
      </c>
    </row>
    <row r="1072" spans="1:11">
      <c r="A1072">
        <v>90</v>
      </c>
      <c r="B1072" t="b">
        <v>0</v>
      </c>
      <c r="C1072" t="s">
        <v>42425</v>
      </c>
      <c r="D1072">
        <v>1037022454355</v>
      </c>
      <c r="E1072">
        <v>1</v>
      </c>
      <c r="F1072">
        <v>6134651698</v>
      </c>
      <c r="G1072">
        <v>8396000</v>
      </c>
      <c r="H1072" t="s">
        <v>40293</v>
      </c>
      <c r="I1072">
        <v>3057</v>
      </c>
      <c r="J1072">
        <v>30</v>
      </c>
      <c r="K1072">
        <v>30</v>
      </c>
    </row>
    <row r="1073" spans="1:11">
      <c r="A1073">
        <v>90</v>
      </c>
      <c r="B1073" t="b">
        <v>0</v>
      </c>
      <c r="C1073" t="s">
        <v>43488</v>
      </c>
      <c r="D1073">
        <v>1037022454355</v>
      </c>
      <c r="E1073">
        <v>1</v>
      </c>
      <c r="F1073">
        <v>6108824316</v>
      </c>
      <c r="G1073">
        <v>8394000</v>
      </c>
      <c r="H1073" t="s">
        <v>40293</v>
      </c>
      <c r="I1073">
        <v>3057</v>
      </c>
      <c r="J1073">
        <v>46</v>
      </c>
      <c r="K1073">
        <v>140</v>
      </c>
    </row>
    <row r="1074" spans="1:11">
      <c r="A1074">
        <v>90</v>
      </c>
      <c r="B1074" t="b">
        <v>0</v>
      </c>
      <c r="C1074" t="s">
        <v>44633</v>
      </c>
      <c r="D1074">
        <v>1037022454355</v>
      </c>
      <c r="E1074">
        <v>1</v>
      </c>
      <c r="F1074">
        <v>6147907743</v>
      </c>
      <c r="G1074">
        <v>8393000</v>
      </c>
      <c r="H1074" t="s">
        <v>40293</v>
      </c>
      <c r="I1074">
        <v>3057</v>
      </c>
      <c r="J1074">
        <v>5</v>
      </c>
      <c r="K1074">
        <v>25</v>
      </c>
    </row>
    <row r="1075" spans="1:11">
      <c r="A1075">
        <v>90</v>
      </c>
      <c r="B1075" t="b">
        <v>0</v>
      </c>
      <c r="C1075" t="s">
        <v>41018</v>
      </c>
      <c r="D1075">
        <v>1037022454355</v>
      </c>
      <c r="E1075">
        <v>1</v>
      </c>
      <c r="F1075">
        <v>6117146777</v>
      </c>
      <c r="G1075">
        <v>6488000</v>
      </c>
      <c r="H1075" t="s">
        <v>40293</v>
      </c>
      <c r="I1075">
        <v>3065</v>
      </c>
      <c r="J1075">
        <v>3</v>
      </c>
      <c r="K1075">
        <v>4</v>
      </c>
    </row>
    <row r="1076" spans="1:11">
      <c r="A1076">
        <v>90</v>
      </c>
      <c r="B1076" t="b">
        <v>0</v>
      </c>
      <c r="C1076" t="s">
        <v>45548</v>
      </c>
      <c r="D1076">
        <v>1037022454355</v>
      </c>
      <c r="E1076">
        <v>1</v>
      </c>
      <c r="F1076">
        <v>6153424271</v>
      </c>
      <c r="G1076">
        <v>5998000</v>
      </c>
      <c r="H1076" t="s">
        <v>40293</v>
      </c>
      <c r="I1076">
        <v>3065</v>
      </c>
      <c r="J1076">
        <v>3</v>
      </c>
      <c r="K1076">
        <v>8</v>
      </c>
    </row>
    <row r="1077" spans="1:11">
      <c r="A1077">
        <v>90</v>
      </c>
      <c r="B1077" t="b">
        <v>0</v>
      </c>
      <c r="C1077" t="s">
        <v>40685</v>
      </c>
      <c r="D1077">
        <v>1037022454355</v>
      </c>
      <c r="E1077">
        <v>1</v>
      </c>
      <c r="F1077">
        <v>6103163244</v>
      </c>
      <c r="G1077">
        <v>1233000</v>
      </c>
      <c r="H1077" t="s">
        <v>40293</v>
      </c>
      <c r="I1077">
        <v>3074</v>
      </c>
      <c r="J1077">
        <v>21</v>
      </c>
      <c r="K1077">
        <v>25</v>
      </c>
    </row>
    <row r="1078" spans="1:11">
      <c r="A1078">
        <v>90</v>
      </c>
      <c r="B1078" t="b">
        <v>0</v>
      </c>
      <c r="C1078" t="s">
        <v>41247</v>
      </c>
      <c r="D1078">
        <v>1037022454355</v>
      </c>
      <c r="E1078">
        <v>1</v>
      </c>
      <c r="F1078">
        <v>6122813517</v>
      </c>
      <c r="G1078">
        <v>900000</v>
      </c>
      <c r="H1078" t="s">
        <v>40293</v>
      </c>
      <c r="I1078">
        <v>3074</v>
      </c>
      <c r="J1078">
        <v>10</v>
      </c>
      <c r="K1078">
        <v>10</v>
      </c>
    </row>
    <row r="1079" spans="1:11">
      <c r="A1079">
        <v>90</v>
      </c>
      <c r="B1079" t="b">
        <v>0</v>
      </c>
      <c r="C1079" t="s">
        <v>41876</v>
      </c>
      <c r="D1079">
        <v>1037022454355</v>
      </c>
      <c r="E1079">
        <v>1</v>
      </c>
      <c r="F1079">
        <v>6127599400</v>
      </c>
      <c r="G1079">
        <v>873000</v>
      </c>
      <c r="H1079" t="s">
        <v>40293</v>
      </c>
      <c r="I1079">
        <v>3074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42660</v>
      </c>
      <c r="D1080">
        <v>1037022454355</v>
      </c>
      <c r="E1080">
        <v>1</v>
      </c>
      <c r="F1080">
        <v>6114169194</v>
      </c>
      <c r="G1080">
        <v>850000</v>
      </c>
      <c r="H1080" t="s">
        <v>40293</v>
      </c>
      <c r="I1080">
        <v>3074</v>
      </c>
      <c r="J1080">
        <v>35</v>
      </c>
      <c r="K1080">
        <v>40</v>
      </c>
    </row>
    <row r="1081" spans="1:11">
      <c r="A1081">
        <v>90</v>
      </c>
      <c r="B1081" t="b">
        <v>0</v>
      </c>
      <c r="C1081" t="s">
        <v>42417</v>
      </c>
      <c r="D1081">
        <v>1037022454355</v>
      </c>
      <c r="E1081">
        <v>1</v>
      </c>
      <c r="F1081">
        <v>6132801963</v>
      </c>
      <c r="G1081">
        <v>849800</v>
      </c>
      <c r="H1081" t="s">
        <v>40293</v>
      </c>
      <c r="I1081">
        <v>3074</v>
      </c>
      <c r="J1081">
        <v>60</v>
      </c>
      <c r="K1081">
        <v>60</v>
      </c>
    </row>
    <row r="1082" spans="1:11">
      <c r="A1082">
        <v>90</v>
      </c>
      <c r="B1082" t="b">
        <v>0</v>
      </c>
      <c r="C1082" t="s">
        <v>42705</v>
      </c>
      <c r="D1082">
        <v>1037022454355</v>
      </c>
      <c r="E1082">
        <v>1</v>
      </c>
      <c r="F1082">
        <v>6135143924</v>
      </c>
      <c r="G1082">
        <v>848000</v>
      </c>
      <c r="H1082" t="s">
        <v>40293</v>
      </c>
      <c r="I1082">
        <v>3074</v>
      </c>
      <c r="J1082">
        <v>1</v>
      </c>
      <c r="K1082">
        <v>4</v>
      </c>
    </row>
    <row r="1083" spans="1:11">
      <c r="A1083">
        <v>90</v>
      </c>
      <c r="B1083" t="b">
        <v>0</v>
      </c>
      <c r="C1083" t="s">
        <v>45486</v>
      </c>
      <c r="D1083">
        <v>1037022454355</v>
      </c>
      <c r="E1083">
        <v>1</v>
      </c>
      <c r="F1083">
        <v>6153423530</v>
      </c>
      <c r="G1083">
        <v>847000</v>
      </c>
      <c r="H1083" t="s">
        <v>40293</v>
      </c>
      <c r="I1083">
        <v>3074</v>
      </c>
      <c r="J1083">
        <v>9</v>
      </c>
      <c r="K1083">
        <v>10</v>
      </c>
    </row>
    <row r="1084" spans="1:11">
      <c r="A1084">
        <v>90</v>
      </c>
      <c r="B1084" t="b">
        <v>0</v>
      </c>
      <c r="C1084" t="s">
        <v>46294</v>
      </c>
      <c r="D1084">
        <v>1037022454355</v>
      </c>
      <c r="E1084">
        <v>1</v>
      </c>
      <c r="F1084">
        <v>6156841563</v>
      </c>
      <c r="G1084">
        <v>825000</v>
      </c>
      <c r="H1084" t="s">
        <v>40293</v>
      </c>
      <c r="I1084">
        <v>3074</v>
      </c>
      <c r="J1084">
        <v>1</v>
      </c>
      <c r="K1084">
        <v>1</v>
      </c>
    </row>
    <row r="1085" spans="1:11">
      <c r="A1085">
        <v>90</v>
      </c>
      <c r="B1085" t="b">
        <v>0</v>
      </c>
      <c r="C1085" t="s">
        <v>46308</v>
      </c>
      <c r="D1085">
        <v>1037022454355</v>
      </c>
      <c r="E1085">
        <v>1</v>
      </c>
      <c r="F1085">
        <v>6155072231</v>
      </c>
      <c r="G1085">
        <v>825000</v>
      </c>
      <c r="H1085" t="s">
        <v>40293</v>
      </c>
      <c r="I1085">
        <v>3074</v>
      </c>
      <c r="J1085">
        <v>16</v>
      </c>
      <c r="K1085">
        <v>20</v>
      </c>
    </row>
    <row r="1086" spans="1:11">
      <c r="A1086">
        <v>90</v>
      </c>
      <c r="B1086" t="b">
        <v>0</v>
      </c>
      <c r="C1086" t="s">
        <v>45467</v>
      </c>
      <c r="D1086">
        <v>1037022454355</v>
      </c>
      <c r="E1086">
        <v>1</v>
      </c>
      <c r="F1086">
        <v>6156995082</v>
      </c>
      <c r="G1086">
        <v>824000</v>
      </c>
      <c r="H1086" t="s">
        <v>40293</v>
      </c>
      <c r="I1086">
        <v>3074</v>
      </c>
      <c r="J1086">
        <v>2</v>
      </c>
      <c r="K1086">
        <v>2</v>
      </c>
    </row>
    <row r="1087" spans="1:11">
      <c r="A1087">
        <v>90</v>
      </c>
      <c r="B1087" t="b">
        <v>0</v>
      </c>
      <c r="C1087" t="s">
        <v>41107</v>
      </c>
      <c r="D1087">
        <v>1037022454355</v>
      </c>
      <c r="E1087">
        <v>1</v>
      </c>
      <c r="F1087">
        <v>6109480923</v>
      </c>
      <c r="G1087">
        <v>3500000</v>
      </c>
      <c r="H1087" t="s">
        <v>40293</v>
      </c>
      <c r="I1087">
        <v>3082</v>
      </c>
      <c r="J1087">
        <v>5</v>
      </c>
      <c r="K1087">
        <v>6</v>
      </c>
    </row>
    <row r="1088" spans="1:11">
      <c r="A1088">
        <v>90</v>
      </c>
      <c r="B1088" t="b">
        <v>0</v>
      </c>
      <c r="C1088" t="s">
        <v>46541</v>
      </c>
      <c r="D1088">
        <v>1037022454355</v>
      </c>
      <c r="E1088">
        <v>1</v>
      </c>
      <c r="F1088">
        <v>6152945306</v>
      </c>
      <c r="G1088">
        <v>3300000</v>
      </c>
      <c r="H1088" t="s">
        <v>40293</v>
      </c>
      <c r="I1088">
        <v>3082</v>
      </c>
      <c r="J1088">
        <v>25</v>
      </c>
      <c r="K1088">
        <v>25</v>
      </c>
    </row>
    <row r="1089" spans="1:11">
      <c r="A1089">
        <v>90</v>
      </c>
      <c r="B1089" t="b">
        <v>0</v>
      </c>
      <c r="C1089" t="s">
        <v>44278</v>
      </c>
      <c r="D1089">
        <v>1037022454355</v>
      </c>
      <c r="E1089">
        <v>1</v>
      </c>
      <c r="F1089">
        <v>6153366733</v>
      </c>
      <c r="G1089">
        <v>3236000</v>
      </c>
      <c r="H1089" t="s">
        <v>40293</v>
      </c>
      <c r="I1089">
        <v>3082</v>
      </c>
      <c r="J1089">
        <v>5</v>
      </c>
      <c r="K1089">
        <v>5</v>
      </c>
    </row>
    <row r="1090" spans="1:11">
      <c r="A1090">
        <v>90</v>
      </c>
      <c r="B1090" t="b">
        <v>0</v>
      </c>
      <c r="C1090" t="s">
        <v>45477</v>
      </c>
      <c r="D1090">
        <v>1037022454355</v>
      </c>
      <c r="E1090">
        <v>1</v>
      </c>
      <c r="F1090">
        <v>6153423433</v>
      </c>
      <c r="G1090">
        <v>3235000</v>
      </c>
      <c r="H1090" t="s">
        <v>40293</v>
      </c>
      <c r="I1090">
        <v>3082</v>
      </c>
      <c r="J1090">
        <v>4</v>
      </c>
      <c r="K1090">
        <v>23</v>
      </c>
    </row>
    <row r="1091" spans="1:11">
      <c r="A1091">
        <v>90</v>
      </c>
      <c r="B1091" t="b">
        <v>0</v>
      </c>
      <c r="C1091" t="s">
        <v>45032</v>
      </c>
      <c r="D1091">
        <v>1037022454355</v>
      </c>
      <c r="E1091">
        <v>1</v>
      </c>
      <c r="F1091">
        <v>6155449167</v>
      </c>
      <c r="G1091">
        <v>3219000</v>
      </c>
      <c r="H1091" t="s">
        <v>40293</v>
      </c>
      <c r="I1091">
        <v>3082</v>
      </c>
      <c r="J1091">
        <v>5</v>
      </c>
      <c r="K1091">
        <v>10</v>
      </c>
    </row>
    <row r="1092" spans="1:11">
      <c r="A1092">
        <v>90</v>
      </c>
      <c r="B1092" t="b">
        <v>0</v>
      </c>
      <c r="C1092" t="s">
        <v>45388</v>
      </c>
      <c r="D1092">
        <v>1037022454355</v>
      </c>
      <c r="E1092">
        <v>1</v>
      </c>
      <c r="F1092">
        <v>6149654041</v>
      </c>
      <c r="G1092">
        <v>9002000</v>
      </c>
      <c r="H1092" t="s">
        <v>40293</v>
      </c>
      <c r="I1092">
        <v>3088</v>
      </c>
      <c r="J1092">
        <v>4</v>
      </c>
      <c r="K1092">
        <v>5</v>
      </c>
    </row>
    <row r="1093" spans="1:11">
      <c r="A1093">
        <v>90</v>
      </c>
      <c r="B1093" t="b">
        <v>0</v>
      </c>
      <c r="C1093" t="s">
        <v>41870</v>
      </c>
      <c r="D1093">
        <v>1037022454355</v>
      </c>
      <c r="E1093">
        <v>1</v>
      </c>
      <c r="F1093">
        <v>6127598825</v>
      </c>
      <c r="G1093">
        <v>7199000</v>
      </c>
      <c r="H1093" t="s">
        <v>40293</v>
      </c>
      <c r="I1093">
        <v>3090</v>
      </c>
      <c r="J1093">
        <v>7</v>
      </c>
      <c r="K1093">
        <v>7</v>
      </c>
    </row>
    <row r="1094" spans="1:11">
      <c r="A1094">
        <v>90</v>
      </c>
      <c r="B1094" t="b">
        <v>0</v>
      </c>
      <c r="C1094" t="s">
        <v>42488</v>
      </c>
      <c r="D1094">
        <v>1037022454355</v>
      </c>
      <c r="E1094">
        <v>1</v>
      </c>
      <c r="F1094">
        <v>6132216199</v>
      </c>
      <c r="G1094">
        <v>7197000</v>
      </c>
      <c r="H1094" t="s">
        <v>40293</v>
      </c>
      <c r="I1094">
        <v>3090</v>
      </c>
      <c r="J1094">
        <v>6</v>
      </c>
      <c r="K1094">
        <v>6</v>
      </c>
    </row>
    <row r="1095" spans="1:11">
      <c r="A1095">
        <v>90</v>
      </c>
      <c r="B1095" t="b">
        <v>0</v>
      </c>
      <c r="C1095" t="s">
        <v>42417</v>
      </c>
      <c r="D1095">
        <v>1037022454355</v>
      </c>
      <c r="E1095">
        <v>1</v>
      </c>
      <c r="F1095">
        <v>6132801964</v>
      </c>
      <c r="G1095">
        <v>7190000</v>
      </c>
      <c r="H1095" t="s">
        <v>40293</v>
      </c>
      <c r="I1095">
        <v>3090</v>
      </c>
      <c r="J1095">
        <v>7</v>
      </c>
      <c r="K1095">
        <v>7</v>
      </c>
    </row>
    <row r="1096" spans="1:11">
      <c r="A1096">
        <v>90</v>
      </c>
      <c r="B1096" t="b">
        <v>0</v>
      </c>
      <c r="C1096" t="s">
        <v>45850</v>
      </c>
      <c r="D1096">
        <v>1037022454355</v>
      </c>
      <c r="E1096">
        <v>1</v>
      </c>
      <c r="F1096">
        <v>6147332942</v>
      </c>
      <c r="G1096">
        <v>7181000</v>
      </c>
      <c r="H1096" t="s">
        <v>40293</v>
      </c>
      <c r="I1096">
        <v>3090</v>
      </c>
      <c r="J1096">
        <v>2</v>
      </c>
      <c r="K1096">
        <v>2</v>
      </c>
    </row>
    <row r="1097" spans="1:11">
      <c r="A1097">
        <v>90</v>
      </c>
      <c r="B1097" t="b">
        <v>0</v>
      </c>
      <c r="C1097" t="s">
        <v>44704</v>
      </c>
      <c r="D1097">
        <v>1037022454355</v>
      </c>
      <c r="E1097">
        <v>1</v>
      </c>
      <c r="F1097">
        <v>6128444350</v>
      </c>
      <c r="G1097">
        <v>7180000</v>
      </c>
      <c r="H1097" t="s">
        <v>40293</v>
      </c>
      <c r="I1097">
        <v>3090</v>
      </c>
      <c r="J1097">
        <v>19</v>
      </c>
      <c r="K1097">
        <v>20</v>
      </c>
    </row>
    <row r="1098" spans="1:11">
      <c r="A1098">
        <v>90</v>
      </c>
      <c r="B1098" t="b">
        <v>0</v>
      </c>
      <c r="C1098" t="s">
        <v>45924</v>
      </c>
      <c r="D1098">
        <v>1037022454355</v>
      </c>
      <c r="E1098">
        <v>1</v>
      </c>
      <c r="F1098">
        <v>6134128179</v>
      </c>
      <c r="G1098">
        <v>7179000</v>
      </c>
      <c r="H1098" t="s">
        <v>40293</v>
      </c>
      <c r="I1098">
        <v>3090</v>
      </c>
      <c r="J1098">
        <v>17</v>
      </c>
      <c r="K1098">
        <v>25</v>
      </c>
    </row>
    <row r="1099" spans="1:11">
      <c r="A1099">
        <v>90</v>
      </c>
      <c r="B1099" t="b">
        <v>0</v>
      </c>
      <c r="C1099" t="s">
        <v>46001</v>
      </c>
      <c r="D1099">
        <v>1037022454355</v>
      </c>
      <c r="E1099">
        <v>1</v>
      </c>
      <c r="F1099">
        <v>6120132701</v>
      </c>
      <c r="G1099">
        <v>7170000</v>
      </c>
      <c r="H1099" t="s">
        <v>40293</v>
      </c>
      <c r="I1099">
        <v>3090</v>
      </c>
      <c r="J1099">
        <v>7</v>
      </c>
      <c r="K1099">
        <v>8</v>
      </c>
    </row>
    <row r="1100" spans="1:11">
      <c r="A1100">
        <v>90</v>
      </c>
      <c r="B1100" t="b">
        <v>0</v>
      </c>
      <c r="C1100" t="s">
        <v>41906</v>
      </c>
      <c r="D1100">
        <v>1037022454355</v>
      </c>
      <c r="E1100">
        <v>1</v>
      </c>
      <c r="F1100">
        <v>6128978462</v>
      </c>
      <c r="G1100">
        <v>7500000</v>
      </c>
      <c r="H1100" t="s">
        <v>40293</v>
      </c>
      <c r="I1100">
        <v>3093</v>
      </c>
      <c r="J1100">
        <v>6</v>
      </c>
      <c r="K1100">
        <v>10</v>
      </c>
    </row>
    <row r="1101" spans="1:11">
      <c r="A1101">
        <v>90</v>
      </c>
      <c r="B1101" t="b">
        <v>0</v>
      </c>
      <c r="C1101" t="s">
        <v>42742</v>
      </c>
      <c r="D1101">
        <v>1037022454355</v>
      </c>
      <c r="E1101">
        <v>1</v>
      </c>
      <c r="F1101">
        <v>6134654196</v>
      </c>
      <c r="G1101">
        <v>849900</v>
      </c>
      <c r="H1101" t="s">
        <v>40293</v>
      </c>
      <c r="I1101">
        <v>3098</v>
      </c>
      <c r="J1101">
        <v>20</v>
      </c>
      <c r="K1101">
        <v>20</v>
      </c>
    </row>
    <row r="1102" spans="1:11">
      <c r="A1102">
        <v>90</v>
      </c>
      <c r="B1102" t="b">
        <v>0</v>
      </c>
      <c r="C1102" t="s">
        <v>42568</v>
      </c>
      <c r="D1102">
        <v>1037022454355</v>
      </c>
      <c r="E1102">
        <v>1</v>
      </c>
      <c r="F1102">
        <v>6134383031</v>
      </c>
      <c r="G1102">
        <v>849800</v>
      </c>
      <c r="H1102" t="s">
        <v>40293</v>
      </c>
      <c r="I1102">
        <v>3098</v>
      </c>
      <c r="J1102">
        <v>16</v>
      </c>
      <c r="K1102">
        <v>50</v>
      </c>
    </row>
    <row r="1103" spans="1:11">
      <c r="A1103">
        <v>90</v>
      </c>
      <c r="B1103" t="b">
        <v>0</v>
      </c>
      <c r="C1103" t="s">
        <v>43132</v>
      </c>
      <c r="D1103">
        <v>1037022454355</v>
      </c>
      <c r="E1103">
        <v>1</v>
      </c>
      <c r="F1103">
        <v>6138305699</v>
      </c>
      <c r="G1103">
        <v>1400000</v>
      </c>
      <c r="H1103" t="s">
        <v>40293</v>
      </c>
      <c r="I1103">
        <v>3106</v>
      </c>
      <c r="J1103">
        <v>1</v>
      </c>
      <c r="K1103">
        <v>8</v>
      </c>
    </row>
    <row r="1104" spans="1:11">
      <c r="A1104">
        <v>90</v>
      </c>
      <c r="B1104" t="b">
        <v>0</v>
      </c>
      <c r="C1104" t="s">
        <v>40621</v>
      </c>
      <c r="D1104">
        <v>1037022454355</v>
      </c>
      <c r="E1104">
        <v>1</v>
      </c>
      <c r="F1104">
        <v>6123986150</v>
      </c>
      <c r="G1104">
        <v>5800000</v>
      </c>
      <c r="H1104" t="s">
        <v>40293</v>
      </c>
      <c r="I1104">
        <v>3122</v>
      </c>
      <c r="J1104">
        <v>10</v>
      </c>
      <c r="K1104">
        <v>10</v>
      </c>
    </row>
    <row r="1105" spans="1:11">
      <c r="A1105">
        <v>90</v>
      </c>
      <c r="B1105" t="b">
        <v>0</v>
      </c>
      <c r="C1105" t="s">
        <v>41509</v>
      </c>
      <c r="D1105">
        <v>1037022454355</v>
      </c>
      <c r="E1105">
        <v>1</v>
      </c>
      <c r="F1105">
        <v>6107752603</v>
      </c>
      <c r="G1105">
        <v>5700000</v>
      </c>
      <c r="H1105" t="s">
        <v>40293</v>
      </c>
      <c r="I1105">
        <v>3122</v>
      </c>
      <c r="J1105">
        <v>10</v>
      </c>
      <c r="K1105">
        <v>10</v>
      </c>
    </row>
    <row r="1106" spans="1:11">
      <c r="A1106">
        <v>30</v>
      </c>
      <c r="B1106" t="b">
        <v>0</v>
      </c>
      <c r="C1106" t="s">
        <v>44081</v>
      </c>
      <c r="D1106">
        <v>1037022454355</v>
      </c>
      <c r="E1106">
        <v>1</v>
      </c>
      <c r="F1106">
        <v>6154463547</v>
      </c>
      <c r="G1106">
        <v>3564000</v>
      </c>
      <c r="H1106" t="s">
        <v>40293</v>
      </c>
      <c r="I1106">
        <v>3130</v>
      </c>
      <c r="J1106">
        <v>4</v>
      </c>
      <c r="K1106">
        <v>4</v>
      </c>
    </row>
    <row r="1107" spans="1:11">
      <c r="A1107">
        <v>90</v>
      </c>
      <c r="B1107" t="b">
        <v>0</v>
      </c>
      <c r="C1107" t="s">
        <v>44248</v>
      </c>
      <c r="D1107">
        <v>1037022454355</v>
      </c>
      <c r="E1107">
        <v>1</v>
      </c>
      <c r="F1107">
        <v>6149901028</v>
      </c>
      <c r="G1107">
        <v>3498000</v>
      </c>
      <c r="H1107" t="s">
        <v>40293</v>
      </c>
      <c r="I1107">
        <v>3130</v>
      </c>
      <c r="J1107">
        <v>9</v>
      </c>
      <c r="K1107">
        <v>25</v>
      </c>
    </row>
    <row r="1108" spans="1:11">
      <c r="A1108">
        <v>90</v>
      </c>
      <c r="B1108" t="b">
        <v>0</v>
      </c>
      <c r="C1108" t="s">
        <v>45218</v>
      </c>
      <c r="D1108">
        <v>1037022454355</v>
      </c>
      <c r="E1108">
        <v>1</v>
      </c>
      <c r="F1108">
        <v>6149750078</v>
      </c>
      <c r="G1108">
        <v>3497000</v>
      </c>
      <c r="H1108" t="s">
        <v>40293</v>
      </c>
      <c r="I1108">
        <v>3130</v>
      </c>
      <c r="J1108">
        <v>21</v>
      </c>
      <c r="K1108">
        <v>21</v>
      </c>
    </row>
    <row r="1109" spans="1:11">
      <c r="A1109">
        <v>90</v>
      </c>
      <c r="B1109" t="b">
        <v>0</v>
      </c>
      <c r="C1109" t="s">
        <v>41237</v>
      </c>
      <c r="D1109">
        <v>1037022454355</v>
      </c>
      <c r="E1109">
        <v>1</v>
      </c>
      <c r="F1109">
        <v>6117740844</v>
      </c>
      <c r="G1109">
        <v>131000000</v>
      </c>
      <c r="H1109" t="s">
        <v>40293</v>
      </c>
      <c r="I1109">
        <v>3137</v>
      </c>
      <c r="J1109">
        <v>4</v>
      </c>
      <c r="K1109">
        <v>4</v>
      </c>
    </row>
    <row r="1110" spans="1:11">
      <c r="A1110">
        <v>90</v>
      </c>
      <c r="B1110" t="b">
        <v>0</v>
      </c>
      <c r="C1110" t="s">
        <v>41391</v>
      </c>
      <c r="D1110">
        <v>1037022454355</v>
      </c>
      <c r="E1110">
        <v>1</v>
      </c>
      <c r="F1110">
        <v>6104999091</v>
      </c>
      <c r="G1110">
        <v>3600000</v>
      </c>
      <c r="H1110" t="s">
        <v>40293</v>
      </c>
      <c r="I1110">
        <v>3138</v>
      </c>
      <c r="J1110">
        <v>3</v>
      </c>
      <c r="K1110">
        <v>20</v>
      </c>
    </row>
    <row r="1111" spans="1:11">
      <c r="A1111">
        <v>90</v>
      </c>
      <c r="B1111" t="b">
        <v>0</v>
      </c>
      <c r="C1111" t="s">
        <v>43967</v>
      </c>
      <c r="D1111">
        <v>1037022454355</v>
      </c>
      <c r="E1111">
        <v>1</v>
      </c>
      <c r="F1111">
        <v>6138265183</v>
      </c>
      <c r="G1111">
        <v>3400000</v>
      </c>
      <c r="H1111" t="s">
        <v>40293</v>
      </c>
      <c r="I1111">
        <v>3138</v>
      </c>
      <c r="J1111">
        <v>10</v>
      </c>
      <c r="K1111">
        <v>16</v>
      </c>
    </row>
    <row r="1112" spans="1:11">
      <c r="A1112">
        <v>90</v>
      </c>
      <c r="B1112" t="b">
        <v>0</v>
      </c>
      <c r="C1112" t="s">
        <v>41152</v>
      </c>
      <c r="D1112">
        <v>1037022454355</v>
      </c>
      <c r="E1112">
        <v>1</v>
      </c>
      <c r="F1112">
        <v>6117739326</v>
      </c>
      <c r="G1112">
        <v>644000000</v>
      </c>
      <c r="H1112" t="s">
        <v>40293</v>
      </c>
      <c r="I1112">
        <v>3140</v>
      </c>
      <c r="J1112">
        <v>3</v>
      </c>
      <c r="K1112">
        <v>3</v>
      </c>
    </row>
    <row r="1113" spans="1:11">
      <c r="A1113">
        <v>90</v>
      </c>
      <c r="B1113" t="b">
        <v>0</v>
      </c>
      <c r="C1113" t="s">
        <v>46000</v>
      </c>
      <c r="D1113">
        <v>1037022454355</v>
      </c>
      <c r="E1113">
        <v>1</v>
      </c>
      <c r="F1113">
        <v>6154019377</v>
      </c>
      <c r="G1113">
        <v>4350000</v>
      </c>
      <c r="H1113" t="s">
        <v>40293</v>
      </c>
      <c r="I1113">
        <v>3146</v>
      </c>
      <c r="J1113">
        <v>20</v>
      </c>
      <c r="K1113">
        <v>25</v>
      </c>
    </row>
    <row r="1114" spans="1:11">
      <c r="A1114">
        <v>90</v>
      </c>
      <c r="B1114" t="b">
        <v>0</v>
      </c>
      <c r="C1114" t="s">
        <v>45314</v>
      </c>
      <c r="D1114">
        <v>1037022454355</v>
      </c>
      <c r="E1114">
        <v>1</v>
      </c>
      <c r="F1114">
        <v>6149748167</v>
      </c>
      <c r="G1114">
        <v>4349000</v>
      </c>
      <c r="H1114" t="s">
        <v>40293</v>
      </c>
      <c r="I1114">
        <v>3146</v>
      </c>
      <c r="J1114">
        <v>46</v>
      </c>
      <c r="K1114">
        <v>48</v>
      </c>
    </row>
    <row r="1115" spans="1:11">
      <c r="A1115">
        <v>30</v>
      </c>
      <c r="B1115" t="b">
        <v>0</v>
      </c>
      <c r="C1115" t="s">
        <v>46172</v>
      </c>
      <c r="D1115">
        <v>1037022454355</v>
      </c>
      <c r="E1115">
        <v>1</v>
      </c>
      <c r="F1115">
        <v>6156610620</v>
      </c>
      <c r="G1115">
        <v>3386000</v>
      </c>
      <c r="H1115" t="s">
        <v>40293</v>
      </c>
      <c r="I1115">
        <v>3146</v>
      </c>
      <c r="J1115">
        <v>1</v>
      </c>
      <c r="K1115">
        <v>1</v>
      </c>
    </row>
    <row r="1116" spans="1:11">
      <c r="A1116">
        <v>30</v>
      </c>
      <c r="B1116" t="b">
        <v>0</v>
      </c>
      <c r="C1116" t="s">
        <v>46172</v>
      </c>
      <c r="D1116">
        <v>1037022454355</v>
      </c>
      <c r="E1116">
        <v>1</v>
      </c>
      <c r="F1116">
        <v>6156610621</v>
      </c>
      <c r="G1116">
        <v>3386000</v>
      </c>
      <c r="H1116" t="s">
        <v>40293</v>
      </c>
      <c r="I1116">
        <v>3146</v>
      </c>
      <c r="J1116">
        <v>1</v>
      </c>
      <c r="K1116">
        <v>1</v>
      </c>
    </row>
    <row r="1117" spans="1:11">
      <c r="A1117">
        <v>90</v>
      </c>
      <c r="B1117" t="b">
        <v>0</v>
      </c>
      <c r="C1117" t="s">
        <v>41494</v>
      </c>
      <c r="D1117">
        <v>1037022454355</v>
      </c>
      <c r="E1117">
        <v>1</v>
      </c>
      <c r="F1117">
        <v>6107752222</v>
      </c>
      <c r="G1117">
        <v>7300000</v>
      </c>
      <c r="H1117" t="s">
        <v>40293</v>
      </c>
      <c r="I1117">
        <v>3154</v>
      </c>
      <c r="J1117">
        <v>20</v>
      </c>
      <c r="K1117">
        <v>20</v>
      </c>
    </row>
    <row r="1118" spans="1:11">
      <c r="A1118">
        <v>90</v>
      </c>
      <c r="B1118" t="b">
        <v>0</v>
      </c>
      <c r="C1118" t="s">
        <v>42640</v>
      </c>
      <c r="D1118">
        <v>1037022454355</v>
      </c>
      <c r="E1118">
        <v>1</v>
      </c>
      <c r="F1118">
        <v>6134128470</v>
      </c>
      <c r="G1118">
        <v>7299000</v>
      </c>
      <c r="H1118" t="s">
        <v>40293</v>
      </c>
      <c r="I1118">
        <v>3154</v>
      </c>
      <c r="J1118">
        <v>12</v>
      </c>
      <c r="K1118">
        <v>25</v>
      </c>
    </row>
    <row r="1119" spans="1:11">
      <c r="A1119">
        <v>90</v>
      </c>
      <c r="B1119" t="b">
        <v>0</v>
      </c>
      <c r="C1119" t="s">
        <v>44226</v>
      </c>
      <c r="D1119">
        <v>1037022454355</v>
      </c>
      <c r="E1119">
        <v>1</v>
      </c>
      <c r="F1119">
        <v>6147672593</v>
      </c>
      <c r="G1119">
        <v>7298000</v>
      </c>
      <c r="H1119" t="s">
        <v>40293</v>
      </c>
      <c r="I1119">
        <v>3154</v>
      </c>
      <c r="J1119">
        <v>1</v>
      </c>
      <c r="K1119">
        <v>1</v>
      </c>
    </row>
    <row r="1120" spans="1:11">
      <c r="A1120">
        <v>90</v>
      </c>
      <c r="B1120" t="b">
        <v>0</v>
      </c>
      <c r="C1120" t="s">
        <v>40702</v>
      </c>
      <c r="D1120">
        <v>1037022454355</v>
      </c>
      <c r="E1120">
        <v>1</v>
      </c>
      <c r="F1120">
        <v>6074770247</v>
      </c>
      <c r="G1120">
        <v>873300</v>
      </c>
      <c r="H1120" t="s">
        <v>40293</v>
      </c>
      <c r="I1120">
        <v>3162</v>
      </c>
      <c r="J1120">
        <v>9</v>
      </c>
      <c r="K1120">
        <v>40</v>
      </c>
    </row>
    <row r="1121" spans="1:11">
      <c r="A1121">
        <v>90</v>
      </c>
      <c r="B1121" t="b">
        <v>0</v>
      </c>
      <c r="C1121" t="s">
        <v>44425</v>
      </c>
      <c r="D1121">
        <v>1037022454355</v>
      </c>
      <c r="E1121">
        <v>1</v>
      </c>
      <c r="F1121">
        <v>6149899136</v>
      </c>
      <c r="G1121">
        <v>873200</v>
      </c>
      <c r="H1121" t="s">
        <v>40293</v>
      </c>
      <c r="I1121">
        <v>3162</v>
      </c>
      <c r="J1121">
        <v>13</v>
      </c>
      <c r="K1121">
        <v>25</v>
      </c>
    </row>
    <row r="1122" spans="1:11">
      <c r="A1122">
        <v>90</v>
      </c>
      <c r="B1122" t="b">
        <v>0</v>
      </c>
      <c r="C1122" t="s">
        <v>44763</v>
      </c>
      <c r="D1122">
        <v>1037022454355</v>
      </c>
      <c r="E1122">
        <v>1</v>
      </c>
      <c r="F1122">
        <v>6156756489</v>
      </c>
      <c r="G1122">
        <v>850000</v>
      </c>
      <c r="H1122" t="s">
        <v>40293</v>
      </c>
      <c r="I1122">
        <v>3162</v>
      </c>
      <c r="J1122">
        <v>2</v>
      </c>
      <c r="K1122">
        <v>2</v>
      </c>
    </row>
    <row r="1123" spans="1:11">
      <c r="A1123">
        <v>90</v>
      </c>
      <c r="B1123" t="b">
        <v>0</v>
      </c>
      <c r="C1123" t="s">
        <v>44729</v>
      </c>
      <c r="D1123">
        <v>1037022454355</v>
      </c>
      <c r="E1123">
        <v>1</v>
      </c>
      <c r="F1123">
        <v>6152103083</v>
      </c>
      <c r="G1123">
        <v>7500000</v>
      </c>
      <c r="H1123" t="s">
        <v>40293</v>
      </c>
      <c r="I1123">
        <v>3165</v>
      </c>
      <c r="J1123">
        <v>15</v>
      </c>
      <c r="K1123">
        <v>15</v>
      </c>
    </row>
    <row r="1124" spans="1:11">
      <c r="A1124">
        <v>90</v>
      </c>
      <c r="B1124" t="b">
        <v>0</v>
      </c>
      <c r="C1124" t="s">
        <v>40750</v>
      </c>
      <c r="D1124">
        <v>1037022454355</v>
      </c>
      <c r="E1124">
        <v>1</v>
      </c>
      <c r="F1124">
        <v>6111537158</v>
      </c>
      <c r="G1124">
        <v>9509000</v>
      </c>
      <c r="H1124" t="s">
        <v>40293</v>
      </c>
      <c r="I1124">
        <v>3168</v>
      </c>
      <c r="J1124">
        <v>8</v>
      </c>
      <c r="K1124">
        <v>10</v>
      </c>
    </row>
    <row r="1125" spans="1:11">
      <c r="A1125">
        <v>90</v>
      </c>
      <c r="B1125" t="b">
        <v>0</v>
      </c>
      <c r="C1125" t="s">
        <v>41001</v>
      </c>
      <c r="D1125">
        <v>1037022454355</v>
      </c>
      <c r="E1125">
        <v>1</v>
      </c>
      <c r="F1125">
        <v>6091063152</v>
      </c>
      <c r="G1125">
        <v>1074000</v>
      </c>
      <c r="H1125" t="s">
        <v>40293</v>
      </c>
      <c r="I1125">
        <v>3170</v>
      </c>
      <c r="J1125">
        <v>3</v>
      </c>
      <c r="K1125">
        <v>3</v>
      </c>
    </row>
    <row r="1126" spans="1:11">
      <c r="A1126">
        <v>90</v>
      </c>
      <c r="B1126" t="b">
        <v>0</v>
      </c>
      <c r="C1126" t="s">
        <v>40822</v>
      </c>
      <c r="D1126">
        <v>1037022454355</v>
      </c>
      <c r="E1126">
        <v>1</v>
      </c>
      <c r="F1126">
        <v>6099906179</v>
      </c>
      <c r="G1126">
        <v>1072000</v>
      </c>
      <c r="H1126" t="s">
        <v>40293</v>
      </c>
      <c r="I1126">
        <v>3170</v>
      </c>
      <c r="J1126">
        <v>17</v>
      </c>
      <c r="K1126">
        <v>29</v>
      </c>
    </row>
    <row r="1127" spans="1:11">
      <c r="A1127">
        <v>90</v>
      </c>
      <c r="B1127" t="b">
        <v>0</v>
      </c>
      <c r="C1127" t="s">
        <v>41265</v>
      </c>
      <c r="D1127">
        <v>1037022454355</v>
      </c>
      <c r="E1127">
        <v>1</v>
      </c>
      <c r="F1127">
        <v>6117741332</v>
      </c>
      <c r="G1127">
        <v>119000000</v>
      </c>
      <c r="H1127" t="s">
        <v>40293</v>
      </c>
      <c r="I1127">
        <v>3177</v>
      </c>
      <c r="J1127">
        <v>3</v>
      </c>
      <c r="K1127">
        <v>3</v>
      </c>
    </row>
    <row r="1128" spans="1:11">
      <c r="A1128">
        <v>90</v>
      </c>
      <c r="B1128" t="b">
        <v>0</v>
      </c>
      <c r="C1128" t="s">
        <v>45609</v>
      </c>
      <c r="D1128">
        <v>1037022454355</v>
      </c>
      <c r="E1128">
        <v>1</v>
      </c>
      <c r="F1128">
        <v>6150639718</v>
      </c>
      <c r="G1128">
        <v>2000000</v>
      </c>
      <c r="H1128" t="s">
        <v>40293</v>
      </c>
      <c r="I1128">
        <v>3178</v>
      </c>
      <c r="J1128">
        <v>21</v>
      </c>
      <c r="K1128">
        <v>25</v>
      </c>
    </row>
    <row r="1129" spans="1:11">
      <c r="A1129">
        <v>90</v>
      </c>
      <c r="B1129" t="b">
        <v>0</v>
      </c>
      <c r="C1129" t="s">
        <v>45659</v>
      </c>
      <c r="D1129">
        <v>1037022454355</v>
      </c>
      <c r="E1129">
        <v>1</v>
      </c>
      <c r="F1129">
        <v>6151164693</v>
      </c>
      <c r="G1129">
        <v>1775000</v>
      </c>
      <c r="H1129" t="s">
        <v>40293</v>
      </c>
      <c r="I1129">
        <v>3178</v>
      </c>
      <c r="J1129">
        <v>3</v>
      </c>
      <c r="K1129">
        <v>3</v>
      </c>
    </row>
    <row r="1130" spans="1:11">
      <c r="A1130">
        <v>30</v>
      </c>
      <c r="B1130" t="b">
        <v>0</v>
      </c>
      <c r="C1130" t="s">
        <v>46478</v>
      </c>
      <c r="D1130">
        <v>1037022454355</v>
      </c>
      <c r="E1130">
        <v>1</v>
      </c>
      <c r="F1130">
        <v>6151290724</v>
      </c>
      <c r="G1130">
        <v>1690000</v>
      </c>
      <c r="H1130" t="s">
        <v>40293</v>
      </c>
      <c r="I1130">
        <v>3178</v>
      </c>
      <c r="J1130">
        <v>4</v>
      </c>
      <c r="K1130">
        <v>12</v>
      </c>
    </row>
    <row r="1131" spans="1:11">
      <c r="A1131">
        <v>90</v>
      </c>
      <c r="B1131" t="b">
        <v>0</v>
      </c>
      <c r="C1131" t="s">
        <v>45459</v>
      </c>
      <c r="D1131">
        <v>1037022454355</v>
      </c>
      <c r="E1131">
        <v>1</v>
      </c>
      <c r="F1131">
        <v>6153423213</v>
      </c>
      <c r="G1131">
        <v>1680000</v>
      </c>
      <c r="H1131" t="s">
        <v>40293</v>
      </c>
      <c r="I1131">
        <v>3178</v>
      </c>
      <c r="J1131">
        <v>4</v>
      </c>
      <c r="K1131">
        <v>15</v>
      </c>
    </row>
    <row r="1132" spans="1:11">
      <c r="A1132">
        <v>90</v>
      </c>
      <c r="B1132" t="b">
        <v>0</v>
      </c>
      <c r="C1132" t="s">
        <v>45243</v>
      </c>
      <c r="D1132">
        <v>1037022454355</v>
      </c>
      <c r="E1132">
        <v>1</v>
      </c>
      <c r="F1132">
        <v>6155353757</v>
      </c>
      <c r="G1132">
        <v>1679000</v>
      </c>
      <c r="H1132" t="s">
        <v>40293</v>
      </c>
      <c r="I1132">
        <v>3178</v>
      </c>
      <c r="J1132">
        <v>12</v>
      </c>
      <c r="K1132">
        <v>12</v>
      </c>
    </row>
    <row r="1133" spans="1:11">
      <c r="A1133">
        <v>90</v>
      </c>
      <c r="B1133" t="b">
        <v>0</v>
      </c>
      <c r="C1133" t="s">
        <v>44166</v>
      </c>
      <c r="D1133">
        <v>1037022454355</v>
      </c>
      <c r="E1133">
        <v>1</v>
      </c>
      <c r="F1133">
        <v>6144427767</v>
      </c>
      <c r="G1133">
        <v>1678000</v>
      </c>
      <c r="H1133" t="s">
        <v>40293</v>
      </c>
      <c r="I1133">
        <v>3178</v>
      </c>
      <c r="J1133">
        <v>37</v>
      </c>
      <c r="K1133">
        <v>48</v>
      </c>
    </row>
    <row r="1134" spans="1:11">
      <c r="A1134">
        <v>90</v>
      </c>
      <c r="B1134" t="b">
        <v>0</v>
      </c>
      <c r="C1134" t="s">
        <v>44833</v>
      </c>
      <c r="D1134">
        <v>1037022454355</v>
      </c>
      <c r="E1134">
        <v>1</v>
      </c>
      <c r="F1134">
        <v>6151317934</v>
      </c>
      <c r="G1134">
        <v>1677000</v>
      </c>
      <c r="H1134" t="s">
        <v>40293</v>
      </c>
      <c r="I1134">
        <v>3178</v>
      </c>
      <c r="J1134">
        <v>16</v>
      </c>
      <c r="K1134">
        <v>16</v>
      </c>
    </row>
    <row r="1135" spans="1:11">
      <c r="A1135">
        <v>90</v>
      </c>
      <c r="B1135" t="b">
        <v>0</v>
      </c>
      <c r="C1135" t="s">
        <v>41067</v>
      </c>
      <c r="D1135">
        <v>1037022454355</v>
      </c>
      <c r="E1135">
        <v>1</v>
      </c>
      <c r="F1135">
        <v>6098371714</v>
      </c>
      <c r="G1135">
        <v>6973000</v>
      </c>
      <c r="H1135" t="s">
        <v>40293</v>
      </c>
      <c r="I1135">
        <v>3186</v>
      </c>
      <c r="J1135">
        <v>5</v>
      </c>
      <c r="K1135">
        <v>10</v>
      </c>
    </row>
    <row r="1136" spans="1:11">
      <c r="A1136">
        <v>90</v>
      </c>
      <c r="B1136" t="b">
        <v>0</v>
      </c>
      <c r="C1136" t="s">
        <v>40761</v>
      </c>
      <c r="D1136">
        <v>1037022454355</v>
      </c>
      <c r="E1136">
        <v>1</v>
      </c>
      <c r="F1136">
        <v>6111144309</v>
      </c>
      <c r="G1136">
        <v>6971000</v>
      </c>
      <c r="H1136" t="s">
        <v>40293</v>
      </c>
      <c r="I1136">
        <v>3186</v>
      </c>
      <c r="J1136">
        <v>10</v>
      </c>
      <c r="K1136">
        <v>10</v>
      </c>
    </row>
    <row r="1137" spans="1:11">
      <c r="A1137">
        <v>90</v>
      </c>
      <c r="B1137" t="b">
        <v>0</v>
      </c>
      <c r="C1137" t="s">
        <v>46007</v>
      </c>
      <c r="D1137">
        <v>1037022454355</v>
      </c>
      <c r="E1137">
        <v>1</v>
      </c>
      <c r="F1137">
        <v>6152512137</v>
      </c>
      <c r="G1137">
        <v>6688000</v>
      </c>
      <c r="H1137" t="s">
        <v>40293</v>
      </c>
      <c r="I1137">
        <v>3186</v>
      </c>
      <c r="J1137">
        <v>8</v>
      </c>
      <c r="K1137">
        <v>8</v>
      </c>
    </row>
    <row r="1138" spans="1:11">
      <c r="A1138">
        <v>90</v>
      </c>
      <c r="B1138" t="b">
        <v>0</v>
      </c>
      <c r="C1138" t="s">
        <v>45962</v>
      </c>
      <c r="D1138">
        <v>1037022454355</v>
      </c>
      <c r="E1138">
        <v>1</v>
      </c>
      <c r="F1138">
        <v>6126133307</v>
      </c>
      <c r="G1138">
        <v>6687000</v>
      </c>
      <c r="H1138" t="s">
        <v>40293</v>
      </c>
      <c r="I1138">
        <v>3186</v>
      </c>
      <c r="J1138">
        <v>7</v>
      </c>
      <c r="K1138">
        <v>25</v>
      </c>
    </row>
    <row r="1139" spans="1:11">
      <c r="A1139">
        <v>90</v>
      </c>
      <c r="B1139" t="b">
        <v>0</v>
      </c>
      <c r="C1139" t="s">
        <v>44610</v>
      </c>
      <c r="D1139">
        <v>1037022454355</v>
      </c>
      <c r="E1139">
        <v>1</v>
      </c>
      <c r="F1139">
        <v>6147277790</v>
      </c>
      <c r="G1139">
        <v>17000000</v>
      </c>
      <c r="H1139" t="s">
        <v>40293</v>
      </c>
      <c r="I1139">
        <v>3204</v>
      </c>
      <c r="J1139">
        <v>17</v>
      </c>
      <c r="K1139">
        <v>17</v>
      </c>
    </row>
    <row r="1140" spans="1:11">
      <c r="A1140">
        <v>90</v>
      </c>
      <c r="B1140" t="b">
        <v>0</v>
      </c>
      <c r="C1140" t="s">
        <v>41213</v>
      </c>
      <c r="D1140">
        <v>1037022454355</v>
      </c>
      <c r="E1140">
        <v>1</v>
      </c>
      <c r="F1140">
        <v>6117740525</v>
      </c>
      <c r="G1140">
        <v>141000000</v>
      </c>
      <c r="H1140" t="s">
        <v>40293</v>
      </c>
      <c r="I1140">
        <v>3209</v>
      </c>
      <c r="J1140">
        <v>4</v>
      </c>
      <c r="K1140">
        <v>4</v>
      </c>
    </row>
    <row r="1141" spans="1:11">
      <c r="A1141">
        <v>90</v>
      </c>
      <c r="B1141" t="b">
        <v>0</v>
      </c>
      <c r="C1141" t="s">
        <v>45572</v>
      </c>
      <c r="D1141">
        <v>1037022454355</v>
      </c>
      <c r="E1141">
        <v>1</v>
      </c>
      <c r="F1141">
        <v>6117740084</v>
      </c>
      <c r="G1141">
        <v>629900000</v>
      </c>
      <c r="H1141" t="s">
        <v>40293</v>
      </c>
      <c r="I1141">
        <v>3214</v>
      </c>
      <c r="J1141">
        <v>2</v>
      </c>
      <c r="K1141">
        <v>3</v>
      </c>
    </row>
    <row r="1142" spans="1:11">
      <c r="A1142">
        <v>90</v>
      </c>
      <c r="B1142" t="b">
        <v>0</v>
      </c>
      <c r="C1142" t="s">
        <v>45299</v>
      </c>
      <c r="D1142">
        <v>1037022454355</v>
      </c>
      <c r="E1142">
        <v>1</v>
      </c>
      <c r="F1142">
        <v>6141919732</v>
      </c>
      <c r="G1142">
        <v>629800000</v>
      </c>
      <c r="H1142" t="s">
        <v>40293</v>
      </c>
      <c r="I1142">
        <v>3214</v>
      </c>
      <c r="J1142">
        <v>1</v>
      </c>
      <c r="K1142">
        <v>1</v>
      </c>
    </row>
    <row r="1143" spans="1:11">
      <c r="A1143">
        <v>90</v>
      </c>
      <c r="B1143" t="b">
        <v>0</v>
      </c>
      <c r="C1143" t="s">
        <v>44274</v>
      </c>
      <c r="D1143">
        <v>1037022454355</v>
      </c>
      <c r="E1143">
        <v>1</v>
      </c>
      <c r="F1143">
        <v>6154816657</v>
      </c>
      <c r="G1143">
        <v>3200000</v>
      </c>
      <c r="H1143" t="s">
        <v>40293</v>
      </c>
      <c r="I1143">
        <v>3244</v>
      </c>
      <c r="J1143">
        <v>5</v>
      </c>
      <c r="K1143">
        <v>9</v>
      </c>
    </row>
    <row r="1144" spans="1:11">
      <c r="A1144">
        <v>90</v>
      </c>
      <c r="B1144" t="b">
        <v>0</v>
      </c>
      <c r="C1144" t="s">
        <v>46161</v>
      </c>
      <c r="D1144">
        <v>1037022454355</v>
      </c>
      <c r="E1144">
        <v>1</v>
      </c>
      <c r="F1144">
        <v>6155070348</v>
      </c>
      <c r="G1144">
        <v>2000000</v>
      </c>
      <c r="H1144" t="s">
        <v>40293</v>
      </c>
      <c r="I1144">
        <v>3244</v>
      </c>
      <c r="J1144">
        <v>6</v>
      </c>
      <c r="K1144">
        <v>10</v>
      </c>
    </row>
    <row r="1145" spans="1:11">
      <c r="A1145">
        <v>90</v>
      </c>
      <c r="B1145" t="b">
        <v>0</v>
      </c>
      <c r="C1145" t="s">
        <v>40566</v>
      </c>
      <c r="D1145">
        <v>1037022454355</v>
      </c>
      <c r="E1145">
        <v>1</v>
      </c>
      <c r="F1145">
        <v>6093838471</v>
      </c>
      <c r="G1145">
        <v>7864000</v>
      </c>
      <c r="H1145" t="s">
        <v>40293</v>
      </c>
      <c r="I1145">
        <v>3256</v>
      </c>
      <c r="J1145">
        <v>12</v>
      </c>
      <c r="K1145">
        <v>20</v>
      </c>
    </row>
    <row r="1146" spans="1:11">
      <c r="A1146">
        <v>90</v>
      </c>
      <c r="B1146" t="b">
        <v>0</v>
      </c>
      <c r="C1146" t="s">
        <v>43499</v>
      </c>
      <c r="D1146">
        <v>1037022454355</v>
      </c>
      <c r="E1146">
        <v>1</v>
      </c>
      <c r="F1146">
        <v>6141559877</v>
      </c>
      <c r="G1146">
        <v>7863000</v>
      </c>
      <c r="H1146" t="s">
        <v>40293</v>
      </c>
      <c r="I1146">
        <v>3256</v>
      </c>
      <c r="J1146">
        <v>1</v>
      </c>
      <c r="K1146">
        <v>1</v>
      </c>
    </row>
    <row r="1147" spans="1:11">
      <c r="A1147">
        <v>90</v>
      </c>
      <c r="B1147" t="b">
        <v>0</v>
      </c>
      <c r="C1147" t="s">
        <v>45051</v>
      </c>
      <c r="D1147">
        <v>1037022454355</v>
      </c>
      <c r="E1147">
        <v>1</v>
      </c>
      <c r="F1147">
        <v>6157251732</v>
      </c>
      <c r="G1147">
        <v>7860000</v>
      </c>
      <c r="H1147" t="s">
        <v>40293</v>
      </c>
      <c r="I1147">
        <v>3256</v>
      </c>
      <c r="J1147">
        <v>3</v>
      </c>
      <c r="K1147">
        <v>3</v>
      </c>
    </row>
    <row r="1148" spans="1:11">
      <c r="A1148">
        <v>90</v>
      </c>
      <c r="B1148" t="b">
        <v>0</v>
      </c>
      <c r="C1148" t="s">
        <v>42255</v>
      </c>
      <c r="D1148">
        <v>1037022454355</v>
      </c>
      <c r="E1148">
        <v>1</v>
      </c>
      <c r="F1148">
        <v>6129415834</v>
      </c>
      <c r="G1148">
        <v>8444000</v>
      </c>
      <c r="H1148" t="s">
        <v>40293</v>
      </c>
      <c r="I1148">
        <v>3265</v>
      </c>
      <c r="J1148">
        <v>4</v>
      </c>
      <c r="K1148">
        <v>10</v>
      </c>
    </row>
    <row r="1149" spans="1:11">
      <c r="A1149">
        <v>90</v>
      </c>
      <c r="B1149" t="b">
        <v>0</v>
      </c>
      <c r="C1149" t="s">
        <v>42848</v>
      </c>
      <c r="D1149">
        <v>1037022454355</v>
      </c>
      <c r="E1149">
        <v>1</v>
      </c>
      <c r="F1149">
        <v>6133906456</v>
      </c>
      <c r="G1149">
        <v>8000000</v>
      </c>
      <c r="H1149" t="s">
        <v>40293</v>
      </c>
      <c r="I1149">
        <v>3265</v>
      </c>
      <c r="J1149">
        <v>2</v>
      </c>
      <c r="K1149">
        <v>5</v>
      </c>
    </row>
    <row r="1150" spans="1:11">
      <c r="A1150">
        <v>90</v>
      </c>
      <c r="B1150" t="b">
        <v>0</v>
      </c>
      <c r="C1150" t="s">
        <v>46072</v>
      </c>
      <c r="D1150">
        <v>1037022454355</v>
      </c>
      <c r="E1150">
        <v>1</v>
      </c>
      <c r="F1150">
        <v>6154020430</v>
      </c>
      <c r="G1150">
        <v>7999000</v>
      </c>
      <c r="H1150" t="s">
        <v>40293</v>
      </c>
      <c r="I1150">
        <v>3265</v>
      </c>
      <c r="J1150">
        <v>1</v>
      </c>
      <c r="K1150">
        <v>5</v>
      </c>
    </row>
    <row r="1151" spans="1:11">
      <c r="A1151">
        <v>90</v>
      </c>
      <c r="B1151" t="b">
        <v>0</v>
      </c>
      <c r="C1151" t="s">
        <v>41199</v>
      </c>
      <c r="D1151">
        <v>1037022454355</v>
      </c>
      <c r="E1151">
        <v>1</v>
      </c>
      <c r="F1151">
        <v>6115905209</v>
      </c>
      <c r="G1151">
        <v>2850000</v>
      </c>
      <c r="H1151" t="s">
        <v>40293</v>
      </c>
      <c r="I1151">
        <v>3285</v>
      </c>
      <c r="J1151">
        <v>3</v>
      </c>
      <c r="K1151">
        <v>3</v>
      </c>
    </row>
    <row r="1152" spans="1:11">
      <c r="A1152">
        <v>90</v>
      </c>
      <c r="B1152" t="b">
        <v>0</v>
      </c>
      <c r="C1152" t="s">
        <v>41696</v>
      </c>
      <c r="D1152">
        <v>1037022454355</v>
      </c>
      <c r="E1152">
        <v>1</v>
      </c>
      <c r="F1152">
        <v>6116539059</v>
      </c>
      <c r="G1152">
        <v>2825000</v>
      </c>
      <c r="H1152" t="s">
        <v>40293</v>
      </c>
      <c r="I1152">
        <v>3285</v>
      </c>
      <c r="J1152">
        <v>2</v>
      </c>
      <c r="K1152">
        <v>2</v>
      </c>
    </row>
    <row r="1153" spans="1:11">
      <c r="A1153">
        <v>90</v>
      </c>
      <c r="B1153" t="b">
        <v>0</v>
      </c>
      <c r="C1153" t="s">
        <v>42260</v>
      </c>
      <c r="D1153">
        <v>1037022454355</v>
      </c>
      <c r="E1153">
        <v>1</v>
      </c>
      <c r="F1153">
        <v>6128072701</v>
      </c>
      <c r="G1153">
        <v>2819000</v>
      </c>
      <c r="H1153" t="s">
        <v>40293</v>
      </c>
      <c r="I1153">
        <v>3285</v>
      </c>
      <c r="J1153">
        <v>3</v>
      </c>
      <c r="K1153">
        <v>3</v>
      </c>
    </row>
    <row r="1154" spans="1:11">
      <c r="A1154">
        <v>90</v>
      </c>
      <c r="B1154" t="b">
        <v>0</v>
      </c>
      <c r="C1154" t="s">
        <v>43010</v>
      </c>
      <c r="D1154">
        <v>1037022454355</v>
      </c>
      <c r="E1154">
        <v>1</v>
      </c>
      <c r="F1154">
        <v>6138302661</v>
      </c>
      <c r="G1154">
        <v>2700000</v>
      </c>
      <c r="H1154" t="s">
        <v>40293</v>
      </c>
      <c r="I1154">
        <v>3285</v>
      </c>
      <c r="J1154">
        <v>11</v>
      </c>
      <c r="K1154">
        <v>11</v>
      </c>
    </row>
    <row r="1155" spans="1:11">
      <c r="A1155">
        <v>90</v>
      </c>
      <c r="B1155" t="b">
        <v>0</v>
      </c>
      <c r="C1155" t="s">
        <v>44945</v>
      </c>
      <c r="D1155">
        <v>1037022454355</v>
      </c>
      <c r="E1155">
        <v>1</v>
      </c>
      <c r="F1155">
        <v>6128447271</v>
      </c>
      <c r="G1155">
        <v>2690000</v>
      </c>
      <c r="H1155" t="s">
        <v>40293</v>
      </c>
      <c r="I1155">
        <v>3285</v>
      </c>
      <c r="J1155">
        <v>20</v>
      </c>
      <c r="K1155">
        <v>20</v>
      </c>
    </row>
    <row r="1156" spans="1:11">
      <c r="A1156">
        <v>90</v>
      </c>
      <c r="B1156" t="b">
        <v>0</v>
      </c>
      <c r="C1156" t="s">
        <v>46104</v>
      </c>
      <c r="D1156">
        <v>1037022454355</v>
      </c>
      <c r="E1156">
        <v>1</v>
      </c>
      <c r="F1156">
        <v>6156734826</v>
      </c>
      <c r="G1156">
        <v>2689000</v>
      </c>
      <c r="H1156" t="s">
        <v>40293</v>
      </c>
      <c r="I1156">
        <v>3285</v>
      </c>
      <c r="J1156">
        <v>2</v>
      </c>
      <c r="K1156">
        <v>2</v>
      </c>
    </row>
    <row r="1157" spans="1:11">
      <c r="A1157">
        <v>90</v>
      </c>
      <c r="B1157" t="b">
        <v>0</v>
      </c>
      <c r="C1157" t="s">
        <v>44875</v>
      </c>
      <c r="D1157">
        <v>1037022454355</v>
      </c>
      <c r="E1157">
        <v>1</v>
      </c>
      <c r="F1157">
        <v>6156311718</v>
      </c>
      <c r="G1157">
        <v>299000</v>
      </c>
      <c r="H1157" t="s">
        <v>40293</v>
      </c>
      <c r="I1157">
        <v>3293</v>
      </c>
      <c r="J1157">
        <v>18</v>
      </c>
      <c r="K1157">
        <v>20</v>
      </c>
    </row>
    <row r="1158" spans="1:11">
      <c r="A1158">
        <v>90</v>
      </c>
      <c r="B1158" t="b">
        <v>0</v>
      </c>
      <c r="C1158" t="s">
        <v>40774</v>
      </c>
      <c r="D1158">
        <v>1037022454355</v>
      </c>
      <c r="E1158">
        <v>1</v>
      </c>
      <c r="F1158">
        <v>6119305649</v>
      </c>
      <c r="G1158">
        <v>109500</v>
      </c>
      <c r="H1158" t="s">
        <v>40293</v>
      </c>
      <c r="I1158">
        <v>3296</v>
      </c>
      <c r="J1158">
        <v>41</v>
      </c>
      <c r="K1158">
        <v>50</v>
      </c>
    </row>
    <row r="1159" spans="1:11">
      <c r="A1159">
        <v>90</v>
      </c>
      <c r="B1159" t="b">
        <v>0</v>
      </c>
      <c r="C1159" t="s">
        <v>46451</v>
      </c>
      <c r="D1159">
        <v>1037022454355</v>
      </c>
      <c r="E1159">
        <v>1</v>
      </c>
      <c r="F1159">
        <v>6150552326</v>
      </c>
      <c r="G1159">
        <v>109300</v>
      </c>
      <c r="H1159" t="s">
        <v>40293</v>
      </c>
      <c r="I1159">
        <v>3296</v>
      </c>
      <c r="J1159">
        <v>161</v>
      </c>
      <c r="K1159">
        <v>178</v>
      </c>
    </row>
    <row r="1160" spans="1:11">
      <c r="A1160">
        <v>90</v>
      </c>
      <c r="B1160" t="b">
        <v>0</v>
      </c>
      <c r="C1160" t="s">
        <v>40824</v>
      </c>
      <c r="D1160">
        <v>1037022454355</v>
      </c>
      <c r="E1160">
        <v>1</v>
      </c>
      <c r="F1160">
        <v>6067629751</v>
      </c>
      <c r="G1160">
        <v>280000</v>
      </c>
      <c r="H1160" t="s">
        <v>40293</v>
      </c>
      <c r="I1160">
        <v>3297</v>
      </c>
      <c r="J1160">
        <v>143</v>
      </c>
      <c r="K1160">
        <v>300</v>
      </c>
    </row>
    <row r="1161" spans="1:11">
      <c r="A1161">
        <v>90</v>
      </c>
      <c r="B1161" t="b">
        <v>0</v>
      </c>
      <c r="C1161" t="s">
        <v>45315</v>
      </c>
      <c r="D1161">
        <v>1037022454355</v>
      </c>
      <c r="E1161">
        <v>1</v>
      </c>
      <c r="F1161">
        <v>6147785403</v>
      </c>
      <c r="G1161">
        <v>270000</v>
      </c>
      <c r="H1161" t="s">
        <v>40293</v>
      </c>
      <c r="I1161">
        <v>3297</v>
      </c>
      <c r="J1161">
        <v>1</v>
      </c>
      <c r="K1161">
        <v>1</v>
      </c>
    </row>
    <row r="1162" spans="1:11">
      <c r="A1162">
        <v>90</v>
      </c>
      <c r="B1162" t="b">
        <v>0</v>
      </c>
      <c r="C1162" t="s">
        <v>41682</v>
      </c>
      <c r="D1162">
        <v>1037022454355</v>
      </c>
      <c r="E1162">
        <v>1</v>
      </c>
      <c r="F1162">
        <v>6107854912</v>
      </c>
      <c r="G1162">
        <v>270000</v>
      </c>
      <c r="H1162" t="s">
        <v>40293</v>
      </c>
      <c r="I1162">
        <v>3297</v>
      </c>
      <c r="J1162">
        <v>174</v>
      </c>
      <c r="K1162">
        <v>300</v>
      </c>
    </row>
    <row r="1163" spans="1:11">
      <c r="A1163">
        <v>90</v>
      </c>
      <c r="B1163" t="b">
        <v>0</v>
      </c>
      <c r="C1163" t="s">
        <v>42666</v>
      </c>
      <c r="D1163">
        <v>1037022454355</v>
      </c>
      <c r="E1163">
        <v>1</v>
      </c>
      <c r="F1163">
        <v>6079173344</v>
      </c>
      <c r="G1163">
        <v>1100000</v>
      </c>
      <c r="H1163" t="s">
        <v>40293</v>
      </c>
      <c r="I1163">
        <v>3333</v>
      </c>
      <c r="J1163">
        <v>1</v>
      </c>
      <c r="K1163">
        <v>1</v>
      </c>
    </row>
    <row r="1164" spans="1:11">
      <c r="A1164">
        <v>30</v>
      </c>
      <c r="B1164" t="b">
        <v>0</v>
      </c>
      <c r="C1164" t="s">
        <v>42956</v>
      </c>
      <c r="D1164">
        <v>1037022454355</v>
      </c>
      <c r="E1164">
        <v>1</v>
      </c>
      <c r="F1164">
        <v>6144657280</v>
      </c>
      <c r="G1164">
        <v>14990000</v>
      </c>
      <c r="H1164" t="s">
        <v>40293</v>
      </c>
      <c r="I1164">
        <v>3336</v>
      </c>
      <c r="J1164">
        <v>1</v>
      </c>
      <c r="K1164">
        <v>1</v>
      </c>
    </row>
    <row r="1165" spans="1:11">
      <c r="A1165">
        <v>30</v>
      </c>
      <c r="B1165" t="b">
        <v>0</v>
      </c>
      <c r="C1165" t="s">
        <v>42956</v>
      </c>
      <c r="D1165">
        <v>1037022454355</v>
      </c>
      <c r="E1165">
        <v>1</v>
      </c>
      <c r="F1165">
        <v>6144657281</v>
      </c>
      <c r="G1165">
        <v>14990000</v>
      </c>
      <c r="H1165" t="s">
        <v>40293</v>
      </c>
      <c r="I1165">
        <v>3338</v>
      </c>
      <c r="J1165">
        <v>1</v>
      </c>
      <c r="K1165">
        <v>1</v>
      </c>
    </row>
    <row r="1166" spans="1:11">
      <c r="A1166">
        <v>90</v>
      </c>
      <c r="B1166" t="b">
        <v>0</v>
      </c>
      <c r="C1166" t="s">
        <v>41039</v>
      </c>
      <c r="D1166">
        <v>1037022454355</v>
      </c>
      <c r="E1166">
        <v>1</v>
      </c>
      <c r="F1166">
        <v>6096372206</v>
      </c>
      <c r="G1166">
        <v>999900</v>
      </c>
      <c r="H1166" t="s">
        <v>40293</v>
      </c>
      <c r="I1166">
        <v>3348</v>
      </c>
      <c r="J1166">
        <v>5</v>
      </c>
      <c r="K1166">
        <v>5</v>
      </c>
    </row>
    <row r="1167" spans="1:11">
      <c r="A1167">
        <v>30</v>
      </c>
      <c r="B1167" t="b">
        <v>0</v>
      </c>
      <c r="C1167" t="s">
        <v>43085</v>
      </c>
      <c r="D1167">
        <v>1037022454355</v>
      </c>
      <c r="E1167">
        <v>1</v>
      </c>
      <c r="F1167">
        <v>6144661848</v>
      </c>
      <c r="G1167">
        <v>9999000</v>
      </c>
      <c r="H1167" t="s">
        <v>40293</v>
      </c>
      <c r="I1167">
        <v>3403</v>
      </c>
      <c r="J1167">
        <v>1</v>
      </c>
      <c r="K1167">
        <v>1</v>
      </c>
    </row>
    <row r="1168" spans="1:11">
      <c r="A1168">
        <v>30</v>
      </c>
      <c r="B1168" t="b">
        <v>0</v>
      </c>
      <c r="C1168" t="s">
        <v>43085</v>
      </c>
      <c r="D1168">
        <v>1037022454355</v>
      </c>
      <c r="E1168">
        <v>1</v>
      </c>
      <c r="F1168">
        <v>6144661849</v>
      </c>
      <c r="G1168">
        <v>9999000</v>
      </c>
      <c r="H1168" t="s">
        <v>40293</v>
      </c>
      <c r="I1168">
        <v>3406</v>
      </c>
      <c r="J1168">
        <v>1</v>
      </c>
      <c r="K1168">
        <v>1</v>
      </c>
    </row>
    <row r="1169" spans="1:11">
      <c r="A1169">
        <v>90</v>
      </c>
      <c r="B1169" t="b">
        <v>0</v>
      </c>
      <c r="C1169" t="s">
        <v>40969</v>
      </c>
      <c r="D1169">
        <v>1037022454355</v>
      </c>
      <c r="E1169">
        <v>1</v>
      </c>
      <c r="F1169">
        <v>6123568224</v>
      </c>
      <c r="G1169">
        <v>65000</v>
      </c>
      <c r="H1169" t="s">
        <v>40293</v>
      </c>
      <c r="I1169">
        <v>3428</v>
      </c>
      <c r="J1169">
        <v>18</v>
      </c>
      <c r="K1169">
        <v>18</v>
      </c>
    </row>
    <row r="1170" spans="1:11">
      <c r="A1170">
        <v>90</v>
      </c>
      <c r="B1170" t="b">
        <v>0</v>
      </c>
      <c r="C1170" t="s">
        <v>41597</v>
      </c>
      <c r="D1170">
        <v>1037022454355</v>
      </c>
      <c r="E1170">
        <v>1</v>
      </c>
      <c r="F1170">
        <v>6123568512</v>
      </c>
      <c r="G1170">
        <v>65000</v>
      </c>
      <c r="H1170" t="s">
        <v>40293</v>
      </c>
      <c r="I1170">
        <v>3429</v>
      </c>
      <c r="J1170">
        <v>14</v>
      </c>
      <c r="K1170">
        <v>14</v>
      </c>
    </row>
    <row r="1171" spans="1:11">
      <c r="A1171">
        <v>90</v>
      </c>
      <c r="B1171" t="b">
        <v>0</v>
      </c>
      <c r="C1171" t="s">
        <v>40973</v>
      </c>
      <c r="D1171">
        <v>1037022454355</v>
      </c>
      <c r="E1171">
        <v>1</v>
      </c>
      <c r="F1171">
        <v>6123568355</v>
      </c>
      <c r="G1171">
        <v>65000</v>
      </c>
      <c r="H1171" t="s">
        <v>40293</v>
      </c>
      <c r="I1171">
        <v>3431</v>
      </c>
      <c r="J1171">
        <v>5</v>
      </c>
      <c r="K1171">
        <v>5</v>
      </c>
    </row>
    <row r="1172" spans="1:11">
      <c r="A1172">
        <v>90</v>
      </c>
      <c r="B1172" t="b">
        <v>0</v>
      </c>
      <c r="C1172" t="s">
        <v>44722</v>
      </c>
      <c r="D1172">
        <v>1037022454355</v>
      </c>
      <c r="E1172">
        <v>1</v>
      </c>
      <c r="F1172">
        <v>6152496249</v>
      </c>
      <c r="G1172">
        <v>100000</v>
      </c>
      <c r="H1172" t="s">
        <v>40293</v>
      </c>
      <c r="I1172">
        <v>3465</v>
      </c>
      <c r="J1172">
        <v>7</v>
      </c>
      <c r="K1172">
        <v>10</v>
      </c>
    </row>
    <row r="1173" spans="1:11">
      <c r="A1173">
        <v>90</v>
      </c>
      <c r="B1173" t="b">
        <v>0</v>
      </c>
      <c r="C1173" t="s">
        <v>43181</v>
      </c>
      <c r="D1173">
        <v>1037022454355</v>
      </c>
      <c r="E1173">
        <v>1</v>
      </c>
      <c r="F1173">
        <v>6108946935</v>
      </c>
      <c r="G1173">
        <v>89980</v>
      </c>
      <c r="H1173" t="s">
        <v>40293</v>
      </c>
      <c r="I1173">
        <v>3467</v>
      </c>
      <c r="J1173">
        <v>508</v>
      </c>
      <c r="K1173">
        <v>595</v>
      </c>
    </row>
    <row r="1174" spans="1:11">
      <c r="A1174">
        <v>90</v>
      </c>
      <c r="B1174" t="b">
        <v>0</v>
      </c>
      <c r="C1174" t="s">
        <v>44750</v>
      </c>
      <c r="D1174">
        <v>1037022454355</v>
      </c>
      <c r="E1174">
        <v>1</v>
      </c>
      <c r="F1174">
        <v>6152496522</v>
      </c>
      <c r="G1174">
        <v>50000</v>
      </c>
      <c r="H1174" t="s">
        <v>40293</v>
      </c>
      <c r="I1174">
        <v>3467</v>
      </c>
      <c r="J1174">
        <v>97</v>
      </c>
      <c r="K1174">
        <v>101</v>
      </c>
    </row>
    <row r="1175" spans="1:11">
      <c r="A1175">
        <v>90</v>
      </c>
      <c r="B1175" t="b">
        <v>0</v>
      </c>
      <c r="C1175" t="s">
        <v>41450</v>
      </c>
      <c r="D1175">
        <v>1037022454355</v>
      </c>
      <c r="E1175">
        <v>1</v>
      </c>
      <c r="F1175">
        <v>6121678093</v>
      </c>
      <c r="G1175">
        <v>120000000</v>
      </c>
      <c r="H1175" t="s">
        <v>40293</v>
      </c>
      <c r="I1175">
        <v>3474</v>
      </c>
      <c r="J1175">
        <v>1</v>
      </c>
      <c r="K1175">
        <v>1</v>
      </c>
    </row>
    <row r="1176" spans="1:11">
      <c r="A1176">
        <v>90</v>
      </c>
      <c r="B1176" t="b">
        <v>0</v>
      </c>
      <c r="C1176" t="s">
        <v>41456</v>
      </c>
      <c r="D1176">
        <v>1037022454355</v>
      </c>
      <c r="E1176">
        <v>1</v>
      </c>
      <c r="F1176">
        <v>6121677580</v>
      </c>
      <c r="G1176">
        <v>150000000</v>
      </c>
      <c r="H1176" t="s">
        <v>40293</v>
      </c>
      <c r="I1176">
        <v>3481</v>
      </c>
      <c r="J1176">
        <v>1</v>
      </c>
      <c r="K1176">
        <v>1</v>
      </c>
    </row>
    <row r="1177" spans="1:11">
      <c r="A1177">
        <v>90</v>
      </c>
      <c r="B1177" t="b">
        <v>0</v>
      </c>
      <c r="C1177" t="s">
        <v>45304</v>
      </c>
      <c r="D1177">
        <v>1037022454355</v>
      </c>
      <c r="E1177">
        <v>1</v>
      </c>
      <c r="F1177">
        <v>6156116057</v>
      </c>
      <c r="G1177">
        <v>699900000</v>
      </c>
      <c r="H1177" t="s">
        <v>40293</v>
      </c>
      <c r="I1177">
        <v>3482</v>
      </c>
      <c r="J1177">
        <v>1</v>
      </c>
      <c r="K1177">
        <v>1</v>
      </c>
    </row>
    <row r="1178" spans="1:11">
      <c r="A1178">
        <v>90</v>
      </c>
      <c r="B1178" t="b">
        <v>0</v>
      </c>
      <c r="C1178" t="s">
        <v>41617</v>
      </c>
      <c r="D1178">
        <v>1037022454355</v>
      </c>
      <c r="E1178">
        <v>1</v>
      </c>
      <c r="F1178">
        <v>6089536267</v>
      </c>
      <c r="G1178">
        <v>1389000</v>
      </c>
      <c r="H1178" t="s">
        <v>40293</v>
      </c>
      <c r="I1178">
        <v>3488</v>
      </c>
      <c r="J1178">
        <v>8</v>
      </c>
      <c r="K1178">
        <v>10</v>
      </c>
    </row>
    <row r="1179" spans="1:11">
      <c r="A1179">
        <v>90</v>
      </c>
      <c r="B1179" t="b">
        <v>0</v>
      </c>
      <c r="C1179" t="s">
        <v>41427</v>
      </c>
      <c r="D1179">
        <v>1037022454355</v>
      </c>
      <c r="E1179">
        <v>1</v>
      </c>
      <c r="F1179">
        <v>6091857949</v>
      </c>
      <c r="G1179">
        <v>1387000</v>
      </c>
      <c r="H1179" t="s">
        <v>40293</v>
      </c>
      <c r="I1179">
        <v>3488</v>
      </c>
      <c r="J1179">
        <v>8</v>
      </c>
      <c r="K1179">
        <v>10</v>
      </c>
    </row>
    <row r="1180" spans="1:11">
      <c r="A1180">
        <v>90</v>
      </c>
      <c r="B1180" t="b">
        <v>0</v>
      </c>
      <c r="C1180" t="s">
        <v>41108</v>
      </c>
      <c r="D1180">
        <v>1037022454355</v>
      </c>
      <c r="E1180">
        <v>1</v>
      </c>
      <c r="F1180">
        <v>6092867613</v>
      </c>
      <c r="G1180">
        <v>1385000</v>
      </c>
      <c r="H1180" t="s">
        <v>40293</v>
      </c>
      <c r="I1180">
        <v>3488</v>
      </c>
      <c r="J1180">
        <v>10</v>
      </c>
      <c r="K1180">
        <v>10</v>
      </c>
    </row>
    <row r="1181" spans="1:11">
      <c r="A1181">
        <v>90</v>
      </c>
      <c r="B1181" t="b">
        <v>0</v>
      </c>
      <c r="C1181" t="s">
        <v>41634</v>
      </c>
      <c r="D1181">
        <v>1037022454355</v>
      </c>
      <c r="E1181">
        <v>1</v>
      </c>
      <c r="F1181">
        <v>6093706094</v>
      </c>
      <c r="G1181">
        <v>1382000</v>
      </c>
      <c r="H1181" t="s">
        <v>40293</v>
      </c>
      <c r="I1181">
        <v>3488</v>
      </c>
      <c r="J1181">
        <v>10</v>
      </c>
      <c r="K1181">
        <v>10</v>
      </c>
    </row>
    <row r="1182" spans="1:11">
      <c r="A1182">
        <v>90</v>
      </c>
      <c r="B1182" t="b">
        <v>0</v>
      </c>
      <c r="C1182" t="s">
        <v>40845</v>
      </c>
      <c r="D1182">
        <v>1037022454355</v>
      </c>
      <c r="E1182">
        <v>1</v>
      </c>
      <c r="F1182">
        <v>6094336397</v>
      </c>
      <c r="G1182">
        <v>1380000</v>
      </c>
      <c r="H1182" t="s">
        <v>40293</v>
      </c>
      <c r="I1182">
        <v>3488</v>
      </c>
      <c r="J1182">
        <v>11</v>
      </c>
      <c r="K1182">
        <v>11</v>
      </c>
    </row>
    <row r="1183" spans="1:11">
      <c r="A1183">
        <v>90</v>
      </c>
      <c r="B1183" t="b">
        <v>0</v>
      </c>
      <c r="C1183" t="s">
        <v>41459</v>
      </c>
      <c r="D1183">
        <v>1037022454355</v>
      </c>
      <c r="E1183">
        <v>1</v>
      </c>
      <c r="F1183">
        <v>6097003383</v>
      </c>
      <c r="G1183">
        <v>1298000</v>
      </c>
      <c r="H1183" t="s">
        <v>40293</v>
      </c>
      <c r="I1183">
        <v>3488</v>
      </c>
      <c r="J1183">
        <v>9</v>
      </c>
      <c r="K1183">
        <v>10</v>
      </c>
    </row>
    <row r="1184" spans="1:11">
      <c r="A1184">
        <v>90</v>
      </c>
      <c r="B1184" t="b">
        <v>0</v>
      </c>
      <c r="C1184" t="s">
        <v>41371</v>
      </c>
      <c r="D1184">
        <v>1037022454355</v>
      </c>
      <c r="E1184">
        <v>1</v>
      </c>
      <c r="F1184">
        <v>6073408201</v>
      </c>
      <c r="G1184">
        <v>1291000</v>
      </c>
      <c r="H1184" t="s">
        <v>40293</v>
      </c>
      <c r="I1184">
        <v>3488</v>
      </c>
      <c r="J1184">
        <v>20</v>
      </c>
      <c r="K1184">
        <v>25</v>
      </c>
    </row>
    <row r="1185" spans="1:11">
      <c r="A1185">
        <v>90</v>
      </c>
      <c r="B1185" t="b">
        <v>0</v>
      </c>
      <c r="C1185" t="s">
        <v>40587</v>
      </c>
      <c r="D1185">
        <v>1037022454355</v>
      </c>
      <c r="E1185">
        <v>1</v>
      </c>
      <c r="F1185">
        <v>6081976851</v>
      </c>
      <c r="G1185">
        <v>1287000</v>
      </c>
      <c r="H1185" t="s">
        <v>40293</v>
      </c>
      <c r="I1185">
        <v>3488</v>
      </c>
      <c r="J1185">
        <v>10</v>
      </c>
      <c r="K1185">
        <v>10</v>
      </c>
    </row>
    <row r="1186" spans="1:11">
      <c r="A1186">
        <v>90</v>
      </c>
      <c r="B1186" t="b">
        <v>0</v>
      </c>
      <c r="C1186" t="s">
        <v>41426</v>
      </c>
      <c r="D1186">
        <v>1037022454355</v>
      </c>
      <c r="E1186">
        <v>1</v>
      </c>
      <c r="F1186">
        <v>6100279315</v>
      </c>
      <c r="G1186">
        <v>1286000</v>
      </c>
      <c r="H1186" t="s">
        <v>40293</v>
      </c>
      <c r="I1186">
        <v>3488</v>
      </c>
      <c r="J1186">
        <v>10</v>
      </c>
      <c r="K1186">
        <v>10</v>
      </c>
    </row>
    <row r="1187" spans="1:11">
      <c r="A1187">
        <v>90</v>
      </c>
      <c r="B1187" t="b">
        <v>0</v>
      </c>
      <c r="C1187" t="s">
        <v>41132</v>
      </c>
      <c r="D1187">
        <v>1037022454355</v>
      </c>
      <c r="E1187">
        <v>1</v>
      </c>
      <c r="F1187">
        <v>6084643249</v>
      </c>
      <c r="G1187">
        <v>1196000</v>
      </c>
      <c r="H1187" t="s">
        <v>40293</v>
      </c>
      <c r="I1187">
        <v>3488</v>
      </c>
      <c r="J1187">
        <v>10</v>
      </c>
      <c r="K1187">
        <v>10</v>
      </c>
    </row>
    <row r="1188" spans="1:11">
      <c r="A1188">
        <v>90</v>
      </c>
      <c r="B1188" t="b">
        <v>0</v>
      </c>
      <c r="C1188" t="s">
        <v>40866</v>
      </c>
      <c r="D1188">
        <v>1037022454355</v>
      </c>
      <c r="E1188">
        <v>1</v>
      </c>
      <c r="F1188">
        <v>6106755957</v>
      </c>
      <c r="G1188">
        <v>1191000</v>
      </c>
      <c r="H1188" t="s">
        <v>40293</v>
      </c>
      <c r="I1188">
        <v>3488</v>
      </c>
      <c r="J1188">
        <v>10</v>
      </c>
      <c r="K1188">
        <v>10</v>
      </c>
    </row>
    <row r="1189" spans="1:11">
      <c r="A1189">
        <v>90</v>
      </c>
      <c r="B1189" t="b">
        <v>0</v>
      </c>
      <c r="C1189" t="s">
        <v>40414</v>
      </c>
      <c r="D1189">
        <v>1037022454355</v>
      </c>
      <c r="E1189">
        <v>1</v>
      </c>
      <c r="F1189">
        <v>6106909553</v>
      </c>
      <c r="G1189">
        <v>1189000</v>
      </c>
      <c r="H1189" t="s">
        <v>40293</v>
      </c>
      <c r="I1189">
        <v>3488</v>
      </c>
      <c r="J1189">
        <v>10</v>
      </c>
      <c r="K1189">
        <v>10</v>
      </c>
    </row>
    <row r="1190" spans="1:11">
      <c r="A1190">
        <v>90</v>
      </c>
      <c r="B1190" t="b">
        <v>0</v>
      </c>
      <c r="C1190" t="s">
        <v>40396</v>
      </c>
      <c r="D1190">
        <v>1037022454355</v>
      </c>
      <c r="E1190">
        <v>1</v>
      </c>
      <c r="F1190">
        <v>6108387060</v>
      </c>
      <c r="G1190">
        <v>1185000</v>
      </c>
      <c r="H1190" t="s">
        <v>40293</v>
      </c>
      <c r="I1190">
        <v>3488</v>
      </c>
      <c r="J1190">
        <v>10</v>
      </c>
      <c r="K1190">
        <v>10</v>
      </c>
    </row>
    <row r="1191" spans="1:11">
      <c r="A1191">
        <v>90</v>
      </c>
      <c r="B1191" t="b">
        <v>0</v>
      </c>
      <c r="C1191" t="s">
        <v>41656</v>
      </c>
      <c r="D1191">
        <v>1037022454355</v>
      </c>
      <c r="E1191">
        <v>1</v>
      </c>
      <c r="F1191">
        <v>6098613799</v>
      </c>
      <c r="G1191">
        <v>1184000</v>
      </c>
      <c r="H1191" t="s">
        <v>40293</v>
      </c>
      <c r="I1191">
        <v>3488</v>
      </c>
      <c r="J1191">
        <v>30</v>
      </c>
      <c r="K1191">
        <v>30</v>
      </c>
    </row>
    <row r="1192" spans="1:11">
      <c r="A1192">
        <v>90</v>
      </c>
      <c r="B1192" t="b">
        <v>0</v>
      </c>
      <c r="C1192" t="s">
        <v>45266</v>
      </c>
      <c r="D1192">
        <v>1037022454355</v>
      </c>
      <c r="E1192">
        <v>1</v>
      </c>
      <c r="F1192">
        <v>6154248197</v>
      </c>
      <c r="G1192">
        <v>1183000</v>
      </c>
      <c r="H1192" t="s">
        <v>40293</v>
      </c>
      <c r="I1192">
        <v>3488</v>
      </c>
      <c r="J1192">
        <v>10</v>
      </c>
      <c r="K1192">
        <v>10</v>
      </c>
    </row>
    <row r="1193" spans="1:11">
      <c r="A1193">
        <v>90</v>
      </c>
      <c r="B1193" t="b">
        <v>0</v>
      </c>
      <c r="C1193" t="s">
        <v>41418</v>
      </c>
      <c r="D1193">
        <v>1037022454355</v>
      </c>
      <c r="E1193">
        <v>1</v>
      </c>
      <c r="F1193">
        <v>6072033025</v>
      </c>
      <c r="G1193">
        <v>919800</v>
      </c>
      <c r="H1193" t="s">
        <v>40293</v>
      </c>
      <c r="I1193">
        <v>3488</v>
      </c>
      <c r="J1193">
        <v>5</v>
      </c>
      <c r="K1193">
        <v>5</v>
      </c>
    </row>
    <row r="1194" spans="1:11">
      <c r="A1194">
        <v>90</v>
      </c>
      <c r="B1194" t="b">
        <v>0</v>
      </c>
      <c r="C1194" t="s">
        <v>42115</v>
      </c>
      <c r="D1194">
        <v>1037022454355</v>
      </c>
      <c r="E1194">
        <v>1</v>
      </c>
      <c r="F1194">
        <v>6067729963</v>
      </c>
      <c r="G1194">
        <v>823000</v>
      </c>
      <c r="H1194" t="s">
        <v>40293</v>
      </c>
      <c r="I1194">
        <v>3488</v>
      </c>
      <c r="J1194">
        <v>10</v>
      </c>
      <c r="K1194">
        <v>25</v>
      </c>
    </row>
    <row r="1195" spans="1:11">
      <c r="A1195">
        <v>90</v>
      </c>
      <c r="B1195" t="b">
        <v>0</v>
      </c>
      <c r="C1195" t="s">
        <v>45613</v>
      </c>
      <c r="D1195">
        <v>1037022454355</v>
      </c>
      <c r="E1195">
        <v>1</v>
      </c>
      <c r="F1195">
        <v>6153511617</v>
      </c>
      <c r="G1195">
        <v>818200</v>
      </c>
      <c r="H1195" t="s">
        <v>40293</v>
      </c>
      <c r="I1195">
        <v>3488</v>
      </c>
      <c r="J1195">
        <v>1</v>
      </c>
      <c r="K1195">
        <v>1</v>
      </c>
    </row>
    <row r="1196" spans="1:11">
      <c r="A1196">
        <v>90</v>
      </c>
      <c r="B1196" t="b">
        <v>0</v>
      </c>
      <c r="C1196" t="s">
        <v>41478</v>
      </c>
      <c r="D1196">
        <v>1037022454355</v>
      </c>
      <c r="E1196">
        <v>1</v>
      </c>
      <c r="F1196">
        <v>6107162089</v>
      </c>
      <c r="G1196">
        <v>2313000</v>
      </c>
      <c r="H1196" t="s">
        <v>40293</v>
      </c>
      <c r="I1196">
        <v>3496</v>
      </c>
      <c r="J1196">
        <v>1</v>
      </c>
      <c r="K1196">
        <v>2</v>
      </c>
    </row>
    <row r="1197" spans="1:11">
      <c r="A1197">
        <v>90</v>
      </c>
      <c r="B1197" t="b">
        <v>0</v>
      </c>
      <c r="C1197" t="s">
        <v>42242</v>
      </c>
      <c r="D1197">
        <v>1037022454355</v>
      </c>
      <c r="E1197">
        <v>1</v>
      </c>
      <c r="F1197">
        <v>6075806516</v>
      </c>
      <c r="G1197">
        <v>1945000</v>
      </c>
      <c r="H1197" t="s">
        <v>40293</v>
      </c>
      <c r="I1197">
        <v>3496</v>
      </c>
      <c r="J1197">
        <v>19</v>
      </c>
      <c r="K1197">
        <v>22</v>
      </c>
    </row>
    <row r="1198" spans="1:11">
      <c r="A1198">
        <v>90</v>
      </c>
      <c r="B1198" t="b">
        <v>0</v>
      </c>
      <c r="C1198" t="s">
        <v>43158</v>
      </c>
      <c r="D1198">
        <v>1037022454355</v>
      </c>
      <c r="E1198">
        <v>1</v>
      </c>
      <c r="F1198">
        <v>6097215295</v>
      </c>
      <c r="G1198">
        <v>1943000</v>
      </c>
      <c r="H1198" t="s">
        <v>40293</v>
      </c>
      <c r="I1198">
        <v>3496</v>
      </c>
      <c r="J1198">
        <v>5</v>
      </c>
      <c r="K1198">
        <v>11</v>
      </c>
    </row>
    <row r="1199" spans="1:11">
      <c r="A1199">
        <v>90</v>
      </c>
      <c r="B1199" t="b">
        <v>0</v>
      </c>
      <c r="C1199" t="s">
        <v>44206</v>
      </c>
      <c r="D1199">
        <v>1037022454355</v>
      </c>
      <c r="E1199">
        <v>1</v>
      </c>
      <c r="F1199">
        <v>6149900503</v>
      </c>
      <c r="G1199">
        <v>1942000</v>
      </c>
      <c r="H1199" t="s">
        <v>40293</v>
      </c>
      <c r="I1199">
        <v>3496</v>
      </c>
      <c r="J1199">
        <v>9</v>
      </c>
      <c r="K1199">
        <v>25</v>
      </c>
    </row>
    <row r="1200" spans="1:11">
      <c r="A1200">
        <v>90</v>
      </c>
      <c r="B1200" t="b">
        <v>0</v>
      </c>
      <c r="C1200" t="s">
        <v>40649</v>
      </c>
      <c r="D1200">
        <v>1037022454355</v>
      </c>
      <c r="E1200">
        <v>1</v>
      </c>
      <c r="F1200">
        <v>6119930101</v>
      </c>
      <c r="G1200">
        <v>2935000</v>
      </c>
      <c r="H1200" t="s">
        <v>40293</v>
      </c>
      <c r="I1200">
        <v>3504</v>
      </c>
      <c r="J1200">
        <v>16</v>
      </c>
      <c r="K1200">
        <v>16</v>
      </c>
    </row>
    <row r="1201" spans="1:11">
      <c r="A1201">
        <v>90</v>
      </c>
      <c r="B1201" t="b">
        <v>0</v>
      </c>
      <c r="C1201" t="s">
        <v>42159</v>
      </c>
      <c r="D1201">
        <v>1037022454355</v>
      </c>
      <c r="E1201">
        <v>1</v>
      </c>
      <c r="F1201">
        <v>6079926527</v>
      </c>
      <c r="G1201">
        <v>2930000</v>
      </c>
      <c r="H1201" t="s">
        <v>40293</v>
      </c>
      <c r="I1201">
        <v>3504</v>
      </c>
      <c r="J1201">
        <v>11</v>
      </c>
      <c r="K1201">
        <v>15</v>
      </c>
    </row>
    <row r="1202" spans="1:11">
      <c r="A1202">
        <v>90</v>
      </c>
      <c r="B1202" t="b">
        <v>0</v>
      </c>
      <c r="C1202" t="s">
        <v>43936</v>
      </c>
      <c r="D1202">
        <v>1037022454355</v>
      </c>
      <c r="E1202">
        <v>1</v>
      </c>
      <c r="F1202">
        <v>6134135514</v>
      </c>
      <c r="G1202">
        <v>2922000</v>
      </c>
      <c r="H1202" t="s">
        <v>40293</v>
      </c>
      <c r="I1202">
        <v>3504</v>
      </c>
      <c r="J1202">
        <v>20</v>
      </c>
      <c r="K1202">
        <v>25</v>
      </c>
    </row>
    <row r="1203" spans="1:11">
      <c r="A1203">
        <v>90</v>
      </c>
      <c r="B1203" t="b">
        <v>0</v>
      </c>
      <c r="C1203" t="s">
        <v>44355</v>
      </c>
      <c r="D1203">
        <v>1037022454355</v>
      </c>
      <c r="E1203">
        <v>1</v>
      </c>
      <c r="F1203">
        <v>6150066518</v>
      </c>
      <c r="G1203">
        <v>2900000</v>
      </c>
      <c r="H1203" t="s">
        <v>40293</v>
      </c>
      <c r="I1203">
        <v>3504</v>
      </c>
      <c r="J1203">
        <v>2</v>
      </c>
      <c r="K1203">
        <v>2</v>
      </c>
    </row>
    <row r="1204" spans="1:11">
      <c r="A1204">
        <v>90</v>
      </c>
      <c r="B1204" t="b">
        <v>0</v>
      </c>
      <c r="C1204" t="s">
        <v>45272</v>
      </c>
      <c r="D1204">
        <v>1037022454355</v>
      </c>
      <c r="E1204">
        <v>1</v>
      </c>
      <c r="F1204">
        <v>6154403947</v>
      </c>
      <c r="G1204">
        <v>2800000</v>
      </c>
      <c r="H1204" t="s">
        <v>40293</v>
      </c>
      <c r="I1204">
        <v>3504</v>
      </c>
      <c r="J1204">
        <v>45</v>
      </c>
      <c r="K1204">
        <v>45</v>
      </c>
    </row>
    <row r="1205" spans="1:11">
      <c r="A1205">
        <v>30</v>
      </c>
      <c r="B1205" t="b">
        <v>0</v>
      </c>
      <c r="C1205" t="s">
        <v>44298</v>
      </c>
      <c r="D1205">
        <v>1037022454355</v>
      </c>
      <c r="E1205">
        <v>1</v>
      </c>
      <c r="F1205">
        <v>6157110858</v>
      </c>
      <c r="G1205">
        <v>2799000</v>
      </c>
      <c r="H1205" t="s">
        <v>40293</v>
      </c>
      <c r="I1205">
        <v>3504</v>
      </c>
      <c r="J1205">
        <v>19</v>
      </c>
      <c r="K1205">
        <v>20</v>
      </c>
    </row>
    <row r="1206" spans="1:11">
      <c r="A1206">
        <v>90</v>
      </c>
      <c r="B1206" t="b">
        <v>0</v>
      </c>
      <c r="C1206" t="s">
        <v>42642</v>
      </c>
      <c r="D1206">
        <v>1037022454355</v>
      </c>
      <c r="E1206">
        <v>1</v>
      </c>
      <c r="F1206">
        <v>6134386248</v>
      </c>
      <c r="G1206">
        <v>3650000</v>
      </c>
      <c r="H1206" t="s">
        <v>40293</v>
      </c>
      <c r="I1206">
        <v>3512</v>
      </c>
      <c r="J1206">
        <v>25</v>
      </c>
      <c r="K1206">
        <v>25</v>
      </c>
    </row>
    <row r="1207" spans="1:11">
      <c r="A1207">
        <v>90</v>
      </c>
      <c r="B1207" t="b">
        <v>0</v>
      </c>
      <c r="C1207" t="s">
        <v>42787</v>
      </c>
      <c r="D1207">
        <v>1037022454355</v>
      </c>
      <c r="E1207">
        <v>1</v>
      </c>
      <c r="F1207">
        <v>6134722100</v>
      </c>
      <c r="G1207">
        <v>3300000</v>
      </c>
      <c r="H1207" t="s">
        <v>40293</v>
      </c>
      <c r="I1207">
        <v>3512</v>
      </c>
      <c r="J1207">
        <v>3</v>
      </c>
      <c r="K1207">
        <v>3</v>
      </c>
    </row>
    <row r="1208" spans="1:11">
      <c r="A1208">
        <v>90</v>
      </c>
      <c r="B1208" t="b">
        <v>0</v>
      </c>
      <c r="C1208" t="s">
        <v>43010</v>
      </c>
      <c r="D1208">
        <v>1037022454355</v>
      </c>
      <c r="E1208">
        <v>1</v>
      </c>
      <c r="F1208">
        <v>6138302660</v>
      </c>
      <c r="G1208">
        <v>2800000</v>
      </c>
      <c r="H1208" t="s">
        <v>40293</v>
      </c>
      <c r="I1208">
        <v>3512</v>
      </c>
      <c r="J1208">
        <v>4</v>
      </c>
      <c r="K1208">
        <v>9</v>
      </c>
    </row>
    <row r="1209" spans="1:11">
      <c r="A1209">
        <v>90</v>
      </c>
      <c r="B1209" t="b">
        <v>0</v>
      </c>
      <c r="C1209" t="s">
        <v>41632</v>
      </c>
      <c r="D1209">
        <v>1037022454355</v>
      </c>
      <c r="E1209">
        <v>1</v>
      </c>
      <c r="F1209">
        <v>6093796487</v>
      </c>
      <c r="G1209">
        <v>3697000</v>
      </c>
      <c r="H1209" t="s">
        <v>40293</v>
      </c>
      <c r="I1209">
        <v>3520</v>
      </c>
      <c r="J1209">
        <v>10</v>
      </c>
      <c r="K1209">
        <v>19</v>
      </c>
    </row>
    <row r="1210" spans="1:11">
      <c r="A1210">
        <v>90</v>
      </c>
      <c r="B1210" t="b">
        <v>0</v>
      </c>
      <c r="C1210" t="s">
        <v>40786</v>
      </c>
      <c r="D1210">
        <v>1037022454355</v>
      </c>
      <c r="E1210">
        <v>1</v>
      </c>
      <c r="F1210">
        <v>6122482508</v>
      </c>
      <c r="G1210">
        <v>3228000</v>
      </c>
      <c r="H1210" t="s">
        <v>40293</v>
      </c>
      <c r="I1210">
        <v>3520</v>
      </c>
      <c r="J1210">
        <v>5</v>
      </c>
      <c r="K1210">
        <v>5</v>
      </c>
    </row>
    <row r="1211" spans="1:11">
      <c r="A1211">
        <v>90</v>
      </c>
      <c r="B1211" t="b">
        <v>0</v>
      </c>
      <c r="C1211" t="s">
        <v>42826</v>
      </c>
      <c r="D1211">
        <v>1037022454355</v>
      </c>
      <c r="E1211">
        <v>1</v>
      </c>
      <c r="F1211">
        <v>6079641349</v>
      </c>
      <c r="G1211">
        <v>3222000</v>
      </c>
      <c r="H1211" t="s">
        <v>40293</v>
      </c>
      <c r="I1211">
        <v>3520</v>
      </c>
      <c r="J1211">
        <v>1</v>
      </c>
      <c r="K1211">
        <v>25</v>
      </c>
    </row>
    <row r="1212" spans="1:11">
      <c r="A1212">
        <v>90</v>
      </c>
      <c r="B1212" t="b">
        <v>0</v>
      </c>
      <c r="C1212" t="s">
        <v>44370</v>
      </c>
      <c r="D1212">
        <v>1037022454355</v>
      </c>
      <c r="E1212">
        <v>1</v>
      </c>
      <c r="F1212">
        <v>6148517299</v>
      </c>
      <c r="G1212">
        <v>900000</v>
      </c>
      <c r="H1212" t="s">
        <v>40293</v>
      </c>
      <c r="I1212">
        <v>3529</v>
      </c>
      <c r="J1212">
        <v>99</v>
      </c>
      <c r="K1212">
        <v>100</v>
      </c>
    </row>
    <row r="1213" spans="1:11">
      <c r="A1213">
        <v>90</v>
      </c>
      <c r="B1213" t="b">
        <v>0</v>
      </c>
      <c r="C1213" t="s">
        <v>42772</v>
      </c>
      <c r="D1213">
        <v>1037022454355</v>
      </c>
      <c r="E1213">
        <v>1</v>
      </c>
      <c r="F1213">
        <v>6134655742</v>
      </c>
      <c r="G1213">
        <v>3499000</v>
      </c>
      <c r="H1213" t="s">
        <v>40293</v>
      </c>
      <c r="I1213">
        <v>3530</v>
      </c>
      <c r="J1213">
        <v>25</v>
      </c>
      <c r="K1213">
        <v>30</v>
      </c>
    </row>
    <row r="1214" spans="1:11">
      <c r="A1214">
        <v>30</v>
      </c>
      <c r="B1214" t="b">
        <v>0</v>
      </c>
      <c r="C1214" t="s">
        <v>44081</v>
      </c>
      <c r="D1214">
        <v>1037022454355</v>
      </c>
      <c r="E1214">
        <v>1</v>
      </c>
      <c r="F1214">
        <v>6154463552</v>
      </c>
      <c r="G1214">
        <v>3496000</v>
      </c>
      <c r="H1214" t="s">
        <v>40293</v>
      </c>
      <c r="I1214">
        <v>3530</v>
      </c>
      <c r="J1214">
        <v>3</v>
      </c>
      <c r="K1214">
        <v>3</v>
      </c>
    </row>
    <row r="1215" spans="1:11">
      <c r="A1215">
        <v>90</v>
      </c>
      <c r="B1215" t="b">
        <v>0</v>
      </c>
      <c r="C1215" t="s">
        <v>44650</v>
      </c>
      <c r="D1215">
        <v>1037022454355</v>
      </c>
      <c r="E1215">
        <v>1</v>
      </c>
      <c r="F1215">
        <v>6152397072</v>
      </c>
      <c r="G1215">
        <v>3494000</v>
      </c>
      <c r="H1215" t="s">
        <v>40293</v>
      </c>
      <c r="I1215">
        <v>3530</v>
      </c>
      <c r="J1215">
        <v>71</v>
      </c>
      <c r="K1215">
        <v>71</v>
      </c>
    </row>
    <row r="1216" spans="1:11">
      <c r="A1216">
        <v>90</v>
      </c>
      <c r="B1216" t="b">
        <v>0</v>
      </c>
      <c r="C1216" t="s">
        <v>44951</v>
      </c>
      <c r="D1216">
        <v>1037022454355</v>
      </c>
      <c r="E1216">
        <v>1</v>
      </c>
      <c r="F1216">
        <v>6145519488</v>
      </c>
      <c r="G1216">
        <v>3493000</v>
      </c>
      <c r="H1216" t="s">
        <v>40293</v>
      </c>
      <c r="I1216">
        <v>3530</v>
      </c>
      <c r="J1216">
        <v>7</v>
      </c>
      <c r="K1216">
        <v>20</v>
      </c>
    </row>
    <row r="1217" spans="1:11">
      <c r="A1217">
        <v>90</v>
      </c>
      <c r="B1217" t="b">
        <v>0</v>
      </c>
      <c r="C1217" t="s">
        <v>46421</v>
      </c>
      <c r="D1217">
        <v>1037022454355</v>
      </c>
      <c r="E1217">
        <v>1</v>
      </c>
      <c r="F1217">
        <v>6152616398</v>
      </c>
      <c r="G1217">
        <v>3492000</v>
      </c>
      <c r="H1217" t="s">
        <v>40293</v>
      </c>
      <c r="I1217">
        <v>3530</v>
      </c>
      <c r="J1217">
        <v>15</v>
      </c>
      <c r="K1217">
        <v>25</v>
      </c>
    </row>
    <row r="1218" spans="1:11">
      <c r="A1218">
        <v>90</v>
      </c>
      <c r="B1218" t="b">
        <v>0</v>
      </c>
      <c r="C1218" t="s">
        <v>41218</v>
      </c>
      <c r="D1218">
        <v>1037022454355</v>
      </c>
      <c r="E1218">
        <v>1</v>
      </c>
      <c r="F1218">
        <v>6122917913</v>
      </c>
      <c r="G1218">
        <v>3497000</v>
      </c>
      <c r="H1218" t="s">
        <v>40293</v>
      </c>
      <c r="I1218">
        <v>3540</v>
      </c>
      <c r="J1218">
        <v>2</v>
      </c>
      <c r="K1218">
        <v>2</v>
      </c>
    </row>
    <row r="1219" spans="1:11">
      <c r="A1219">
        <v>90</v>
      </c>
      <c r="B1219" t="b">
        <v>0</v>
      </c>
      <c r="C1219" t="s">
        <v>42700</v>
      </c>
      <c r="D1219">
        <v>1037022454355</v>
      </c>
      <c r="E1219">
        <v>1</v>
      </c>
      <c r="F1219">
        <v>6132627997</v>
      </c>
      <c r="G1219">
        <v>3324000</v>
      </c>
      <c r="H1219" t="s">
        <v>40293</v>
      </c>
      <c r="I1219">
        <v>3540</v>
      </c>
      <c r="J1219">
        <v>3</v>
      </c>
      <c r="K1219">
        <v>4</v>
      </c>
    </row>
    <row r="1220" spans="1:11">
      <c r="A1220">
        <v>90</v>
      </c>
      <c r="B1220" t="b">
        <v>0</v>
      </c>
      <c r="C1220" t="s">
        <v>43060</v>
      </c>
      <c r="D1220">
        <v>1037022454355</v>
      </c>
      <c r="E1220">
        <v>1</v>
      </c>
      <c r="F1220">
        <v>6138762583</v>
      </c>
      <c r="G1220">
        <v>3200000</v>
      </c>
      <c r="H1220" t="s">
        <v>40293</v>
      </c>
      <c r="I1220">
        <v>3540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43132</v>
      </c>
      <c r="D1221">
        <v>1037022454355</v>
      </c>
      <c r="E1221">
        <v>1</v>
      </c>
      <c r="F1221">
        <v>6138305702</v>
      </c>
      <c r="G1221">
        <v>3200000</v>
      </c>
      <c r="H1221" t="s">
        <v>40293</v>
      </c>
      <c r="I1221">
        <v>3540</v>
      </c>
      <c r="J1221">
        <v>4</v>
      </c>
      <c r="K1221">
        <v>6</v>
      </c>
    </row>
    <row r="1222" spans="1:11">
      <c r="A1222">
        <v>90</v>
      </c>
      <c r="B1222" t="b">
        <v>0</v>
      </c>
      <c r="C1222" t="s">
        <v>45372</v>
      </c>
      <c r="D1222">
        <v>1037022454355</v>
      </c>
      <c r="E1222">
        <v>1</v>
      </c>
      <c r="F1222">
        <v>6150636899</v>
      </c>
      <c r="G1222">
        <v>3199000</v>
      </c>
      <c r="H1222" t="s">
        <v>40293</v>
      </c>
      <c r="I1222">
        <v>3540</v>
      </c>
      <c r="J1222">
        <v>8</v>
      </c>
      <c r="K1222">
        <v>15</v>
      </c>
    </row>
    <row r="1223" spans="1:11">
      <c r="A1223">
        <v>90</v>
      </c>
      <c r="B1223" t="b">
        <v>0</v>
      </c>
      <c r="C1223" t="s">
        <v>41402</v>
      </c>
      <c r="D1223">
        <v>1037022454355</v>
      </c>
      <c r="E1223">
        <v>1</v>
      </c>
      <c r="F1223">
        <v>6100573585</v>
      </c>
      <c r="G1223">
        <v>452500000</v>
      </c>
      <c r="H1223" t="s">
        <v>40293</v>
      </c>
      <c r="I1223">
        <v>3542</v>
      </c>
      <c r="J1223">
        <v>1</v>
      </c>
      <c r="K1223">
        <v>1</v>
      </c>
    </row>
    <row r="1224" spans="1:11">
      <c r="A1224">
        <v>90</v>
      </c>
      <c r="B1224" t="b">
        <v>0</v>
      </c>
      <c r="C1224" t="s">
        <v>41968</v>
      </c>
      <c r="D1224">
        <v>1037022454355</v>
      </c>
      <c r="E1224">
        <v>1</v>
      </c>
      <c r="F1224">
        <v>6127054544</v>
      </c>
      <c r="G1224">
        <v>400000000</v>
      </c>
      <c r="H1224" t="s">
        <v>40293</v>
      </c>
      <c r="I1224">
        <v>3542</v>
      </c>
      <c r="J1224">
        <v>1</v>
      </c>
      <c r="K1224">
        <v>1</v>
      </c>
    </row>
    <row r="1225" spans="1:11">
      <c r="A1225">
        <v>90</v>
      </c>
      <c r="B1225" t="b">
        <v>0</v>
      </c>
      <c r="C1225" t="s">
        <v>40988</v>
      </c>
      <c r="D1225">
        <v>1037022454355</v>
      </c>
      <c r="E1225">
        <v>1</v>
      </c>
      <c r="F1225">
        <v>6125338188</v>
      </c>
      <c r="G1225">
        <v>390500000</v>
      </c>
      <c r="H1225" t="s">
        <v>40293</v>
      </c>
      <c r="I1225">
        <v>3542</v>
      </c>
      <c r="J1225">
        <v>1</v>
      </c>
      <c r="K1225">
        <v>2</v>
      </c>
    </row>
    <row r="1226" spans="1:11">
      <c r="A1226">
        <v>90</v>
      </c>
      <c r="B1226" t="b">
        <v>0</v>
      </c>
      <c r="C1226" t="s">
        <v>41919</v>
      </c>
      <c r="D1226">
        <v>1037022454355</v>
      </c>
      <c r="E1226">
        <v>1</v>
      </c>
      <c r="F1226">
        <v>6100046009</v>
      </c>
      <c r="G1226">
        <v>390400000</v>
      </c>
      <c r="H1226" t="s">
        <v>40293</v>
      </c>
      <c r="I1226">
        <v>3542</v>
      </c>
      <c r="J1226">
        <v>1</v>
      </c>
      <c r="K1226">
        <v>1</v>
      </c>
    </row>
    <row r="1227" spans="1:11">
      <c r="A1227">
        <v>90</v>
      </c>
      <c r="B1227" t="b">
        <v>0</v>
      </c>
      <c r="C1227" t="s">
        <v>45318</v>
      </c>
      <c r="D1227">
        <v>1037022454355</v>
      </c>
      <c r="E1227">
        <v>1</v>
      </c>
      <c r="F1227">
        <v>6149358301</v>
      </c>
      <c r="G1227">
        <v>389800000</v>
      </c>
      <c r="H1227" t="s">
        <v>40293</v>
      </c>
      <c r="I1227">
        <v>3542</v>
      </c>
      <c r="J1227">
        <v>1</v>
      </c>
      <c r="K1227">
        <v>1</v>
      </c>
    </row>
    <row r="1228" spans="1:11">
      <c r="A1228">
        <v>90</v>
      </c>
      <c r="B1228" t="b">
        <v>0</v>
      </c>
      <c r="C1228" t="s">
        <v>45382</v>
      </c>
      <c r="D1228">
        <v>1037022454355</v>
      </c>
      <c r="E1228">
        <v>1</v>
      </c>
      <c r="F1228">
        <v>6154896843</v>
      </c>
      <c r="G1228">
        <v>389000000</v>
      </c>
      <c r="H1228" t="s">
        <v>40293</v>
      </c>
      <c r="I1228">
        <v>3542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41221</v>
      </c>
      <c r="D1229">
        <v>1037022454355</v>
      </c>
      <c r="E1229">
        <v>1</v>
      </c>
      <c r="F1229">
        <v>6115479647</v>
      </c>
      <c r="G1229">
        <v>449000</v>
      </c>
      <c r="H1229" t="s">
        <v>40293</v>
      </c>
      <c r="I1229">
        <v>3566</v>
      </c>
      <c r="J1229">
        <v>10</v>
      </c>
      <c r="K1229">
        <v>10</v>
      </c>
    </row>
    <row r="1230" spans="1:11">
      <c r="A1230">
        <v>90</v>
      </c>
      <c r="B1230" t="b">
        <v>0</v>
      </c>
      <c r="C1230" t="s">
        <v>40322</v>
      </c>
      <c r="D1230">
        <v>1037022454355</v>
      </c>
      <c r="E1230">
        <v>1</v>
      </c>
      <c r="F1230">
        <v>6097273758</v>
      </c>
      <c r="G1230">
        <v>1282000</v>
      </c>
      <c r="H1230" t="s">
        <v>40293</v>
      </c>
      <c r="I1230">
        <v>3568</v>
      </c>
      <c r="J1230">
        <v>2</v>
      </c>
      <c r="K1230">
        <v>2</v>
      </c>
    </row>
    <row r="1231" spans="1:11">
      <c r="A1231">
        <v>90</v>
      </c>
      <c r="B1231" t="b">
        <v>0</v>
      </c>
      <c r="C1231" t="s">
        <v>40528</v>
      </c>
      <c r="D1231">
        <v>1037022454355</v>
      </c>
      <c r="E1231">
        <v>1</v>
      </c>
      <c r="F1231">
        <v>6097769952</v>
      </c>
      <c r="G1231">
        <v>1280000</v>
      </c>
      <c r="H1231" t="s">
        <v>40293</v>
      </c>
      <c r="I1231">
        <v>3568</v>
      </c>
      <c r="J1231">
        <v>8</v>
      </c>
      <c r="K1231">
        <v>20</v>
      </c>
    </row>
    <row r="1232" spans="1:11">
      <c r="A1232">
        <v>90</v>
      </c>
      <c r="B1232" t="b">
        <v>0</v>
      </c>
      <c r="C1232" t="s">
        <v>40884</v>
      </c>
      <c r="D1232">
        <v>1037022454355</v>
      </c>
      <c r="E1232">
        <v>1</v>
      </c>
      <c r="F1232">
        <v>6106756410</v>
      </c>
      <c r="G1232">
        <v>1278000</v>
      </c>
      <c r="H1232" t="s">
        <v>40293</v>
      </c>
      <c r="I1232">
        <v>3568</v>
      </c>
      <c r="J1232">
        <v>6</v>
      </c>
      <c r="K1232">
        <v>10</v>
      </c>
    </row>
    <row r="1233" spans="1:11">
      <c r="A1233">
        <v>90</v>
      </c>
      <c r="B1233" t="b">
        <v>0</v>
      </c>
      <c r="C1233" t="s">
        <v>41724</v>
      </c>
      <c r="D1233">
        <v>1037022454355</v>
      </c>
      <c r="E1233">
        <v>1</v>
      </c>
      <c r="F1233">
        <v>6107659402</v>
      </c>
      <c r="G1233">
        <v>1275000</v>
      </c>
      <c r="H1233" t="s">
        <v>40293</v>
      </c>
      <c r="I1233">
        <v>3568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41745</v>
      </c>
      <c r="D1234">
        <v>1037022454355</v>
      </c>
      <c r="E1234">
        <v>1</v>
      </c>
      <c r="F1234">
        <v>6067846713</v>
      </c>
      <c r="G1234">
        <v>1248000</v>
      </c>
      <c r="H1234" t="s">
        <v>40293</v>
      </c>
      <c r="I1234">
        <v>3568</v>
      </c>
      <c r="J1234">
        <v>52</v>
      </c>
      <c r="K1234">
        <v>190</v>
      </c>
    </row>
    <row r="1235" spans="1:11">
      <c r="A1235">
        <v>90</v>
      </c>
      <c r="B1235" t="b">
        <v>0</v>
      </c>
      <c r="C1235" t="s">
        <v>43799</v>
      </c>
      <c r="D1235">
        <v>1037022454355</v>
      </c>
      <c r="E1235">
        <v>1</v>
      </c>
      <c r="F1235">
        <v>6138686379</v>
      </c>
      <c r="G1235">
        <v>1247000</v>
      </c>
      <c r="H1235" t="s">
        <v>40293</v>
      </c>
      <c r="I1235">
        <v>3568</v>
      </c>
      <c r="J1235">
        <v>25</v>
      </c>
      <c r="K1235">
        <v>25</v>
      </c>
    </row>
    <row r="1236" spans="1:11">
      <c r="A1236">
        <v>90</v>
      </c>
      <c r="B1236" t="b">
        <v>0</v>
      </c>
      <c r="C1236" t="s">
        <v>43563</v>
      </c>
      <c r="D1236">
        <v>1037022454355</v>
      </c>
      <c r="E1236">
        <v>1</v>
      </c>
      <c r="F1236">
        <v>6141431002</v>
      </c>
      <c r="G1236">
        <v>1201000</v>
      </c>
      <c r="H1236" t="s">
        <v>40293</v>
      </c>
      <c r="I1236">
        <v>3568</v>
      </c>
      <c r="J1236">
        <v>5</v>
      </c>
      <c r="K1236">
        <v>5</v>
      </c>
    </row>
    <row r="1237" spans="1:11">
      <c r="A1237">
        <v>90</v>
      </c>
      <c r="B1237" t="b">
        <v>0</v>
      </c>
      <c r="C1237" t="s">
        <v>44698</v>
      </c>
      <c r="D1237">
        <v>1037022454355</v>
      </c>
      <c r="E1237">
        <v>1</v>
      </c>
      <c r="F1237">
        <v>6151283567</v>
      </c>
      <c r="G1237">
        <v>800000</v>
      </c>
      <c r="H1237" t="s">
        <v>40293</v>
      </c>
      <c r="I1237">
        <v>3568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45017</v>
      </c>
      <c r="D1238">
        <v>1037022454355</v>
      </c>
      <c r="E1238">
        <v>1</v>
      </c>
      <c r="F1238">
        <v>6151975501</v>
      </c>
      <c r="G1238">
        <v>800000</v>
      </c>
      <c r="H1238" t="s">
        <v>40293</v>
      </c>
      <c r="I1238">
        <v>3568</v>
      </c>
      <c r="J1238">
        <v>4</v>
      </c>
      <c r="K1238">
        <v>4</v>
      </c>
    </row>
    <row r="1239" spans="1:11">
      <c r="A1239">
        <v>90</v>
      </c>
      <c r="B1239" t="b">
        <v>0</v>
      </c>
      <c r="C1239" t="s">
        <v>43570</v>
      </c>
      <c r="D1239">
        <v>1037022454355</v>
      </c>
      <c r="E1239">
        <v>1</v>
      </c>
      <c r="F1239">
        <v>6138252739</v>
      </c>
      <c r="G1239">
        <v>800000</v>
      </c>
      <c r="H1239" t="s">
        <v>40293</v>
      </c>
      <c r="I1239">
        <v>3568</v>
      </c>
      <c r="J1239">
        <v>14</v>
      </c>
      <c r="K1239">
        <v>102</v>
      </c>
    </row>
    <row r="1240" spans="1:11">
      <c r="A1240">
        <v>90</v>
      </c>
      <c r="B1240" t="b">
        <v>0</v>
      </c>
      <c r="C1240" t="s">
        <v>41809</v>
      </c>
      <c r="D1240">
        <v>1037022454355</v>
      </c>
      <c r="E1240">
        <v>1</v>
      </c>
      <c r="F1240">
        <v>6081745633</v>
      </c>
      <c r="G1240">
        <v>115000000</v>
      </c>
      <c r="H1240" t="s">
        <v>40293</v>
      </c>
      <c r="I1240">
        <v>3575</v>
      </c>
      <c r="J1240">
        <v>9</v>
      </c>
      <c r="K1240">
        <v>10</v>
      </c>
    </row>
    <row r="1241" spans="1:11">
      <c r="A1241">
        <v>90</v>
      </c>
      <c r="B1241" t="b">
        <v>0</v>
      </c>
      <c r="C1241" t="s">
        <v>42783</v>
      </c>
      <c r="D1241">
        <v>1037022454355</v>
      </c>
      <c r="E1241">
        <v>1</v>
      </c>
      <c r="F1241">
        <v>6068661574</v>
      </c>
      <c r="G1241">
        <v>114000000</v>
      </c>
      <c r="H1241" t="s">
        <v>40293</v>
      </c>
      <c r="I1241">
        <v>3575</v>
      </c>
      <c r="J1241">
        <v>1</v>
      </c>
      <c r="K1241">
        <v>1</v>
      </c>
    </row>
    <row r="1242" spans="1:11">
      <c r="A1242">
        <v>90</v>
      </c>
      <c r="B1242" t="b">
        <v>0</v>
      </c>
      <c r="C1242" t="s">
        <v>43309</v>
      </c>
      <c r="D1242">
        <v>1037022454355</v>
      </c>
      <c r="E1242">
        <v>1</v>
      </c>
      <c r="F1242">
        <v>6071562083</v>
      </c>
      <c r="G1242">
        <v>113000000</v>
      </c>
      <c r="H1242" t="s">
        <v>40293</v>
      </c>
      <c r="I1242">
        <v>3575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41807</v>
      </c>
      <c r="D1243">
        <v>1037022454355</v>
      </c>
      <c r="E1243">
        <v>1</v>
      </c>
      <c r="F1243">
        <v>6128964038</v>
      </c>
      <c r="G1243">
        <v>77000000</v>
      </c>
      <c r="H1243" t="s">
        <v>40293</v>
      </c>
      <c r="I1243">
        <v>3575</v>
      </c>
      <c r="J1243">
        <v>2</v>
      </c>
      <c r="K1243">
        <v>3</v>
      </c>
    </row>
    <row r="1244" spans="1:11">
      <c r="A1244">
        <v>90</v>
      </c>
      <c r="B1244" t="b">
        <v>0</v>
      </c>
      <c r="C1244" t="s">
        <v>42322</v>
      </c>
      <c r="D1244">
        <v>1037022454355</v>
      </c>
      <c r="E1244">
        <v>1</v>
      </c>
      <c r="F1244">
        <v>6132762752</v>
      </c>
      <c r="G1244">
        <v>1000000</v>
      </c>
      <c r="H1244" t="s">
        <v>40293</v>
      </c>
      <c r="I1244">
        <v>3576</v>
      </c>
      <c r="J1244">
        <v>10</v>
      </c>
      <c r="K1244">
        <v>10</v>
      </c>
    </row>
    <row r="1245" spans="1:11">
      <c r="A1245">
        <v>90</v>
      </c>
      <c r="B1245" t="b">
        <v>0</v>
      </c>
      <c r="C1245" t="s">
        <v>40929</v>
      </c>
      <c r="D1245">
        <v>1037022454355</v>
      </c>
      <c r="E1245">
        <v>1</v>
      </c>
      <c r="F1245">
        <v>6119930030</v>
      </c>
      <c r="G1245">
        <v>4450000</v>
      </c>
      <c r="H1245" t="s">
        <v>40293</v>
      </c>
      <c r="I1245">
        <v>3578</v>
      </c>
      <c r="J1245">
        <v>11</v>
      </c>
      <c r="K1245">
        <v>11</v>
      </c>
    </row>
    <row r="1246" spans="1:11">
      <c r="A1246">
        <v>90</v>
      </c>
      <c r="B1246" t="b">
        <v>0</v>
      </c>
      <c r="C1246" t="s">
        <v>41387</v>
      </c>
      <c r="D1246">
        <v>1037022454355</v>
      </c>
      <c r="E1246">
        <v>1</v>
      </c>
      <c r="F1246">
        <v>6119873497</v>
      </c>
      <c r="G1246">
        <v>4250000</v>
      </c>
      <c r="H1246" t="s">
        <v>40293</v>
      </c>
      <c r="I1246">
        <v>3578</v>
      </c>
      <c r="J1246">
        <v>2</v>
      </c>
      <c r="K1246">
        <v>3</v>
      </c>
    </row>
    <row r="1247" spans="1:11">
      <c r="A1247">
        <v>90</v>
      </c>
      <c r="B1247" t="b">
        <v>0</v>
      </c>
      <c r="C1247" t="s">
        <v>42235</v>
      </c>
      <c r="D1247">
        <v>1037022454355</v>
      </c>
      <c r="E1247">
        <v>1</v>
      </c>
      <c r="F1247">
        <v>6077280391</v>
      </c>
      <c r="G1247">
        <v>4230000</v>
      </c>
      <c r="H1247" t="s">
        <v>40293</v>
      </c>
      <c r="I1247">
        <v>3578</v>
      </c>
      <c r="J1247">
        <v>9</v>
      </c>
      <c r="K1247">
        <v>11</v>
      </c>
    </row>
    <row r="1248" spans="1:11">
      <c r="A1248">
        <v>90</v>
      </c>
      <c r="B1248" t="b">
        <v>0</v>
      </c>
      <c r="C1248" t="s">
        <v>42297</v>
      </c>
      <c r="D1248">
        <v>1037022454355</v>
      </c>
      <c r="E1248">
        <v>1</v>
      </c>
      <c r="F1248">
        <v>6126142113</v>
      </c>
      <c r="G1248">
        <v>4229000</v>
      </c>
      <c r="H1248" t="s">
        <v>40293</v>
      </c>
      <c r="I1248">
        <v>3578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42414</v>
      </c>
      <c r="D1249">
        <v>1037022454355</v>
      </c>
      <c r="E1249">
        <v>1</v>
      </c>
      <c r="F1249">
        <v>6132637939</v>
      </c>
      <c r="G1249">
        <v>3990000</v>
      </c>
      <c r="H1249" t="s">
        <v>40293</v>
      </c>
      <c r="I1249">
        <v>3578</v>
      </c>
      <c r="J1249">
        <v>1</v>
      </c>
      <c r="K1249">
        <v>10</v>
      </c>
    </row>
    <row r="1250" spans="1:11">
      <c r="A1250">
        <v>90</v>
      </c>
      <c r="B1250" t="b">
        <v>0</v>
      </c>
      <c r="C1250" t="s">
        <v>43217</v>
      </c>
      <c r="D1250">
        <v>1037022454355</v>
      </c>
      <c r="E1250">
        <v>1</v>
      </c>
      <c r="F1250">
        <v>6143911705</v>
      </c>
      <c r="G1250">
        <v>1056000</v>
      </c>
      <c r="H1250" t="s">
        <v>40293</v>
      </c>
      <c r="I1250">
        <v>3588</v>
      </c>
      <c r="J1250">
        <v>1</v>
      </c>
      <c r="K1250">
        <v>1</v>
      </c>
    </row>
    <row r="1251" spans="1:11">
      <c r="A1251">
        <v>90</v>
      </c>
      <c r="B1251" t="b">
        <v>0</v>
      </c>
      <c r="C1251" t="s">
        <v>43509</v>
      </c>
      <c r="D1251">
        <v>1037022454355</v>
      </c>
      <c r="E1251">
        <v>1</v>
      </c>
      <c r="F1251">
        <v>6140544315</v>
      </c>
      <c r="G1251">
        <v>1053000</v>
      </c>
      <c r="H1251" t="s">
        <v>40293</v>
      </c>
      <c r="I1251">
        <v>3588</v>
      </c>
      <c r="J1251">
        <v>2</v>
      </c>
      <c r="K1251">
        <v>3</v>
      </c>
    </row>
    <row r="1252" spans="1:11">
      <c r="A1252">
        <v>90</v>
      </c>
      <c r="B1252" t="b">
        <v>0</v>
      </c>
      <c r="C1252" t="s">
        <v>44243</v>
      </c>
      <c r="D1252">
        <v>1037022454355</v>
      </c>
      <c r="E1252">
        <v>1</v>
      </c>
      <c r="F1252">
        <v>6128011993</v>
      </c>
      <c r="G1252">
        <v>1052000</v>
      </c>
      <c r="H1252" t="s">
        <v>40293</v>
      </c>
      <c r="I1252">
        <v>3588</v>
      </c>
      <c r="J1252">
        <v>39</v>
      </c>
      <c r="K1252">
        <v>42</v>
      </c>
    </row>
    <row r="1253" spans="1:11">
      <c r="A1253">
        <v>90</v>
      </c>
      <c r="B1253" t="b">
        <v>0</v>
      </c>
      <c r="C1253" t="s">
        <v>44820</v>
      </c>
      <c r="D1253">
        <v>1037022454355</v>
      </c>
      <c r="E1253">
        <v>1</v>
      </c>
      <c r="F1253">
        <v>6130575606</v>
      </c>
      <c r="G1253">
        <v>1051000</v>
      </c>
      <c r="H1253" t="s">
        <v>40293</v>
      </c>
      <c r="I1253">
        <v>3588</v>
      </c>
      <c r="J1253">
        <v>14</v>
      </c>
      <c r="K1253">
        <v>25</v>
      </c>
    </row>
    <row r="1254" spans="1:11">
      <c r="A1254">
        <v>90</v>
      </c>
      <c r="B1254" t="b">
        <v>0</v>
      </c>
      <c r="C1254" t="s">
        <v>46352</v>
      </c>
      <c r="D1254">
        <v>1037022454355</v>
      </c>
      <c r="E1254">
        <v>1</v>
      </c>
      <c r="F1254">
        <v>6153631149</v>
      </c>
      <c r="G1254">
        <v>1050000</v>
      </c>
      <c r="H1254" t="s">
        <v>40293</v>
      </c>
      <c r="I1254">
        <v>3588</v>
      </c>
      <c r="J1254">
        <v>4</v>
      </c>
      <c r="K1254">
        <v>4</v>
      </c>
    </row>
    <row r="1255" spans="1:11">
      <c r="A1255">
        <v>90</v>
      </c>
      <c r="B1255" t="b">
        <v>0</v>
      </c>
      <c r="C1255" t="s">
        <v>41785</v>
      </c>
      <c r="D1255">
        <v>1037022454355</v>
      </c>
      <c r="E1255">
        <v>1</v>
      </c>
      <c r="F1255">
        <v>6127912075</v>
      </c>
      <c r="G1255">
        <v>1760000</v>
      </c>
      <c r="H1255" t="s">
        <v>40293</v>
      </c>
      <c r="I1255">
        <v>3598</v>
      </c>
      <c r="J1255">
        <v>1</v>
      </c>
      <c r="K1255">
        <v>1</v>
      </c>
    </row>
    <row r="1256" spans="1:11">
      <c r="A1256">
        <v>90</v>
      </c>
      <c r="B1256" t="b">
        <v>0</v>
      </c>
      <c r="C1256" t="s">
        <v>41785</v>
      </c>
      <c r="D1256">
        <v>1037022454355</v>
      </c>
      <c r="E1256">
        <v>1</v>
      </c>
      <c r="F1256">
        <v>6127912076</v>
      </c>
      <c r="G1256">
        <v>1760000</v>
      </c>
      <c r="H1256" t="s">
        <v>40293</v>
      </c>
      <c r="I1256">
        <v>3598</v>
      </c>
      <c r="J1256">
        <v>1</v>
      </c>
      <c r="K1256">
        <v>1</v>
      </c>
    </row>
    <row r="1257" spans="1:11">
      <c r="A1257">
        <v>90</v>
      </c>
      <c r="B1257" t="b">
        <v>0</v>
      </c>
      <c r="C1257" t="s">
        <v>42399</v>
      </c>
      <c r="D1257">
        <v>1037022454355</v>
      </c>
      <c r="E1257">
        <v>1</v>
      </c>
      <c r="F1257">
        <v>6123494764</v>
      </c>
      <c r="G1257">
        <v>1298000</v>
      </c>
      <c r="H1257" t="s">
        <v>40293</v>
      </c>
      <c r="I1257">
        <v>3598</v>
      </c>
      <c r="J1257">
        <v>14</v>
      </c>
      <c r="K1257">
        <v>20</v>
      </c>
    </row>
    <row r="1258" spans="1:11">
      <c r="A1258">
        <v>90</v>
      </c>
      <c r="B1258" t="b">
        <v>0</v>
      </c>
      <c r="C1258" t="s">
        <v>43953</v>
      </c>
      <c r="D1258">
        <v>1037022454355</v>
      </c>
      <c r="E1258">
        <v>1</v>
      </c>
      <c r="F1258">
        <v>6126140652</v>
      </c>
      <c r="G1258">
        <v>1249000</v>
      </c>
      <c r="H1258" t="s">
        <v>40293</v>
      </c>
      <c r="I1258">
        <v>3598</v>
      </c>
      <c r="J1258">
        <v>25</v>
      </c>
      <c r="K1258">
        <v>25</v>
      </c>
    </row>
    <row r="1259" spans="1:11">
      <c r="A1259">
        <v>90</v>
      </c>
      <c r="B1259" t="b">
        <v>0</v>
      </c>
      <c r="C1259" t="s">
        <v>43898</v>
      </c>
      <c r="D1259">
        <v>1037022454355</v>
      </c>
      <c r="E1259">
        <v>1</v>
      </c>
      <c r="F1259">
        <v>6143604339</v>
      </c>
      <c r="G1259">
        <v>1100000</v>
      </c>
      <c r="H1259" t="s">
        <v>40293</v>
      </c>
      <c r="I1259">
        <v>3598</v>
      </c>
      <c r="J1259">
        <v>5</v>
      </c>
      <c r="K1259">
        <v>5</v>
      </c>
    </row>
    <row r="1260" spans="1:11">
      <c r="A1260">
        <v>90</v>
      </c>
      <c r="B1260" t="b">
        <v>0</v>
      </c>
      <c r="C1260" t="s">
        <v>44785</v>
      </c>
      <c r="D1260">
        <v>1037022454355</v>
      </c>
      <c r="E1260">
        <v>1</v>
      </c>
      <c r="F1260">
        <v>6148630290</v>
      </c>
      <c r="G1260">
        <v>1025000</v>
      </c>
      <c r="H1260" t="s">
        <v>40293</v>
      </c>
      <c r="I1260">
        <v>3598</v>
      </c>
      <c r="J1260">
        <v>6</v>
      </c>
      <c r="K1260">
        <v>10</v>
      </c>
    </row>
    <row r="1261" spans="1:11">
      <c r="A1261">
        <v>90</v>
      </c>
      <c r="B1261" t="b">
        <v>0</v>
      </c>
      <c r="C1261" t="s">
        <v>45152</v>
      </c>
      <c r="D1261">
        <v>1037022454355</v>
      </c>
      <c r="E1261">
        <v>1</v>
      </c>
      <c r="F1261">
        <v>6152436200</v>
      </c>
      <c r="G1261">
        <v>1000000</v>
      </c>
      <c r="H1261" t="s">
        <v>40293</v>
      </c>
      <c r="I1261">
        <v>3598</v>
      </c>
      <c r="J1261">
        <v>9</v>
      </c>
      <c r="K1261">
        <v>10</v>
      </c>
    </row>
    <row r="1262" spans="1:11">
      <c r="A1262">
        <v>90</v>
      </c>
      <c r="B1262" t="b">
        <v>0</v>
      </c>
      <c r="C1262" t="s">
        <v>44174</v>
      </c>
      <c r="D1262">
        <v>1037022454355</v>
      </c>
      <c r="E1262">
        <v>1</v>
      </c>
      <c r="F1262">
        <v>6153406319</v>
      </c>
      <c r="G1262">
        <v>999700</v>
      </c>
      <c r="H1262" t="s">
        <v>40293</v>
      </c>
      <c r="I1262">
        <v>3598</v>
      </c>
      <c r="J1262">
        <v>1</v>
      </c>
      <c r="K1262">
        <v>4</v>
      </c>
    </row>
    <row r="1263" spans="1:11">
      <c r="A1263">
        <v>90</v>
      </c>
      <c r="B1263" t="b">
        <v>0</v>
      </c>
      <c r="C1263" t="s">
        <v>41927</v>
      </c>
      <c r="D1263">
        <v>1037022454355</v>
      </c>
      <c r="E1263">
        <v>1</v>
      </c>
      <c r="F1263">
        <v>6128981703</v>
      </c>
      <c r="G1263">
        <v>1649000</v>
      </c>
      <c r="H1263" t="s">
        <v>40293</v>
      </c>
      <c r="I1263">
        <v>3608</v>
      </c>
      <c r="J1263">
        <v>1</v>
      </c>
      <c r="K1263">
        <v>1</v>
      </c>
    </row>
    <row r="1264" spans="1:11">
      <c r="A1264">
        <v>90</v>
      </c>
      <c r="B1264" t="b">
        <v>0</v>
      </c>
      <c r="C1264" t="s">
        <v>42366</v>
      </c>
      <c r="D1264">
        <v>1037022454355</v>
      </c>
      <c r="E1264">
        <v>1</v>
      </c>
      <c r="F1264">
        <v>6137910651</v>
      </c>
      <c r="G1264">
        <v>1640000</v>
      </c>
      <c r="H1264" t="s">
        <v>40293</v>
      </c>
      <c r="I1264">
        <v>3608</v>
      </c>
      <c r="J1264">
        <v>1</v>
      </c>
      <c r="K1264">
        <v>2</v>
      </c>
    </row>
    <row r="1265" spans="1:11">
      <c r="A1265">
        <v>90</v>
      </c>
      <c r="B1265" t="b">
        <v>0</v>
      </c>
      <c r="C1265" t="s">
        <v>43788</v>
      </c>
      <c r="D1265">
        <v>1037022454355</v>
      </c>
      <c r="E1265">
        <v>1</v>
      </c>
      <c r="F1265">
        <v>6097267297</v>
      </c>
      <c r="G1265">
        <v>1639000</v>
      </c>
      <c r="H1265" t="s">
        <v>40293</v>
      </c>
      <c r="I1265">
        <v>3608</v>
      </c>
      <c r="J1265">
        <v>4</v>
      </c>
      <c r="K1265">
        <v>4</v>
      </c>
    </row>
    <row r="1266" spans="1:11">
      <c r="A1266">
        <v>90</v>
      </c>
      <c r="B1266" t="b">
        <v>0</v>
      </c>
      <c r="C1266" t="s">
        <v>42999</v>
      </c>
      <c r="D1266">
        <v>1037022454355</v>
      </c>
      <c r="E1266">
        <v>1</v>
      </c>
      <c r="F1266">
        <v>6106091390</v>
      </c>
      <c r="G1266">
        <v>1637000</v>
      </c>
      <c r="H1266" t="s">
        <v>40293</v>
      </c>
      <c r="I1266">
        <v>3608</v>
      </c>
      <c r="J1266">
        <v>27</v>
      </c>
      <c r="K1266">
        <v>46</v>
      </c>
    </row>
    <row r="1267" spans="1:11">
      <c r="A1267">
        <v>90</v>
      </c>
      <c r="B1267" t="b">
        <v>0</v>
      </c>
      <c r="C1267" t="s">
        <v>44277</v>
      </c>
      <c r="D1267">
        <v>1037022454355</v>
      </c>
      <c r="E1267">
        <v>1</v>
      </c>
      <c r="F1267">
        <v>6147278544</v>
      </c>
      <c r="G1267">
        <v>1634000</v>
      </c>
      <c r="H1267" t="s">
        <v>40293</v>
      </c>
      <c r="I1267">
        <v>3608</v>
      </c>
      <c r="J1267">
        <v>1</v>
      </c>
      <c r="K1267">
        <v>2</v>
      </c>
    </row>
    <row r="1268" spans="1:11">
      <c r="A1268">
        <v>90</v>
      </c>
      <c r="B1268" t="b">
        <v>0</v>
      </c>
      <c r="C1268" t="s">
        <v>44080</v>
      </c>
      <c r="D1268">
        <v>1037022454355</v>
      </c>
      <c r="E1268">
        <v>1</v>
      </c>
      <c r="F1268">
        <v>6126141977</v>
      </c>
      <c r="G1268">
        <v>1633000</v>
      </c>
      <c r="H1268" t="s">
        <v>40293</v>
      </c>
      <c r="I1268">
        <v>3608</v>
      </c>
      <c r="J1268">
        <v>25</v>
      </c>
      <c r="K1268">
        <v>25</v>
      </c>
    </row>
    <row r="1269" spans="1:11">
      <c r="A1269">
        <v>90</v>
      </c>
      <c r="B1269" t="b">
        <v>0</v>
      </c>
      <c r="C1269" t="s">
        <v>44179</v>
      </c>
      <c r="D1269">
        <v>1037022454355</v>
      </c>
      <c r="E1269">
        <v>1</v>
      </c>
      <c r="F1269">
        <v>6153406397</v>
      </c>
      <c r="G1269">
        <v>1560000</v>
      </c>
      <c r="H1269" t="s">
        <v>40293</v>
      </c>
      <c r="I1269">
        <v>3608</v>
      </c>
      <c r="J1269">
        <v>6</v>
      </c>
      <c r="K1269">
        <v>8</v>
      </c>
    </row>
    <row r="1270" spans="1:11">
      <c r="A1270">
        <v>90</v>
      </c>
      <c r="B1270" t="b">
        <v>0</v>
      </c>
      <c r="C1270" t="s">
        <v>44752</v>
      </c>
      <c r="D1270">
        <v>1037022454355</v>
      </c>
      <c r="E1270">
        <v>1</v>
      </c>
      <c r="F1270">
        <v>6150497686</v>
      </c>
      <c r="G1270">
        <v>170000000</v>
      </c>
      <c r="H1270" t="s">
        <v>40293</v>
      </c>
      <c r="I1270">
        <v>3618</v>
      </c>
      <c r="J1270">
        <v>1</v>
      </c>
      <c r="K1270">
        <v>1</v>
      </c>
    </row>
    <row r="1271" spans="1:11">
      <c r="A1271">
        <v>90</v>
      </c>
      <c r="B1271" t="b">
        <v>0</v>
      </c>
      <c r="C1271" t="s">
        <v>45412</v>
      </c>
      <c r="D1271">
        <v>1037022454355</v>
      </c>
      <c r="E1271">
        <v>1</v>
      </c>
      <c r="F1271">
        <v>6154897187</v>
      </c>
      <c r="G1271">
        <v>169900000</v>
      </c>
      <c r="H1271" t="s">
        <v>40293</v>
      </c>
      <c r="I1271">
        <v>3618</v>
      </c>
      <c r="J1271">
        <v>1</v>
      </c>
      <c r="K1271">
        <v>1</v>
      </c>
    </row>
    <row r="1272" spans="1:11">
      <c r="A1272">
        <v>90</v>
      </c>
      <c r="B1272" t="b">
        <v>0</v>
      </c>
      <c r="C1272" t="s">
        <v>41561</v>
      </c>
      <c r="D1272">
        <v>1037022454355</v>
      </c>
      <c r="E1272">
        <v>1</v>
      </c>
      <c r="F1272">
        <v>6102478281</v>
      </c>
      <c r="G1272">
        <v>725</v>
      </c>
      <c r="H1272" t="s">
        <v>40293</v>
      </c>
      <c r="I1272">
        <v>3645</v>
      </c>
      <c r="J1272">
        <v>197296</v>
      </c>
      <c r="K1272">
        <v>347300</v>
      </c>
    </row>
    <row r="1273" spans="1:11">
      <c r="A1273">
        <v>90</v>
      </c>
      <c r="B1273" t="b">
        <v>0</v>
      </c>
      <c r="C1273" t="s">
        <v>41118</v>
      </c>
      <c r="D1273">
        <v>1037022454355</v>
      </c>
      <c r="E1273">
        <v>1</v>
      </c>
      <c r="F1273">
        <v>6121244812</v>
      </c>
      <c r="G1273">
        <v>698.9</v>
      </c>
      <c r="H1273" t="s">
        <v>40293</v>
      </c>
      <c r="I1273">
        <v>3645</v>
      </c>
      <c r="J1273">
        <v>32520</v>
      </c>
      <c r="K1273">
        <v>32520</v>
      </c>
    </row>
    <row r="1274" spans="1:11">
      <c r="A1274">
        <v>90</v>
      </c>
      <c r="B1274" t="b">
        <v>0</v>
      </c>
      <c r="C1274" t="s">
        <v>40420</v>
      </c>
      <c r="D1274">
        <v>1037022454355</v>
      </c>
      <c r="E1274">
        <v>1</v>
      </c>
      <c r="F1274">
        <v>6124866621</v>
      </c>
      <c r="G1274">
        <v>696.9</v>
      </c>
      <c r="H1274" t="s">
        <v>40293</v>
      </c>
      <c r="I1274">
        <v>3645</v>
      </c>
      <c r="J1274">
        <v>561599</v>
      </c>
      <c r="K1274">
        <v>637319</v>
      </c>
    </row>
    <row r="1275" spans="1:11">
      <c r="A1275">
        <v>90</v>
      </c>
      <c r="B1275" t="b">
        <v>0</v>
      </c>
      <c r="C1275" t="s">
        <v>42649</v>
      </c>
      <c r="D1275">
        <v>1037022454355</v>
      </c>
      <c r="E1275">
        <v>1</v>
      </c>
      <c r="F1275">
        <v>6133501855</v>
      </c>
      <c r="G1275">
        <v>695</v>
      </c>
      <c r="H1275" t="s">
        <v>40293</v>
      </c>
      <c r="I1275">
        <v>3645</v>
      </c>
      <c r="J1275">
        <v>27640</v>
      </c>
      <c r="K1275">
        <v>27640</v>
      </c>
    </row>
    <row r="1276" spans="1:11">
      <c r="A1276">
        <v>90</v>
      </c>
      <c r="B1276" t="b">
        <v>0</v>
      </c>
      <c r="C1276" t="s">
        <v>42135</v>
      </c>
      <c r="D1276">
        <v>1037022454355</v>
      </c>
      <c r="E1276">
        <v>1</v>
      </c>
      <c r="F1276">
        <v>6131139073</v>
      </c>
      <c r="G1276">
        <v>689.9</v>
      </c>
      <c r="H1276" t="s">
        <v>40293</v>
      </c>
      <c r="I1276">
        <v>3645</v>
      </c>
      <c r="J1276">
        <v>69737</v>
      </c>
      <c r="K1276">
        <v>69737</v>
      </c>
    </row>
    <row r="1277" spans="1:11">
      <c r="A1277">
        <v>90</v>
      </c>
      <c r="B1277" t="b">
        <v>0</v>
      </c>
      <c r="C1277" t="s">
        <v>42411</v>
      </c>
      <c r="D1277">
        <v>1037022454355</v>
      </c>
      <c r="E1277">
        <v>1</v>
      </c>
      <c r="F1277">
        <v>6131261416</v>
      </c>
      <c r="G1277">
        <v>676</v>
      </c>
      <c r="H1277" t="s">
        <v>40293</v>
      </c>
      <c r="I1277">
        <v>3645</v>
      </c>
      <c r="J1277">
        <v>2</v>
      </c>
      <c r="K1277">
        <v>84980</v>
      </c>
    </row>
    <row r="1278" spans="1:11">
      <c r="A1278">
        <v>90</v>
      </c>
      <c r="B1278" t="b">
        <v>0</v>
      </c>
      <c r="C1278" t="s">
        <v>42851</v>
      </c>
      <c r="D1278">
        <v>1037022454355</v>
      </c>
      <c r="E1278">
        <v>1</v>
      </c>
      <c r="F1278">
        <v>6129712990</v>
      </c>
      <c r="G1278">
        <v>668</v>
      </c>
      <c r="H1278" t="s">
        <v>40293</v>
      </c>
      <c r="I1278">
        <v>3645</v>
      </c>
      <c r="J1278">
        <v>60020</v>
      </c>
      <c r="K1278">
        <v>60020</v>
      </c>
    </row>
    <row r="1279" spans="1:11">
      <c r="A1279">
        <v>90</v>
      </c>
      <c r="B1279" t="b">
        <v>0</v>
      </c>
      <c r="C1279" t="s">
        <v>42388</v>
      </c>
      <c r="D1279">
        <v>1037022454355</v>
      </c>
      <c r="E1279">
        <v>1</v>
      </c>
      <c r="F1279">
        <v>6128081438</v>
      </c>
      <c r="G1279">
        <v>609</v>
      </c>
      <c r="H1279" t="s">
        <v>40293</v>
      </c>
      <c r="I1279">
        <v>3645</v>
      </c>
      <c r="J1279">
        <v>31843</v>
      </c>
      <c r="K1279">
        <v>245000</v>
      </c>
    </row>
    <row r="1280" spans="1:11">
      <c r="A1280">
        <v>90</v>
      </c>
      <c r="B1280" t="b">
        <v>0</v>
      </c>
      <c r="C1280" t="s">
        <v>42654</v>
      </c>
      <c r="D1280">
        <v>1037022454355</v>
      </c>
      <c r="E1280">
        <v>1</v>
      </c>
      <c r="F1280">
        <v>6129733680</v>
      </c>
      <c r="G1280">
        <v>608</v>
      </c>
      <c r="H1280" t="s">
        <v>40293</v>
      </c>
      <c r="I1280">
        <v>3645</v>
      </c>
      <c r="J1280">
        <v>190829</v>
      </c>
      <c r="K1280">
        <v>200000</v>
      </c>
    </row>
    <row r="1281" spans="1:11">
      <c r="A1281">
        <v>90</v>
      </c>
      <c r="B1281" t="b">
        <v>0</v>
      </c>
      <c r="C1281" t="s">
        <v>43003</v>
      </c>
      <c r="D1281">
        <v>1037022454355</v>
      </c>
      <c r="E1281">
        <v>1</v>
      </c>
      <c r="F1281">
        <v>6114480060</v>
      </c>
      <c r="G1281">
        <v>600</v>
      </c>
      <c r="H1281" t="s">
        <v>40293</v>
      </c>
      <c r="I1281">
        <v>3645</v>
      </c>
      <c r="J1281">
        <v>114520</v>
      </c>
      <c r="K1281">
        <v>114520</v>
      </c>
    </row>
    <row r="1282" spans="1:11">
      <c r="A1282">
        <v>90</v>
      </c>
      <c r="B1282" t="b">
        <v>0</v>
      </c>
      <c r="C1282" t="s">
        <v>43390</v>
      </c>
      <c r="D1282">
        <v>1037022454355</v>
      </c>
      <c r="E1282">
        <v>1</v>
      </c>
      <c r="F1282">
        <v>6138509165</v>
      </c>
      <c r="G1282">
        <v>597.9</v>
      </c>
      <c r="H1282" t="s">
        <v>40293</v>
      </c>
      <c r="I1282">
        <v>3645</v>
      </c>
      <c r="J1282">
        <v>43203</v>
      </c>
      <c r="K1282">
        <v>43203</v>
      </c>
    </row>
    <row r="1283" spans="1:11">
      <c r="A1283">
        <v>90</v>
      </c>
      <c r="B1283" t="b">
        <v>0</v>
      </c>
      <c r="C1283" t="s">
        <v>46459</v>
      </c>
      <c r="D1283">
        <v>1037022454355</v>
      </c>
      <c r="E1283">
        <v>1</v>
      </c>
      <c r="F1283">
        <v>6153632668</v>
      </c>
      <c r="G1283">
        <v>545</v>
      </c>
      <c r="H1283" t="s">
        <v>40293</v>
      </c>
      <c r="I1283">
        <v>3645</v>
      </c>
      <c r="J1283">
        <v>960</v>
      </c>
      <c r="K1283">
        <v>960</v>
      </c>
    </row>
    <row r="1284" spans="1:11">
      <c r="A1284">
        <v>90</v>
      </c>
      <c r="B1284" t="b">
        <v>0</v>
      </c>
      <c r="C1284" t="s">
        <v>43889</v>
      </c>
      <c r="D1284">
        <v>1037022454355</v>
      </c>
      <c r="E1284">
        <v>1</v>
      </c>
      <c r="F1284">
        <v>6143768057</v>
      </c>
      <c r="G1284">
        <v>538</v>
      </c>
      <c r="H1284" t="s">
        <v>40293</v>
      </c>
      <c r="I1284">
        <v>3645</v>
      </c>
      <c r="J1284">
        <v>250000</v>
      </c>
      <c r="K1284">
        <v>250000</v>
      </c>
    </row>
    <row r="1285" spans="1:11">
      <c r="A1285">
        <v>30</v>
      </c>
      <c r="B1285" t="b">
        <v>0</v>
      </c>
      <c r="C1285" t="s">
        <v>43577</v>
      </c>
      <c r="D1285">
        <v>1037022454355</v>
      </c>
      <c r="E1285">
        <v>1</v>
      </c>
      <c r="F1285">
        <v>6143950066</v>
      </c>
      <c r="G1285">
        <v>537</v>
      </c>
      <c r="H1285" t="s">
        <v>40293</v>
      </c>
      <c r="I1285">
        <v>3645</v>
      </c>
      <c r="J1285">
        <v>94821</v>
      </c>
      <c r="K1285">
        <v>194821</v>
      </c>
    </row>
    <row r="1286" spans="1:11">
      <c r="A1286">
        <v>90</v>
      </c>
      <c r="B1286" t="b">
        <v>0</v>
      </c>
      <c r="C1286" t="s">
        <v>43624</v>
      </c>
      <c r="D1286">
        <v>1037022454355</v>
      </c>
      <c r="E1286">
        <v>1</v>
      </c>
      <c r="F1286">
        <v>6145365158</v>
      </c>
      <c r="G1286">
        <v>536.79999999999995</v>
      </c>
      <c r="H1286" t="s">
        <v>40293</v>
      </c>
      <c r="I1286">
        <v>3645</v>
      </c>
      <c r="J1286">
        <v>18140</v>
      </c>
      <c r="K1286">
        <v>18140</v>
      </c>
    </row>
    <row r="1287" spans="1:11">
      <c r="A1287">
        <v>90</v>
      </c>
      <c r="B1287" t="b">
        <v>0</v>
      </c>
      <c r="C1287" t="s">
        <v>46472</v>
      </c>
      <c r="D1287">
        <v>1037022454355</v>
      </c>
      <c r="E1287">
        <v>1</v>
      </c>
      <c r="F1287">
        <v>6152584236</v>
      </c>
      <c r="G1287">
        <v>340</v>
      </c>
      <c r="H1287" t="s">
        <v>40293</v>
      </c>
      <c r="I1287">
        <v>3645</v>
      </c>
      <c r="J1287">
        <v>38960</v>
      </c>
      <c r="K1287">
        <v>38960</v>
      </c>
    </row>
    <row r="1288" spans="1:11">
      <c r="A1288">
        <v>90</v>
      </c>
      <c r="B1288" t="b">
        <v>0</v>
      </c>
      <c r="C1288" t="s">
        <v>44707</v>
      </c>
      <c r="D1288">
        <v>1037022454355</v>
      </c>
      <c r="E1288">
        <v>1</v>
      </c>
      <c r="F1288">
        <v>6131950559</v>
      </c>
      <c r="G1288">
        <v>329.9</v>
      </c>
      <c r="H1288" t="s">
        <v>40293</v>
      </c>
      <c r="I1288">
        <v>3645</v>
      </c>
      <c r="J1288">
        <v>637332</v>
      </c>
      <c r="K1288">
        <v>742658</v>
      </c>
    </row>
    <row r="1289" spans="1:11">
      <c r="A1289">
        <v>90</v>
      </c>
      <c r="B1289" t="b">
        <v>0</v>
      </c>
      <c r="C1289" t="s">
        <v>45493</v>
      </c>
      <c r="D1289">
        <v>1037022454355</v>
      </c>
      <c r="E1289">
        <v>1</v>
      </c>
      <c r="F1289">
        <v>6153423583</v>
      </c>
      <c r="G1289">
        <v>1000000</v>
      </c>
      <c r="H1289" t="s">
        <v>40293</v>
      </c>
      <c r="I1289">
        <v>3653</v>
      </c>
      <c r="J1289">
        <v>1</v>
      </c>
      <c r="K1289">
        <v>1</v>
      </c>
    </row>
    <row r="1290" spans="1:11">
      <c r="A1290">
        <v>90</v>
      </c>
      <c r="B1290" t="b">
        <v>0</v>
      </c>
      <c r="C1290" t="s">
        <v>44542</v>
      </c>
      <c r="D1290">
        <v>1037022454355</v>
      </c>
      <c r="E1290">
        <v>1</v>
      </c>
      <c r="F1290">
        <v>6148692921</v>
      </c>
      <c r="G1290">
        <v>1500</v>
      </c>
      <c r="H1290" t="s">
        <v>40293</v>
      </c>
      <c r="I1290">
        <v>3685</v>
      </c>
      <c r="J1290">
        <v>1532</v>
      </c>
      <c r="K1290">
        <v>2000</v>
      </c>
    </row>
    <row r="1291" spans="1:11">
      <c r="A1291">
        <v>90</v>
      </c>
      <c r="B1291" t="b">
        <v>0</v>
      </c>
      <c r="C1291" t="s">
        <v>44968</v>
      </c>
      <c r="D1291">
        <v>1037022454355</v>
      </c>
      <c r="E1291">
        <v>1</v>
      </c>
      <c r="F1291">
        <v>6156922939</v>
      </c>
      <c r="G1291">
        <v>11990</v>
      </c>
      <c r="H1291" t="s">
        <v>40293</v>
      </c>
      <c r="I1291">
        <v>3689</v>
      </c>
      <c r="J1291">
        <v>10000</v>
      </c>
      <c r="K1291">
        <v>10000</v>
      </c>
    </row>
    <row r="1292" spans="1:11">
      <c r="A1292">
        <v>90</v>
      </c>
      <c r="B1292" t="b">
        <v>0</v>
      </c>
      <c r="C1292" t="s">
        <v>44456</v>
      </c>
      <c r="D1292">
        <v>1037022454355</v>
      </c>
      <c r="E1292">
        <v>1</v>
      </c>
      <c r="F1292">
        <v>6154622692</v>
      </c>
      <c r="G1292">
        <v>10990</v>
      </c>
      <c r="H1292" t="s">
        <v>40293</v>
      </c>
      <c r="I1292">
        <v>3689</v>
      </c>
      <c r="J1292">
        <v>7947</v>
      </c>
      <c r="K1292">
        <v>20000</v>
      </c>
    </row>
    <row r="1293" spans="1:11">
      <c r="A1293">
        <v>90</v>
      </c>
      <c r="B1293" t="b">
        <v>0</v>
      </c>
      <c r="C1293" t="s">
        <v>45506</v>
      </c>
      <c r="D1293">
        <v>1037022454355</v>
      </c>
      <c r="E1293">
        <v>1</v>
      </c>
      <c r="F1293">
        <v>6153953762</v>
      </c>
      <c r="G1293">
        <v>9500</v>
      </c>
      <c r="H1293" t="s">
        <v>40293</v>
      </c>
      <c r="I1293">
        <v>3691</v>
      </c>
      <c r="J1293">
        <v>14021</v>
      </c>
      <c r="K1293">
        <v>14021</v>
      </c>
    </row>
    <row r="1294" spans="1:11">
      <c r="A1294">
        <v>90</v>
      </c>
      <c r="B1294" t="b">
        <v>0</v>
      </c>
      <c r="C1294" t="s">
        <v>45757</v>
      </c>
      <c r="D1294">
        <v>1037022454355</v>
      </c>
      <c r="E1294">
        <v>1</v>
      </c>
      <c r="F1294">
        <v>6152640371</v>
      </c>
      <c r="G1294">
        <v>2000</v>
      </c>
      <c r="H1294" t="s">
        <v>40293</v>
      </c>
      <c r="I1294">
        <v>3695</v>
      </c>
      <c r="J1294">
        <v>20555</v>
      </c>
      <c r="K1294">
        <v>20555</v>
      </c>
    </row>
    <row r="1295" spans="1:11">
      <c r="A1295">
        <v>90</v>
      </c>
      <c r="B1295" t="b">
        <v>0</v>
      </c>
      <c r="C1295" t="s">
        <v>41369</v>
      </c>
      <c r="D1295">
        <v>1037022454355</v>
      </c>
      <c r="E1295">
        <v>1</v>
      </c>
      <c r="F1295">
        <v>6090939030</v>
      </c>
      <c r="G1295">
        <v>9690</v>
      </c>
      <c r="H1295" t="s">
        <v>40293</v>
      </c>
      <c r="I1295">
        <v>3725</v>
      </c>
      <c r="J1295">
        <v>1944</v>
      </c>
      <c r="K1295">
        <v>1944</v>
      </c>
    </row>
    <row r="1296" spans="1:11">
      <c r="A1296">
        <v>90</v>
      </c>
      <c r="B1296" t="b">
        <v>0</v>
      </c>
      <c r="C1296" t="s">
        <v>41519</v>
      </c>
      <c r="D1296">
        <v>1037022454355</v>
      </c>
      <c r="E1296">
        <v>1</v>
      </c>
      <c r="F1296">
        <v>6075541884</v>
      </c>
      <c r="G1296">
        <v>9600</v>
      </c>
      <c r="H1296" t="s">
        <v>40293</v>
      </c>
      <c r="I1296">
        <v>3725</v>
      </c>
      <c r="J1296">
        <v>360</v>
      </c>
      <c r="K1296">
        <v>360</v>
      </c>
    </row>
    <row r="1297" spans="1:11">
      <c r="A1297">
        <v>90</v>
      </c>
      <c r="B1297" t="b">
        <v>0</v>
      </c>
      <c r="C1297" t="s">
        <v>44213</v>
      </c>
      <c r="D1297">
        <v>1037022454355</v>
      </c>
      <c r="E1297">
        <v>1</v>
      </c>
      <c r="F1297">
        <v>6071355728</v>
      </c>
      <c r="G1297">
        <v>4970</v>
      </c>
      <c r="H1297" t="s">
        <v>40293</v>
      </c>
      <c r="I1297">
        <v>3725</v>
      </c>
      <c r="J1297">
        <v>6985</v>
      </c>
      <c r="K1297">
        <v>10000</v>
      </c>
    </row>
    <row r="1298" spans="1:11">
      <c r="A1298">
        <v>90</v>
      </c>
      <c r="B1298" t="b">
        <v>0</v>
      </c>
      <c r="C1298" t="s">
        <v>44895</v>
      </c>
      <c r="D1298">
        <v>1037022454355</v>
      </c>
      <c r="E1298">
        <v>1</v>
      </c>
      <c r="F1298">
        <v>6075100375</v>
      </c>
      <c r="G1298">
        <v>4960</v>
      </c>
      <c r="H1298" t="s">
        <v>40293</v>
      </c>
      <c r="I1298">
        <v>3725</v>
      </c>
      <c r="J1298">
        <v>12849</v>
      </c>
      <c r="K1298">
        <v>13919</v>
      </c>
    </row>
    <row r="1299" spans="1:11">
      <c r="A1299">
        <v>90</v>
      </c>
      <c r="B1299" t="b">
        <v>0</v>
      </c>
      <c r="C1299" t="s">
        <v>45852</v>
      </c>
      <c r="D1299">
        <v>1037022454355</v>
      </c>
      <c r="E1299">
        <v>1</v>
      </c>
      <c r="F1299">
        <v>6153952101</v>
      </c>
      <c r="G1299">
        <v>4900</v>
      </c>
      <c r="H1299" t="s">
        <v>40293</v>
      </c>
      <c r="I1299">
        <v>3725</v>
      </c>
      <c r="J1299">
        <v>5375</v>
      </c>
      <c r="K1299">
        <v>5375</v>
      </c>
    </row>
    <row r="1300" spans="1:11">
      <c r="A1300">
        <v>90</v>
      </c>
      <c r="B1300" t="b">
        <v>0</v>
      </c>
      <c r="C1300" t="s">
        <v>45732</v>
      </c>
      <c r="D1300">
        <v>1037022454355</v>
      </c>
      <c r="E1300">
        <v>1</v>
      </c>
      <c r="F1300">
        <v>6156441213</v>
      </c>
      <c r="G1300">
        <v>55010000</v>
      </c>
      <c r="H1300" t="s">
        <v>40293</v>
      </c>
      <c r="I1300">
        <v>3756</v>
      </c>
      <c r="J1300">
        <v>1</v>
      </c>
      <c r="K1300">
        <v>1</v>
      </c>
    </row>
    <row r="1301" spans="1:11">
      <c r="A1301">
        <v>3</v>
      </c>
      <c r="B1301" t="b">
        <v>0</v>
      </c>
      <c r="C1301" t="s">
        <v>45025</v>
      </c>
      <c r="D1301">
        <v>1037022454355</v>
      </c>
      <c r="E1301">
        <v>1</v>
      </c>
      <c r="F1301">
        <v>6157513423</v>
      </c>
      <c r="G1301">
        <v>50000000</v>
      </c>
      <c r="H1301" t="s">
        <v>40293</v>
      </c>
      <c r="I1301">
        <v>3756</v>
      </c>
      <c r="J1301">
        <v>1</v>
      </c>
      <c r="K1301">
        <v>1</v>
      </c>
    </row>
    <row r="1302" spans="1:11">
      <c r="A1302">
        <v>90</v>
      </c>
      <c r="B1302" t="b">
        <v>0</v>
      </c>
      <c r="C1302" t="s">
        <v>42470</v>
      </c>
      <c r="D1302">
        <v>1037022454355</v>
      </c>
      <c r="E1302">
        <v>1</v>
      </c>
      <c r="F1302">
        <v>6132764606</v>
      </c>
      <c r="G1302">
        <v>1000000</v>
      </c>
      <c r="H1302" t="s">
        <v>40293</v>
      </c>
      <c r="I1302">
        <v>3766</v>
      </c>
      <c r="J1302">
        <v>5</v>
      </c>
      <c r="K1302">
        <v>10</v>
      </c>
    </row>
    <row r="1303" spans="1:11">
      <c r="A1303">
        <v>90</v>
      </c>
      <c r="B1303" t="b">
        <v>0</v>
      </c>
      <c r="C1303" t="s">
        <v>44654</v>
      </c>
      <c r="D1303">
        <v>1037022454355</v>
      </c>
      <c r="E1303">
        <v>1</v>
      </c>
      <c r="F1303">
        <v>6147973428</v>
      </c>
      <c r="G1303">
        <v>450000</v>
      </c>
      <c r="H1303" t="s">
        <v>40293</v>
      </c>
      <c r="I1303">
        <v>3766</v>
      </c>
      <c r="J1303">
        <v>84</v>
      </c>
      <c r="K1303">
        <v>120</v>
      </c>
    </row>
    <row r="1304" spans="1:11">
      <c r="A1304">
        <v>90</v>
      </c>
      <c r="B1304" t="b">
        <v>0</v>
      </c>
      <c r="C1304" t="s">
        <v>45805</v>
      </c>
      <c r="D1304">
        <v>1037022454355</v>
      </c>
      <c r="E1304">
        <v>1</v>
      </c>
      <c r="F1304">
        <v>6148544972</v>
      </c>
      <c r="G1304">
        <v>4000000</v>
      </c>
      <c r="H1304" t="s">
        <v>40293</v>
      </c>
      <c r="I1304">
        <v>3767</v>
      </c>
      <c r="J1304">
        <v>4</v>
      </c>
      <c r="K1304">
        <v>4</v>
      </c>
    </row>
    <row r="1305" spans="1:11">
      <c r="A1305">
        <v>90</v>
      </c>
      <c r="B1305" t="b">
        <v>0</v>
      </c>
      <c r="C1305" t="s">
        <v>40784</v>
      </c>
      <c r="D1305">
        <v>1037022454355</v>
      </c>
      <c r="E1305">
        <v>1</v>
      </c>
      <c r="F1305">
        <v>6075099934</v>
      </c>
      <c r="G1305">
        <v>12090</v>
      </c>
      <c r="H1305" t="s">
        <v>40293</v>
      </c>
      <c r="I1305">
        <v>3775</v>
      </c>
      <c r="J1305">
        <v>24237</v>
      </c>
      <c r="K1305">
        <v>24237</v>
      </c>
    </row>
    <row r="1306" spans="1:11">
      <c r="A1306">
        <v>90</v>
      </c>
      <c r="B1306" t="b">
        <v>0</v>
      </c>
      <c r="C1306" t="s">
        <v>46016</v>
      </c>
      <c r="D1306">
        <v>1037022454355</v>
      </c>
      <c r="E1306">
        <v>1</v>
      </c>
      <c r="F1306">
        <v>6153954009</v>
      </c>
      <c r="G1306">
        <v>12000</v>
      </c>
      <c r="H1306" t="s">
        <v>40293</v>
      </c>
      <c r="I1306">
        <v>3775</v>
      </c>
      <c r="J1306">
        <v>27834</v>
      </c>
      <c r="K1306">
        <v>27834</v>
      </c>
    </row>
    <row r="1307" spans="1:11">
      <c r="A1307">
        <v>90</v>
      </c>
      <c r="B1307" t="b">
        <v>0</v>
      </c>
      <c r="C1307" t="s">
        <v>44828</v>
      </c>
      <c r="D1307">
        <v>1037022454355</v>
      </c>
      <c r="E1307">
        <v>1</v>
      </c>
      <c r="F1307">
        <v>6154201444</v>
      </c>
      <c r="G1307">
        <v>11990</v>
      </c>
      <c r="H1307" t="s">
        <v>40293</v>
      </c>
      <c r="I1307">
        <v>3775</v>
      </c>
      <c r="J1307">
        <v>16350</v>
      </c>
      <c r="K1307">
        <v>16350</v>
      </c>
    </row>
    <row r="1308" spans="1:11">
      <c r="A1308">
        <v>90</v>
      </c>
      <c r="B1308" t="b">
        <v>0</v>
      </c>
      <c r="C1308" t="s">
        <v>46410</v>
      </c>
      <c r="D1308">
        <v>1037022454355</v>
      </c>
      <c r="E1308">
        <v>1</v>
      </c>
      <c r="F1308">
        <v>6153632074</v>
      </c>
      <c r="G1308">
        <v>386</v>
      </c>
      <c r="H1308" t="s">
        <v>40293</v>
      </c>
      <c r="I1308">
        <v>3779</v>
      </c>
      <c r="J1308">
        <v>118960</v>
      </c>
      <c r="K1308">
        <v>118960</v>
      </c>
    </row>
    <row r="1309" spans="1:11">
      <c r="A1309">
        <v>90</v>
      </c>
      <c r="B1309" t="b">
        <v>0</v>
      </c>
      <c r="C1309" t="s">
        <v>45249</v>
      </c>
      <c r="D1309">
        <v>1037022454355</v>
      </c>
      <c r="E1309">
        <v>1</v>
      </c>
      <c r="F1309">
        <v>6144605956</v>
      </c>
      <c r="G1309">
        <v>375</v>
      </c>
      <c r="H1309" t="s">
        <v>40293</v>
      </c>
      <c r="I1309">
        <v>3779</v>
      </c>
      <c r="J1309">
        <v>449113</v>
      </c>
      <c r="K1309">
        <v>449113</v>
      </c>
    </row>
    <row r="1310" spans="1:11">
      <c r="A1310">
        <v>90</v>
      </c>
      <c r="B1310" t="b">
        <v>0</v>
      </c>
      <c r="C1310" t="s">
        <v>46346</v>
      </c>
      <c r="D1310">
        <v>1037022454355</v>
      </c>
      <c r="E1310">
        <v>1</v>
      </c>
      <c r="F1310">
        <v>6146566365</v>
      </c>
      <c r="G1310">
        <v>245.1</v>
      </c>
      <c r="H1310" t="s">
        <v>40293</v>
      </c>
      <c r="I1310">
        <v>3779</v>
      </c>
      <c r="J1310">
        <v>46671</v>
      </c>
      <c r="K1310">
        <v>153000</v>
      </c>
    </row>
    <row r="1311" spans="1:11">
      <c r="A1311">
        <v>90</v>
      </c>
      <c r="B1311" t="b">
        <v>0</v>
      </c>
      <c r="C1311" t="s">
        <v>45868</v>
      </c>
      <c r="D1311">
        <v>1037022454355</v>
      </c>
      <c r="E1311">
        <v>1</v>
      </c>
      <c r="F1311">
        <v>6147791897</v>
      </c>
      <c r="G1311">
        <v>243.5</v>
      </c>
      <c r="H1311" t="s">
        <v>40293</v>
      </c>
      <c r="I1311">
        <v>3779</v>
      </c>
      <c r="J1311">
        <v>32320</v>
      </c>
      <c r="K1311">
        <v>32320</v>
      </c>
    </row>
    <row r="1312" spans="1:11">
      <c r="A1312">
        <v>90</v>
      </c>
      <c r="B1312" t="b">
        <v>0</v>
      </c>
      <c r="C1312" t="s">
        <v>40667</v>
      </c>
      <c r="D1312">
        <v>1037022454355</v>
      </c>
      <c r="E1312">
        <v>1</v>
      </c>
      <c r="F1312">
        <v>6089547800</v>
      </c>
      <c r="G1312">
        <v>850000</v>
      </c>
      <c r="H1312" t="s">
        <v>40293</v>
      </c>
      <c r="I1312">
        <v>3829</v>
      </c>
      <c r="J1312">
        <v>1</v>
      </c>
      <c r="K1312">
        <v>1</v>
      </c>
    </row>
    <row r="1313" spans="1:11">
      <c r="A1313">
        <v>90</v>
      </c>
      <c r="B1313" t="b">
        <v>0</v>
      </c>
      <c r="C1313" t="s">
        <v>40363</v>
      </c>
      <c r="D1313">
        <v>1037022454355</v>
      </c>
      <c r="E1313">
        <v>1</v>
      </c>
      <c r="F1313">
        <v>6094620300</v>
      </c>
      <c r="G1313">
        <v>833300</v>
      </c>
      <c r="H1313" t="s">
        <v>40293</v>
      </c>
      <c r="I1313">
        <v>3829</v>
      </c>
      <c r="J1313">
        <v>42</v>
      </c>
      <c r="K1313">
        <v>48</v>
      </c>
    </row>
    <row r="1314" spans="1:11">
      <c r="A1314">
        <v>90</v>
      </c>
      <c r="B1314" t="b">
        <v>0</v>
      </c>
      <c r="C1314" t="s">
        <v>41116</v>
      </c>
      <c r="D1314">
        <v>1037022454355</v>
      </c>
      <c r="E1314">
        <v>1</v>
      </c>
      <c r="F1314">
        <v>6112200837</v>
      </c>
      <c r="G1314">
        <v>833200</v>
      </c>
      <c r="H1314" t="s">
        <v>40293</v>
      </c>
      <c r="I1314">
        <v>3829</v>
      </c>
      <c r="J1314">
        <v>80</v>
      </c>
      <c r="K1314">
        <v>80</v>
      </c>
    </row>
    <row r="1315" spans="1:11">
      <c r="A1315">
        <v>90</v>
      </c>
      <c r="B1315" t="b">
        <v>0</v>
      </c>
      <c r="C1315" t="s">
        <v>41716</v>
      </c>
      <c r="D1315">
        <v>1037022454355</v>
      </c>
      <c r="E1315">
        <v>1</v>
      </c>
      <c r="F1315">
        <v>6114409461</v>
      </c>
      <c r="G1315">
        <v>450000</v>
      </c>
      <c r="H1315" t="s">
        <v>40293</v>
      </c>
      <c r="I1315">
        <v>3829</v>
      </c>
      <c r="J1315">
        <v>28</v>
      </c>
      <c r="K1315">
        <v>29</v>
      </c>
    </row>
    <row r="1316" spans="1:11">
      <c r="A1316">
        <v>90</v>
      </c>
      <c r="B1316" t="b">
        <v>0</v>
      </c>
      <c r="C1316" t="s">
        <v>40436</v>
      </c>
      <c r="D1316">
        <v>1037022454355</v>
      </c>
      <c r="E1316">
        <v>1</v>
      </c>
      <c r="F1316">
        <v>6084955595</v>
      </c>
      <c r="G1316">
        <v>440000</v>
      </c>
      <c r="H1316" t="s">
        <v>40293</v>
      </c>
      <c r="I1316">
        <v>3829</v>
      </c>
      <c r="J1316">
        <v>289</v>
      </c>
      <c r="K1316">
        <v>300</v>
      </c>
    </row>
    <row r="1317" spans="1:11">
      <c r="A1317">
        <v>90</v>
      </c>
      <c r="B1317" t="b">
        <v>0</v>
      </c>
      <c r="C1317" t="s">
        <v>46533</v>
      </c>
      <c r="D1317">
        <v>1037022454355</v>
      </c>
      <c r="E1317">
        <v>1</v>
      </c>
      <c r="F1317">
        <v>6153109072</v>
      </c>
      <c r="G1317">
        <v>439900</v>
      </c>
      <c r="H1317" t="s">
        <v>40293</v>
      </c>
      <c r="I1317">
        <v>3829</v>
      </c>
      <c r="J1317">
        <v>3</v>
      </c>
      <c r="K1317">
        <v>25</v>
      </c>
    </row>
    <row r="1318" spans="1:11">
      <c r="A1318">
        <v>90</v>
      </c>
      <c r="B1318" t="b">
        <v>0</v>
      </c>
      <c r="C1318" t="s">
        <v>45196</v>
      </c>
      <c r="D1318">
        <v>1037022454355</v>
      </c>
      <c r="E1318">
        <v>1</v>
      </c>
      <c r="F1318">
        <v>6156958649</v>
      </c>
      <c r="G1318">
        <v>430000</v>
      </c>
      <c r="H1318" t="s">
        <v>40293</v>
      </c>
      <c r="I1318">
        <v>3829</v>
      </c>
      <c r="J1318">
        <v>45</v>
      </c>
      <c r="K1318">
        <v>50</v>
      </c>
    </row>
    <row r="1319" spans="1:11">
      <c r="A1319">
        <v>90</v>
      </c>
      <c r="B1319" t="b">
        <v>0</v>
      </c>
      <c r="C1319" t="s">
        <v>44290</v>
      </c>
      <c r="D1319">
        <v>1037022454355</v>
      </c>
      <c r="E1319">
        <v>1</v>
      </c>
      <c r="F1319">
        <v>6152582685</v>
      </c>
      <c r="G1319">
        <v>1104000</v>
      </c>
      <c r="H1319" t="s">
        <v>40293</v>
      </c>
      <c r="I1319">
        <v>3831</v>
      </c>
      <c r="J1319">
        <v>45</v>
      </c>
      <c r="K1319">
        <v>50</v>
      </c>
    </row>
    <row r="1320" spans="1:11">
      <c r="A1320">
        <v>90</v>
      </c>
      <c r="B1320" t="b">
        <v>0</v>
      </c>
      <c r="C1320" t="s">
        <v>45376</v>
      </c>
      <c r="D1320">
        <v>1037022454355</v>
      </c>
      <c r="E1320">
        <v>1</v>
      </c>
      <c r="F1320">
        <v>6153401919</v>
      </c>
      <c r="G1320">
        <v>1100000</v>
      </c>
      <c r="H1320" t="s">
        <v>40293</v>
      </c>
      <c r="I1320">
        <v>3831</v>
      </c>
      <c r="J1320">
        <v>3</v>
      </c>
      <c r="K1320">
        <v>13</v>
      </c>
    </row>
    <row r="1321" spans="1:11">
      <c r="A1321">
        <v>90</v>
      </c>
      <c r="B1321" t="b">
        <v>0</v>
      </c>
      <c r="C1321" t="s">
        <v>45782</v>
      </c>
      <c r="D1321">
        <v>1037022454355</v>
      </c>
      <c r="E1321">
        <v>1</v>
      </c>
      <c r="F1321">
        <v>6134192263</v>
      </c>
      <c r="G1321">
        <v>1097000</v>
      </c>
      <c r="H1321" t="s">
        <v>40293</v>
      </c>
      <c r="I1321">
        <v>3831</v>
      </c>
      <c r="J1321">
        <v>68</v>
      </c>
      <c r="K1321">
        <v>241</v>
      </c>
    </row>
    <row r="1322" spans="1:11">
      <c r="A1322">
        <v>90</v>
      </c>
      <c r="B1322" t="b">
        <v>0</v>
      </c>
      <c r="C1322" t="s">
        <v>46068</v>
      </c>
      <c r="D1322">
        <v>1037022454355</v>
      </c>
      <c r="E1322">
        <v>1</v>
      </c>
      <c r="F1322">
        <v>6080390659</v>
      </c>
      <c r="G1322">
        <v>1097000</v>
      </c>
      <c r="H1322" t="s">
        <v>40293</v>
      </c>
      <c r="I1322">
        <v>3831</v>
      </c>
      <c r="J1322">
        <v>142</v>
      </c>
      <c r="K1322">
        <v>170</v>
      </c>
    </row>
    <row r="1323" spans="1:11">
      <c r="A1323">
        <v>90</v>
      </c>
      <c r="B1323" t="b">
        <v>0</v>
      </c>
      <c r="C1323" t="s">
        <v>46094</v>
      </c>
      <c r="D1323">
        <v>1037022454355</v>
      </c>
      <c r="E1323">
        <v>1</v>
      </c>
      <c r="F1323">
        <v>6152677253</v>
      </c>
      <c r="G1323">
        <v>1097000</v>
      </c>
      <c r="H1323" t="s">
        <v>40293</v>
      </c>
      <c r="I1323">
        <v>3831</v>
      </c>
      <c r="J1323">
        <v>40</v>
      </c>
      <c r="K1323">
        <v>59</v>
      </c>
    </row>
    <row r="1324" spans="1:11">
      <c r="A1324">
        <v>90</v>
      </c>
      <c r="B1324" t="b">
        <v>0</v>
      </c>
      <c r="C1324" t="s">
        <v>44467</v>
      </c>
      <c r="D1324">
        <v>1037022454355</v>
      </c>
      <c r="E1324">
        <v>1</v>
      </c>
      <c r="F1324">
        <v>6155071133</v>
      </c>
      <c r="G1324">
        <v>1075000</v>
      </c>
      <c r="H1324" t="s">
        <v>40293</v>
      </c>
      <c r="I1324">
        <v>3831</v>
      </c>
      <c r="J1324">
        <v>7</v>
      </c>
      <c r="K1324">
        <v>49</v>
      </c>
    </row>
    <row r="1325" spans="1:11">
      <c r="A1325">
        <v>90</v>
      </c>
      <c r="B1325" t="b">
        <v>0</v>
      </c>
      <c r="C1325" t="s">
        <v>40564</v>
      </c>
      <c r="D1325">
        <v>1037022454355</v>
      </c>
      <c r="E1325">
        <v>1</v>
      </c>
      <c r="F1325">
        <v>6073489496</v>
      </c>
      <c r="G1325">
        <v>739800</v>
      </c>
      <c r="H1325" t="s">
        <v>40293</v>
      </c>
      <c r="I1325">
        <v>3839</v>
      </c>
      <c r="J1325">
        <v>7</v>
      </c>
      <c r="K1325">
        <v>13</v>
      </c>
    </row>
    <row r="1326" spans="1:11">
      <c r="A1326">
        <v>90</v>
      </c>
      <c r="B1326" t="b">
        <v>0</v>
      </c>
      <c r="C1326" t="s">
        <v>41864</v>
      </c>
      <c r="D1326">
        <v>1037022454355</v>
      </c>
      <c r="E1326">
        <v>1</v>
      </c>
      <c r="F1326">
        <v>6099908029</v>
      </c>
      <c r="G1326">
        <v>739000</v>
      </c>
      <c r="H1326" t="s">
        <v>40293</v>
      </c>
      <c r="I1326">
        <v>3839</v>
      </c>
      <c r="J1326">
        <v>2</v>
      </c>
      <c r="K1326">
        <v>2</v>
      </c>
    </row>
    <row r="1327" spans="1:11">
      <c r="A1327">
        <v>90</v>
      </c>
      <c r="B1327" t="b">
        <v>0</v>
      </c>
      <c r="C1327" t="s">
        <v>42372</v>
      </c>
      <c r="D1327">
        <v>1037022454355</v>
      </c>
      <c r="E1327">
        <v>1</v>
      </c>
      <c r="F1327">
        <v>6137910896</v>
      </c>
      <c r="G1327">
        <v>730000</v>
      </c>
      <c r="H1327" t="s">
        <v>40293</v>
      </c>
      <c r="I1327">
        <v>3839</v>
      </c>
      <c r="J1327">
        <v>2</v>
      </c>
      <c r="K1327">
        <v>2</v>
      </c>
    </row>
    <row r="1328" spans="1:11">
      <c r="A1328">
        <v>30</v>
      </c>
      <c r="B1328" t="b">
        <v>0</v>
      </c>
      <c r="C1328" t="s">
        <v>44596</v>
      </c>
      <c r="D1328">
        <v>1037022454355</v>
      </c>
      <c r="E1328">
        <v>1</v>
      </c>
      <c r="F1328">
        <v>6154231487</v>
      </c>
      <c r="G1328">
        <v>729900</v>
      </c>
      <c r="H1328" t="s">
        <v>40293</v>
      </c>
      <c r="I1328">
        <v>3839</v>
      </c>
      <c r="J1328">
        <v>20</v>
      </c>
      <c r="K1328">
        <v>20</v>
      </c>
    </row>
    <row r="1329" spans="1:11">
      <c r="A1329">
        <v>90</v>
      </c>
      <c r="B1329" t="b">
        <v>0</v>
      </c>
      <c r="C1329" t="s">
        <v>43006</v>
      </c>
      <c r="D1329">
        <v>1037022454355</v>
      </c>
      <c r="E1329">
        <v>1</v>
      </c>
      <c r="F1329">
        <v>6123261987</v>
      </c>
      <c r="G1329">
        <v>729800</v>
      </c>
      <c r="H1329" t="s">
        <v>40293</v>
      </c>
      <c r="I1329">
        <v>3839</v>
      </c>
      <c r="J1329">
        <v>7</v>
      </c>
      <c r="K1329">
        <v>25</v>
      </c>
    </row>
    <row r="1330" spans="1:11">
      <c r="A1330">
        <v>90</v>
      </c>
      <c r="B1330" t="b">
        <v>0</v>
      </c>
      <c r="C1330" t="s">
        <v>42009</v>
      </c>
      <c r="D1330">
        <v>1037022454355</v>
      </c>
      <c r="E1330">
        <v>1</v>
      </c>
      <c r="F1330">
        <v>6131090951</v>
      </c>
      <c r="G1330">
        <v>2500000</v>
      </c>
      <c r="H1330" t="s">
        <v>40293</v>
      </c>
      <c r="I1330">
        <v>3841</v>
      </c>
      <c r="J1330">
        <v>1</v>
      </c>
      <c r="K1330">
        <v>1</v>
      </c>
    </row>
    <row r="1331" spans="1:11">
      <c r="A1331">
        <v>90</v>
      </c>
      <c r="B1331" t="b">
        <v>0</v>
      </c>
      <c r="C1331" t="s">
        <v>42290</v>
      </c>
      <c r="D1331">
        <v>1037022454355</v>
      </c>
      <c r="E1331">
        <v>1</v>
      </c>
      <c r="F1331">
        <v>6132793533</v>
      </c>
      <c r="G1331">
        <v>2417000</v>
      </c>
      <c r="H1331" t="s">
        <v>40293</v>
      </c>
      <c r="I1331">
        <v>3841</v>
      </c>
      <c r="J1331">
        <v>133</v>
      </c>
      <c r="K1331">
        <v>152</v>
      </c>
    </row>
    <row r="1332" spans="1:11">
      <c r="A1332">
        <v>90</v>
      </c>
      <c r="B1332" t="b">
        <v>0</v>
      </c>
      <c r="C1332" t="s">
        <v>44278</v>
      </c>
      <c r="D1332">
        <v>1037022454355</v>
      </c>
      <c r="E1332">
        <v>1</v>
      </c>
      <c r="F1332">
        <v>6153366744</v>
      </c>
      <c r="G1332">
        <v>2260000</v>
      </c>
      <c r="H1332" t="s">
        <v>40293</v>
      </c>
      <c r="I1332">
        <v>3841</v>
      </c>
      <c r="J1332">
        <v>2</v>
      </c>
      <c r="K1332">
        <v>2</v>
      </c>
    </row>
    <row r="1333" spans="1:11">
      <c r="A1333">
        <v>90</v>
      </c>
      <c r="B1333" t="b">
        <v>0</v>
      </c>
      <c r="C1333" t="s">
        <v>45432</v>
      </c>
      <c r="D1333">
        <v>1037022454355</v>
      </c>
      <c r="E1333">
        <v>1</v>
      </c>
      <c r="F1333">
        <v>6153390115</v>
      </c>
      <c r="G1333">
        <v>2100000</v>
      </c>
      <c r="H1333" t="s">
        <v>40293</v>
      </c>
      <c r="I1333">
        <v>3841</v>
      </c>
      <c r="J1333">
        <v>2</v>
      </c>
      <c r="K1333">
        <v>2</v>
      </c>
    </row>
    <row r="1334" spans="1:11">
      <c r="A1334">
        <v>90</v>
      </c>
      <c r="B1334" t="b">
        <v>0</v>
      </c>
      <c r="C1334" t="s">
        <v>46373</v>
      </c>
      <c r="D1334">
        <v>1037022454355</v>
      </c>
      <c r="E1334">
        <v>1</v>
      </c>
      <c r="F1334">
        <v>6153402109</v>
      </c>
      <c r="G1334">
        <v>2000000</v>
      </c>
      <c r="H1334" t="s">
        <v>40293</v>
      </c>
      <c r="I1334">
        <v>3841</v>
      </c>
      <c r="J1334">
        <v>39</v>
      </c>
      <c r="K1334">
        <v>39</v>
      </c>
    </row>
    <row r="1335" spans="1:11">
      <c r="A1335">
        <v>90</v>
      </c>
      <c r="B1335" t="b">
        <v>0</v>
      </c>
      <c r="C1335" t="s">
        <v>44390</v>
      </c>
      <c r="D1335">
        <v>1037022454355</v>
      </c>
      <c r="E1335">
        <v>1</v>
      </c>
      <c r="F1335">
        <v>6134192262</v>
      </c>
      <c r="G1335">
        <v>1998000</v>
      </c>
      <c r="H1335" t="s">
        <v>40293</v>
      </c>
      <c r="I1335">
        <v>3841</v>
      </c>
      <c r="J1335">
        <v>121</v>
      </c>
      <c r="K1335">
        <v>130</v>
      </c>
    </row>
    <row r="1336" spans="1:11">
      <c r="A1336">
        <v>90</v>
      </c>
      <c r="B1336" t="b">
        <v>0</v>
      </c>
      <c r="C1336" t="s">
        <v>44572</v>
      </c>
      <c r="D1336">
        <v>1037022454355</v>
      </c>
      <c r="E1336">
        <v>1</v>
      </c>
      <c r="F1336">
        <v>6155355362</v>
      </c>
      <c r="G1336">
        <v>1995000</v>
      </c>
      <c r="H1336" t="s">
        <v>40293</v>
      </c>
      <c r="I1336">
        <v>3841</v>
      </c>
      <c r="J1336">
        <v>10</v>
      </c>
      <c r="K1336">
        <v>14</v>
      </c>
    </row>
    <row r="1337" spans="1:11">
      <c r="A1337">
        <v>90</v>
      </c>
      <c r="B1337" t="b">
        <v>0</v>
      </c>
      <c r="C1337" t="s">
        <v>44927</v>
      </c>
      <c r="D1337">
        <v>1037022454355</v>
      </c>
      <c r="E1337">
        <v>1</v>
      </c>
      <c r="F1337">
        <v>6155873938</v>
      </c>
      <c r="G1337">
        <v>1800000</v>
      </c>
      <c r="H1337" t="s">
        <v>40293</v>
      </c>
      <c r="I1337">
        <v>3841</v>
      </c>
      <c r="J1337">
        <v>21</v>
      </c>
      <c r="K1337">
        <v>24</v>
      </c>
    </row>
    <row r="1338" spans="1:11">
      <c r="A1338">
        <v>90</v>
      </c>
      <c r="B1338" t="b">
        <v>0</v>
      </c>
      <c r="C1338" t="s">
        <v>46159</v>
      </c>
      <c r="D1338">
        <v>1037022454355</v>
      </c>
      <c r="E1338">
        <v>1</v>
      </c>
      <c r="F1338">
        <v>6155332489</v>
      </c>
      <c r="G1338">
        <v>1797000</v>
      </c>
      <c r="H1338" t="s">
        <v>40293</v>
      </c>
      <c r="I1338">
        <v>3841</v>
      </c>
      <c r="J1338">
        <v>32</v>
      </c>
      <c r="K1338">
        <v>40</v>
      </c>
    </row>
    <row r="1339" spans="1:11">
      <c r="A1339">
        <v>30</v>
      </c>
      <c r="B1339" t="b">
        <v>0</v>
      </c>
      <c r="C1339" t="s">
        <v>44135</v>
      </c>
      <c r="D1339">
        <v>1037022454355</v>
      </c>
      <c r="E1339">
        <v>1</v>
      </c>
      <c r="F1339">
        <v>6157108465</v>
      </c>
      <c r="G1339">
        <v>1796000</v>
      </c>
      <c r="H1339" t="s">
        <v>40293</v>
      </c>
      <c r="I1339">
        <v>3841</v>
      </c>
      <c r="J1339">
        <v>15</v>
      </c>
      <c r="K1339">
        <v>15</v>
      </c>
    </row>
    <row r="1340" spans="1:11">
      <c r="A1340">
        <v>90</v>
      </c>
      <c r="B1340" t="b">
        <v>0</v>
      </c>
      <c r="C1340" t="s">
        <v>45155</v>
      </c>
      <c r="D1340">
        <v>1037022454355</v>
      </c>
      <c r="E1340">
        <v>1</v>
      </c>
      <c r="F1340">
        <v>6157318673</v>
      </c>
      <c r="G1340">
        <v>1794000</v>
      </c>
      <c r="H1340" t="s">
        <v>40293</v>
      </c>
      <c r="I1340">
        <v>3841</v>
      </c>
      <c r="J1340">
        <v>25</v>
      </c>
      <c r="K1340">
        <v>25</v>
      </c>
    </row>
    <row r="1341" spans="1:11">
      <c r="A1341">
        <v>90</v>
      </c>
      <c r="B1341" t="b">
        <v>0</v>
      </c>
      <c r="C1341" t="s">
        <v>45215</v>
      </c>
      <c r="D1341">
        <v>1037022454355</v>
      </c>
      <c r="E1341">
        <v>1</v>
      </c>
      <c r="F1341">
        <v>6155943185</v>
      </c>
      <c r="G1341">
        <v>1793000</v>
      </c>
      <c r="H1341" t="s">
        <v>40293</v>
      </c>
      <c r="I1341">
        <v>3841</v>
      </c>
      <c r="J1341">
        <v>7</v>
      </c>
      <c r="K1341">
        <v>20</v>
      </c>
    </row>
    <row r="1342" spans="1:11">
      <c r="A1342">
        <v>90</v>
      </c>
      <c r="B1342" t="b">
        <v>0</v>
      </c>
      <c r="C1342" t="s">
        <v>46519</v>
      </c>
      <c r="D1342">
        <v>1037022454355</v>
      </c>
      <c r="E1342">
        <v>1</v>
      </c>
      <c r="F1342">
        <v>6153633211</v>
      </c>
      <c r="G1342">
        <v>1792000</v>
      </c>
      <c r="H1342" t="s">
        <v>40293</v>
      </c>
      <c r="I1342">
        <v>3841</v>
      </c>
      <c r="J1342">
        <v>5</v>
      </c>
      <c r="K1342">
        <v>8</v>
      </c>
    </row>
    <row r="1343" spans="1:11">
      <c r="A1343">
        <v>90</v>
      </c>
      <c r="B1343" t="b">
        <v>0</v>
      </c>
      <c r="C1343" t="s">
        <v>40465</v>
      </c>
      <c r="D1343">
        <v>1037022454355</v>
      </c>
      <c r="E1343">
        <v>1</v>
      </c>
      <c r="F1343">
        <v>6101746326</v>
      </c>
      <c r="G1343">
        <v>700000</v>
      </c>
      <c r="H1343" t="s">
        <v>40293</v>
      </c>
      <c r="I1343">
        <v>3887</v>
      </c>
      <c r="J1343">
        <v>13</v>
      </c>
      <c r="K1343">
        <v>40</v>
      </c>
    </row>
    <row r="1344" spans="1:11">
      <c r="A1344">
        <v>90</v>
      </c>
      <c r="B1344" t="b">
        <v>0</v>
      </c>
      <c r="C1344" t="s">
        <v>41227</v>
      </c>
      <c r="D1344">
        <v>1037022454355</v>
      </c>
      <c r="E1344">
        <v>1</v>
      </c>
      <c r="F1344">
        <v>6119929879</v>
      </c>
      <c r="G1344">
        <v>1349000</v>
      </c>
      <c r="H1344" t="s">
        <v>40293</v>
      </c>
      <c r="I1344">
        <v>3888</v>
      </c>
      <c r="J1344">
        <v>19</v>
      </c>
      <c r="K1344">
        <v>26</v>
      </c>
    </row>
    <row r="1345" spans="1:11">
      <c r="A1345">
        <v>90</v>
      </c>
      <c r="B1345" t="b">
        <v>0</v>
      </c>
      <c r="C1345" t="s">
        <v>42604</v>
      </c>
      <c r="D1345">
        <v>1037022454355</v>
      </c>
      <c r="E1345">
        <v>1</v>
      </c>
      <c r="F1345">
        <v>6118066390</v>
      </c>
      <c r="G1345">
        <v>1348000</v>
      </c>
      <c r="H1345" t="s">
        <v>40293</v>
      </c>
      <c r="I1345">
        <v>3888</v>
      </c>
      <c r="J1345">
        <v>15</v>
      </c>
      <c r="K1345">
        <v>35</v>
      </c>
    </row>
    <row r="1346" spans="1:11">
      <c r="A1346">
        <v>90</v>
      </c>
      <c r="B1346" t="b">
        <v>0</v>
      </c>
      <c r="C1346" t="s">
        <v>44387</v>
      </c>
      <c r="D1346">
        <v>1037022454355</v>
      </c>
      <c r="E1346">
        <v>1</v>
      </c>
      <c r="F1346">
        <v>6148948782</v>
      </c>
      <c r="G1346">
        <v>979600</v>
      </c>
      <c r="H1346" t="s">
        <v>40293</v>
      </c>
      <c r="I1346">
        <v>3888</v>
      </c>
      <c r="J1346">
        <v>2</v>
      </c>
      <c r="K1346">
        <v>2</v>
      </c>
    </row>
    <row r="1347" spans="1:11">
      <c r="A1347">
        <v>90</v>
      </c>
      <c r="B1347" t="b">
        <v>0</v>
      </c>
      <c r="C1347" t="s">
        <v>42816</v>
      </c>
      <c r="D1347">
        <v>1037022454355</v>
      </c>
      <c r="E1347">
        <v>1</v>
      </c>
      <c r="F1347">
        <v>6136067412</v>
      </c>
      <c r="G1347">
        <v>975000</v>
      </c>
      <c r="H1347" t="s">
        <v>40293</v>
      </c>
      <c r="I1347">
        <v>3888</v>
      </c>
      <c r="J1347">
        <v>11</v>
      </c>
      <c r="K1347">
        <v>20</v>
      </c>
    </row>
    <row r="1348" spans="1:11">
      <c r="A1348">
        <v>90</v>
      </c>
      <c r="B1348" t="b">
        <v>0</v>
      </c>
      <c r="C1348" t="s">
        <v>43116</v>
      </c>
      <c r="D1348">
        <v>1037022454355</v>
      </c>
      <c r="E1348">
        <v>1</v>
      </c>
      <c r="F1348">
        <v>6138244902</v>
      </c>
      <c r="G1348">
        <v>950000</v>
      </c>
      <c r="H1348" t="s">
        <v>40293</v>
      </c>
      <c r="I1348">
        <v>3888</v>
      </c>
      <c r="J1348">
        <v>23</v>
      </c>
      <c r="K1348">
        <v>114</v>
      </c>
    </row>
    <row r="1349" spans="1:11">
      <c r="A1349">
        <v>90</v>
      </c>
      <c r="B1349" t="b">
        <v>0</v>
      </c>
      <c r="C1349" t="s">
        <v>42895</v>
      </c>
      <c r="D1349">
        <v>1037022454355</v>
      </c>
      <c r="E1349">
        <v>1</v>
      </c>
      <c r="F1349">
        <v>6143603524</v>
      </c>
      <c r="G1349">
        <v>22400000</v>
      </c>
      <c r="H1349" t="s">
        <v>40293</v>
      </c>
      <c r="I1349">
        <v>3898</v>
      </c>
      <c r="J1349">
        <v>1</v>
      </c>
      <c r="K1349">
        <v>1</v>
      </c>
    </row>
    <row r="1350" spans="1:11">
      <c r="A1350">
        <v>90</v>
      </c>
      <c r="B1350" t="b">
        <v>0</v>
      </c>
      <c r="C1350" t="s">
        <v>43012</v>
      </c>
      <c r="D1350">
        <v>1037022454355</v>
      </c>
      <c r="E1350">
        <v>1</v>
      </c>
      <c r="F1350">
        <v>6139484197</v>
      </c>
      <c r="G1350">
        <v>21490000</v>
      </c>
      <c r="H1350" t="s">
        <v>40293</v>
      </c>
      <c r="I1350">
        <v>3898</v>
      </c>
      <c r="J1350">
        <v>10</v>
      </c>
      <c r="K1350">
        <v>15</v>
      </c>
    </row>
    <row r="1351" spans="1:11">
      <c r="A1351">
        <v>90</v>
      </c>
      <c r="B1351" t="b">
        <v>0</v>
      </c>
      <c r="C1351" t="s">
        <v>43232</v>
      </c>
      <c r="D1351">
        <v>1037022454355</v>
      </c>
      <c r="E1351">
        <v>1</v>
      </c>
      <c r="F1351">
        <v>6144600252</v>
      </c>
      <c r="G1351">
        <v>21000000</v>
      </c>
      <c r="H1351" t="s">
        <v>40293</v>
      </c>
      <c r="I1351">
        <v>3898</v>
      </c>
      <c r="J1351">
        <v>25</v>
      </c>
      <c r="K1351">
        <v>35</v>
      </c>
    </row>
    <row r="1352" spans="1:11">
      <c r="A1352">
        <v>90</v>
      </c>
      <c r="B1352" t="b">
        <v>0</v>
      </c>
      <c r="C1352" t="s">
        <v>45189</v>
      </c>
      <c r="D1352">
        <v>1037022454355</v>
      </c>
      <c r="E1352">
        <v>1</v>
      </c>
      <c r="F1352">
        <v>6152764270</v>
      </c>
      <c r="G1352">
        <v>20490000</v>
      </c>
      <c r="H1352" t="s">
        <v>40293</v>
      </c>
      <c r="I1352">
        <v>3898</v>
      </c>
      <c r="J1352">
        <v>5</v>
      </c>
      <c r="K1352">
        <v>5</v>
      </c>
    </row>
    <row r="1353" spans="1:11">
      <c r="A1353">
        <v>90</v>
      </c>
      <c r="B1353" t="b">
        <v>0</v>
      </c>
      <c r="C1353" t="s">
        <v>45728</v>
      </c>
      <c r="D1353">
        <v>1037022454355</v>
      </c>
      <c r="E1353">
        <v>1</v>
      </c>
      <c r="F1353">
        <v>6152738370</v>
      </c>
      <c r="G1353">
        <v>20350000</v>
      </c>
      <c r="H1353" t="s">
        <v>40293</v>
      </c>
      <c r="I1353">
        <v>3898</v>
      </c>
      <c r="J1353">
        <v>4</v>
      </c>
      <c r="K1353">
        <v>4</v>
      </c>
    </row>
    <row r="1354" spans="1:11">
      <c r="A1354">
        <v>90</v>
      </c>
      <c r="B1354" t="b">
        <v>0</v>
      </c>
      <c r="C1354" t="s">
        <v>45875</v>
      </c>
      <c r="D1354">
        <v>1037022454355</v>
      </c>
      <c r="E1354">
        <v>1</v>
      </c>
      <c r="F1354">
        <v>6152707183</v>
      </c>
      <c r="G1354">
        <v>20300000</v>
      </c>
      <c r="H1354" t="s">
        <v>40293</v>
      </c>
      <c r="I1354">
        <v>3898</v>
      </c>
      <c r="J1354">
        <v>29</v>
      </c>
      <c r="K1354">
        <v>30</v>
      </c>
    </row>
    <row r="1355" spans="1:11">
      <c r="A1355">
        <v>90</v>
      </c>
      <c r="B1355" t="b">
        <v>0</v>
      </c>
      <c r="C1355" t="s">
        <v>43171</v>
      </c>
      <c r="D1355">
        <v>1037022454355</v>
      </c>
      <c r="E1355">
        <v>1</v>
      </c>
      <c r="F1355">
        <v>6143320267</v>
      </c>
      <c r="G1355">
        <v>1990000</v>
      </c>
      <c r="H1355" t="s">
        <v>40293</v>
      </c>
      <c r="I1355">
        <v>3949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46026</v>
      </c>
      <c r="D1356">
        <v>1037022454355</v>
      </c>
      <c r="E1356">
        <v>1</v>
      </c>
      <c r="F1356">
        <v>6153397119</v>
      </c>
      <c r="G1356">
        <v>9997000</v>
      </c>
      <c r="H1356" t="s">
        <v>40293</v>
      </c>
      <c r="I1356">
        <v>3955</v>
      </c>
      <c r="J1356">
        <v>1</v>
      </c>
      <c r="K1356">
        <v>1</v>
      </c>
    </row>
    <row r="1357" spans="1:11">
      <c r="A1357">
        <v>90</v>
      </c>
      <c r="B1357" t="b">
        <v>0</v>
      </c>
      <c r="C1357" t="s">
        <v>41279</v>
      </c>
      <c r="D1357">
        <v>1037022454355</v>
      </c>
      <c r="E1357">
        <v>1</v>
      </c>
      <c r="F1357">
        <v>6117020661</v>
      </c>
      <c r="G1357">
        <v>97000000</v>
      </c>
      <c r="H1357" t="s">
        <v>40293</v>
      </c>
      <c r="I1357">
        <v>3962</v>
      </c>
      <c r="J1357">
        <v>1</v>
      </c>
      <c r="K1357">
        <v>1</v>
      </c>
    </row>
    <row r="1358" spans="1:11">
      <c r="A1358">
        <v>14</v>
      </c>
      <c r="B1358" t="b">
        <v>0</v>
      </c>
      <c r="C1358" t="s">
        <v>44829</v>
      </c>
      <c r="D1358">
        <v>1037022454355</v>
      </c>
      <c r="E1358">
        <v>1</v>
      </c>
      <c r="F1358">
        <v>6154529137</v>
      </c>
      <c r="G1358">
        <v>96500000</v>
      </c>
      <c r="H1358" t="s">
        <v>40293</v>
      </c>
      <c r="I1358">
        <v>3962</v>
      </c>
      <c r="J1358">
        <v>3</v>
      </c>
      <c r="K1358">
        <v>3</v>
      </c>
    </row>
    <row r="1359" spans="1:11">
      <c r="A1359">
        <v>90</v>
      </c>
      <c r="B1359" t="b">
        <v>0</v>
      </c>
      <c r="C1359" t="s">
        <v>41485</v>
      </c>
      <c r="D1359">
        <v>1037022454355</v>
      </c>
      <c r="E1359">
        <v>1</v>
      </c>
      <c r="F1359">
        <v>6124365453</v>
      </c>
      <c r="G1359">
        <v>96500000</v>
      </c>
      <c r="H1359" t="s">
        <v>40293</v>
      </c>
      <c r="I1359">
        <v>3962</v>
      </c>
      <c r="J1359">
        <v>4</v>
      </c>
      <c r="K1359">
        <v>9</v>
      </c>
    </row>
    <row r="1360" spans="1:11">
      <c r="A1360">
        <v>90</v>
      </c>
      <c r="B1360" t="b">
        <v>0</v>
      </c>
      <c r="C1360" t="s">
        <v>43818</v>
      </c>
      <c r="D1360">
        <v>1037022454355</v>
      </c>
      <c r="E1360">
        <v>1</v>
      </c>
      <c r="F1360">
        <v>6146915570</v>
      </c>
      <c r="G1360">
        <v>5930000</v>
      </c>
      <c r="H1360" t="s">
        <v>40293</v>
      </c>
      <c r="I1360">
        <v>3995</v>
      </c>
      <c r="J1360">
        <v>5</v>
      </c>
      <c r="K1360">
        <v>5</v>
      </c>
    </row>
    <row r="1361" spans="1:11">
      <c r="A1361">
        <v>30</v>
      </c>
      <c r="B1361" t="b">
        <v>0</v>
      </c>
      <c r="C1361" t="s">
        <v>45722</v>
      </c>
      <c r="D1361">
        <v>1037022454355</v>
      </c>
      <c r="E1361">
        <v>1</v>
      </c>
      <c r="F1361">
        <v>6149953028</v>
      </c>
      <c r="G1361">
        <v>5920000</v>
      </c>
      <c r="H1361" t="s">
        <v>40293</v>
      </c>
      <c r="I1361">
        <v>3995</v>
      </c>
      <c r="J1361">
        <v>7</v>
      </c>
      <c r="K1361">
        <v>20</v>
      </c>
    </row>
    <row r="1362" spans="1:11">
      <c r="A1362">
        <v>90</v>
      </c>
      <c r="B1362" t="b">
        <v>0</v>
      </c>
      <c r="C1362" t="s">
        <v>40711</v>
      </c>
      <c r="D1362">
        <v>1037022454355</v>
      </c>
      <c r="E1362">
        <v>1</v>
      </c>
      <c r="F1362">
        <v>6067856410</v>
      </c>
      <c r="G1362">
        <v>189700</v>
      </c>
      <c r="H1362" t="s">
        <v>40293</v>
      </c>
      <c r="I1362">
        <v>4025</v>
      </c>
      <c r="J1362">
        <v>27</v>
      </c>
      <c r="K1362">
        <v>54</v>
      </c>
    </row>
    <row r="1363" spans="1:11">
      <c r="A1363">
        <v>90</v>
      </c>
      <c r="B1363" t="b">
        <v>0</v>
      </c>
      <c r="C1363" t="s">
        <v>42396</v>
      </c>
      <c r="D1363">
        <v>1037022454355</v>
      </c>
      <c r="E1363">
        <v>1</v>
      </c>
      <c r="F1363">
        <v>6130572488</v>
      </c>
      <c r="G1363">
        <v>187400</v>
      </c>
      <c r="H1363" t="s">
        <v>40293</v>
      </c>
      <c r="I1363">
        <v>4025</v>
      </c>
      <c r="J1363">
        <v>23</v>
      </c>
      <c r="K1363">
        <v>25</v>
      </c>
    </row>
    <row r="1364" spans="1:11">
      <c r="A1364">
        <v>90</v>
      </c>
      <c r="B1364" t="b">
        <v>0</v>
      </c>
      <c r="C1364" t="s">
        <v>42429</v>
      </c>
      <c r="D1364">
        <v>1037022454355</v>
      </c>
      <c r="E1364">
        <v>1</v>
      </c>
      <c r="F1364">
        <v>6126085250</v>
      </c>
      <c r="G1364">
        <v>180000</v>
      </c>
      <c r="H1364" t="s">
        <v>40293</v>
      </c>
      <c r="I1364">
        <v>4025</v>
      </c>
      <c r="J1364">
        <v>27</v>
      </c>
      <c r="K1364">
        <v>30</v>
      </c>
    </row>
    <row r="1365" spans="1:11">
      <c r="A1365">
        <v>90</v>
      </c>
      <c r="B1365" t="b">
        <v>0</v>
      </c>
      <c r="C1365" t="s">
        <v>42307</v>
      </c>
      <c r="D1365">
        <v>1037022454355</v>
      </c>
      <c r="E1365">
        <v>1</v>
      </c>
      <c r="F1365">
        <v>6135776314</v>
      </c>
      <c r="G1365">
        <v>50000</v>
      </c>
      <c r="H1365" t="s">
        <v>40293</v>
      </c>
      <c r="I1365">
        <v>4025</v>
      </c>
      <c r="J1365">
        <v>63</v>
      </c>
      <c r="K1365">
        <v>99</v>
      </c>
    </row>
    <row r="1366" spans="1:11">
      <c r="A1366">
        <v>90</v>
      </c>
      <c r="B1366" t="b">
        <v>0</v>
      </c>
      <c r="C1366" t="s">
        <v>42565</v>
      </c>
      <c r="D1366">
        <v>1037022454355</v>
      </c>
      <c r="E1366">
        <v>1</v>
      </c>
      <c r="F1366">
        <v>6134481162</v>
      </c>
      <c r="G1366">
        <v>90000</v>
      </c>
      <c r="H1366" t="s">
        <v>40293</v>
      </c>
      <c r="I1366">
        <v>4027</v>
      </c>
      <c r="J1366">
        <v>144</v>
      </c>
      <c r="K1366">
        <v>165</v>
      </c>
    </row>
    <row r="1367" spans="1:11">
      <c r="A1367">
        <v>90</v>
      </c>
      <c r="B1367" t="b">
        <v>0</v>
      </c>
      <c r="C1367" t="s">
        <v>42402</v>
      </c>
      <c r="D1367">
        <v>1037022454355</v>
      </c>
      <c r="E1367">
        <v>1</v>
      </c>
      <c r="F1367">
        <v>6123494771</v>
      </c>
      <c r="G1367">
        <v>88990</v>
      </c>
      <c r="H1367" t="s">
        <v>40293</v>
      </c>
      <c r="I1367">
        <v>4027</v>
      </c>
      <c r="J1367">
        <v>44</v>
      </c>
      <c r="K1367">
        <v>56</v>
      </c>
    </row>
    <row r="1368" spans="1:11">
      <c r="A1368">
        <v>90</v>
      </c>
      <c r="B1368" t="b">
        <v>0</v>
      </c>
      <c r="C1368" t="s">
        <v>43194</v>
      </c>
      <c r="D1368">
        <v>1037022454355</v>
      </c>
      <c r="E1368">
        <v>1</v>
      </c>
      <c r="F1368">
        <v>6126085005</v>
      </c>
      <c r="G1368">
        <v>88940</v>
      </c>
      <c r="H1368" t="s">
        <v>40293</v>
      </c>
      <c r="I1368">
        <v>4027</v>
      </c>
      <c r="J1368">
        <v>18</v>
      </c>
      <c r="K1368">
        <v>127</v>
      </c>
    </row>
    <row r="1369" spans="1:11">
      <c r="A1369">
        <v>90</v>
      </c>
      <c r="B1369" t="b">
        <v>0</v>
      </c>
      <c r="C1369" t="s">
        <v>45917</v>
      </c>
      <c r="D1369">
        <v>1037022454355</v>
      </c>
      <c r="E1369">
        <v>1</v>
      </c>
      <c r="F1369">
        <v>6157458955</v>
      </c>
      <c r="G1369">
        <v>88540</v>
      </c>
      <c r="H1369" t="s">
        <v>40293</v>
      </c>
      <c r="I1369">
        <v>4027</v>
      </c>
      <c r="J1369">
        <v>1</v>
      </c>
      <c r="K1369">
        <v>1</v>
      </c>
    </row>
    <row r="1370" spans="1:11">
      <c r="A1370">
        <v>90</v>
      </c>
      <c r="B1370" t="b">
        <v>0</v>
      </c>
      <c r="C1370" t="s">
        <v>46282</v>
      </c>
      <c r="D1370">
        <v>1037022454355</v>
      </c>
      <c r="E1370">
        <v>1</v>
      </c>
      <c r="F1370">
        <v>6156087785</v>
      </c>
      <c r="G1370">
        <v>35000</v>
      </c>
      <c r="H1370" t="s">
        <v>40293</v>
      </c>
      <c r="I1370">
        <v>4051</v>
      </c>
      <c r="J1370">
        <v>3900</v>
      </c>
      <c r="K1370">
        <v>6000</v>
      </c>
    </row>
    <row r="1371" spans="1:11">
      <c r="A1371">
        <v>90</v>
      </c>
      <c r="B1371" t="b">
        <v>0</v>
      </c>
      <c r="C1371" t="s">
        <v>41415</v>
      </c>
      <c r="D1371">
        <v>1037022454355</v>
      </c>
      <c r="E1371">
        <v>1</v>
      </c>
      <c r="F1371">
        <v>6121840378</v>
      </c>
      <c r="G1371">
        <v>21000</v>
      </c>
      <c r="H1371" t="s">
        <v>40293</v>
      </c>
      <c r="I1371">
        <v>4246</v>
      </c>
      <c r="J1371">
        <v>19919</v>
      </c>
      <c r="K1371">
        <v>47300</v>
      </c>
    </row>
    <row r="1372" spans="1:11">
      <c r="A1372">
        <v>90</v>
      </c>
      <c r="B1372" t="b">
        <v>0</v>
      </c>
      <c r="C1372" t="s">
        <v>43299</v>
      </c>
      <c r="D1372">
        <v>1037022454355</v>
      </c>
      <c r="E1372">
        <v>1</v>
      </c>
      <c r="F1372">
        <v>6139457117</v>
      </c>
      <c r="G1372">
        <v>20990</v>
      </c>
      <c r="H1372" t="s">
        <v>40293</v>
      </c>
      <c r="I1372">
        <v>4246</v>
      </c>
      <c r="J1372">
        <v>1750</v>
      </c>
      <c r="K1372">
        <v>8000</v>
      </c>
    </row>
    <row r="1373" spans="1:11">
      <c r="A1373">
        <v>90</v>
      </c>
      <c r="B1373" t="b">
        <v>0</v>
      </c>
      <c r="C1373" t="s">
        <v>45379</v>
      </c>
      <c r="D1373">
        <v>1037022454355</v>
      </c>
      <c r="E1373">
        <v>1</v>
      </c>
      <c r="F1373">
        <v>6153527531</v>
      </c>
      <c r="G1373">
        <v>20000</v>
      </c>
      <c r="H1373" t="s">
        <v>40293</v>
      </c>
      <c r="I1373">
        <v>4246</v>
      </c>
      <c r="J1373">
        <v>705</v>
      </c>
      <c r="K1373">
        <v>6905</v>
      </c>
    </row>
    <row r="1374" spans="1:11">
      <c r="A1374">
        <v>90</v>
      </c>
      <c r="B1374" t="b">
        <v>0</v>
      </c>
      <c r="C1374" t="s">
        <v>42581</v>
      </c>
      <c r="D1374">
        <v>1037022454355</v>
      </c>
      <c r="E1374">
        <v>1</v>
      </c>
      <c r="F1374">
        <v>6134973432</v>
      </c>
      <c r="G1374">
        <v>9990000</v>
      </c>
      <c r="H1374" t="s">
        <v>40293</v>
      </c>
      <c r="I1374">
        <v>4248</v>
      </c>
      <c r="J1374">
        <v>2</v>
      </c>
      <c r="K1374">
        <v>3</v>
      </c>
    </row>
    <row r="1375" spans="1:11">
      <c r="A1375">
        <v>90</v>
      </c>
      <c r="B1375" t="b">
        <v>0</v>
      </c>
      <c r="C1375" t="s">
        <v>44700</v>
      </c>
      <c r="D1375">
        <v>1037022454355</v>
      </c>
      <c r="E1375">
        <v>1</v>
      </c>
      <c r="F1375">
        <v>6153395012</v>
      </c>
      <c r="G1375">
        <v>9988000</v>
      </c>
      <c r="H1375" t="s">
        <v>40293</v>
      </c>
      <c r="I1375">
        <v>4248</v>
      </c>
      <c r="J1375">
        <v>2</v>
      </c>
      <c r="K1375">
        <v>2</v>
      </c>
    </row>
    <row r="1376" spans="1:11">
      <c r="A1376">
        <v>90</v>
      </c>
      <c r="B1376" t="b">
        <v>0</v>
      </c>
      <c r="C1376" t="s">
        <v>42743</v>
      </c>
      <c r="D1376">
        <v>1037022454355</v>
      </c>
      <c r="E1376">
        <v>1</v>
      </c>
      <c r="F1376">
        <v>6134654292</v>
      </c>
      <c r="G1376">
        <v>7749000</v>
      </c>
      <c r="H1376" t="s">
        <v>40293</v>
      </c>
      <c r="I1376">
        <v>4250</v>
      </c>
      <c r="J1376">
        <v>11</v>
      </c>
      <c r="K1376">
        <v>20</v>
      </c>
    </row>
    <row r="1377" spans="1:11">
      <c r="A1377">
        <v>90</v>
      </c>
      <c r="B1377" t="b">
        <v>0</v>
      </c>
      <c r="C1377" t="s">
        <v>43677</v>
      </c>
      <c r="D1377">
        <v>1037022454355</v>
      </c>
      <c r="E1377">
        <v>1</v>
      </c>
      <c r="F1377">
        <v>6073408691</v>
      </c>
      <c r="G1377">
        <v>1119000</v>
      </c>
      <c r="H1377" t="s">
        <v>40293</v>
      </c>
      <c r="I1377">
        <v>4254</v>
      </c>
      <c r="J1377">
        <v>23</v>
      </c>
      <c r="K1377">
        <v>25</v>
      </c>
    </row>
    <row r="1378" spans="1:11">
      <c r="A1378">
        <v>90</v>
      </c>
      <c r="B1378" t="b">
        <v>0</v>
      </c>
      <c r="C1378" t="s">
        <v>41178</v>
      </c>
      <c r="D1378">
        <v>1037022454355</v>
      </c>
      <c r="E1378">
        <v>1</v>
      </c>
      <c r="F1378">
        <v>6067866845</v>
      </c>
      <c r="G1378">
        <v>999800</v>
      </c>
      <c r="H1378" t="s">
        <v>40293</v>
      </c>
      <c r="I1378">
        <v>4254</v>
      </c>
      <c r="J1378">
        <v>14</v>
      </c>
      <c r="K1378">
        <v>64</v>
      </c>
    </row>
    <row r="1379" spans="1:11">
      <c r="A1379">
        <v>90</v>
      </c>
      <c r="B1379" t="b">
        <v>0</v>
      </c>
      <c r="C1379" t="s">
        <v>45070</v>
      </c>
      <c r="D1379">
        <v>1037022454355</v>
      </c>
      <c r="E1379">
        <v>1</v>
      </c>
      <c r="F1379">
        <v>6073365811</v>
      </c>
      <c r="G1379">
        <v>3700000</v>
      </c>
      <c r="H1379" t="s">
        <v>40293</v>
      </c>
      <c r="I1379">
        <v>4256</v>
      </c>
      <c r="J1379">
        <v>24</v>
      </c>
      <c r="K1379">
        <v>25</v>
      </c>
    </row>
    <row r="1380" spans="1:11">
      <c r="A1380">
        <v>90</v>
      </c>
      <c r="B1380" t="b">
        <v>0</v>
      </c>
      <c r="C1380" t="s">
        <v>41063</v>
      </c>
      <c r="D1380">
        <v>1037022454355</v>
      </c>
      <c r="E1380">
        <v>1</v>
      </c>
      <c r="F1380">
        <v>6119932971</v>
      </c>
      <c r="G1380">
        <v>3495000</v>
      </c>
      <c r="H1380" t="s">
        <v>40293</v>
      </c>
      <c r="I1380">
        <v>4256</v>
      </c>
      <c r="J1380">
        <v>3</v>
      </c>
      <c r="K1380">
        <v>3</v>
      </c>
    </row>
    <row r="1381" spans="1:11">
      <c r="A1381">
        <v>90</v>
      </c>
      <c r="B1381" t="b">
        <v>0</v>
      </c>
      <c r="C1381" t="s">
        <v>41832</v>
      </c>
      <c r="D1381">
        <v>1037022454355</v>
      </c>
      <c r="E1381">
        <v>1</v>
      </c>
      <c r="F1381">
        <v>6086992024</v>
      </c>
      <c r="G1381">
        <v>3100000</v>
      </c>
      <c r="H1381" t="s">
        <v>40293</v>
      </c>
      <c r="I1381">
        <v>4256</v>
      </c>
      <c r="J1381">
        <v>5</v>
      </c>
      <c r="K1381">
        <v>5</v>
      </c>
    </row>
    <row r="1382" spans="1:11">
      <c r="A1382">
        <v>90</v>
      </c>
      <c r="B1382" t="b">
        <v>0</v>
      </c>
      <c r="C1382" t="s">
        <v>41928</v>
      </c>
      <c r="D1382">
        <v>1037022454355</v>
      </c>
      <c r="E1382">
        <v>1</v>
      </c>
      <c r="F1382">
        <v>6129080300</v>
      </c>
      <c r="G1382">
        <v>3000000</v>
      </c>
      <c r="H1382" t="s">
        <v>40293</v>
      </c>
      <c r="I1382">
        <v>4256</v>
      </c>
      <c r="J1382">
        <v>1</v>
      </c>
      <c r="K1382">
        <v>1</v>
      </c>
    </row>
    <row r="1383" spans="1:11">
      <c r="A1383">
        <v>90</v>
      </c>
      <c r="B1383" t="b">
        <v>0</v>
      </c>
      <c r="C1383" t="s">
        <v>43409</v>
      </c>
      <c r="D1383">
        <v>1037022454355</v>
      </c>
      <c r="E1383">
        <v>1</v>
      </c>
      <c r="F1383">
        <v>6139316632</v>
      </c>
      <c r="G1383">
        <v>2999000</v>
      </c>
      <c r="H1383" t="s">
        <v>40293</v>
      </c>
      <c r="I1383">
        <v>4256</v>
      </c>
      <c r="J1383">
        <v>1</v>
      </c>
      <c r="K1383">
        <v>3</v>
      </c>
    </row>
    <row r="1384" spans="1:11">
      <c r="A1384">
        <v>90</v>
      </c>
      <c r="B1384" t="b">
        <v>0</v>
      </c>
      <c r="C1384" t="s">
        <v>43303</v>
      </c>
      <c r="D1384">
        <v>1037022454355</v>
      </c>
      <c r="E1384">
        <v>1</v>
      </c>
      <c r="F1384">
        <v>6138408616</v>
      </c>
      <c r="G1384">
        <v>2475000</v>
      </c>
      <c r="H1384" t="s">
        <v>40293</v>
      </c>
      <c r="I1384">
        <v>4258</v>
      </c>
      <c r="J1384">
        <v>19</v>
      </c>
      <c r="K1384">
        <v>20</v>
      </c>
    </row>
    <row r="1385" spans="1:11">
      <c r="A1385">
        <v>90</v>
      </c>
      <c r="B1385" t="b">
        <v>0</v>
      </c>
      <c r="C1385" t="s">
        <v>45895</v>
      </c>
      <c r="D1385">
        <v>1037022454355</v>
      </c>
      <c r="E1385">
        <v>1</v>
      </c>
      <c r="F1385">
        <v>6149102882</v>
      </c>
      <c r="G1385">
        <v>2474000</v>
      </c>
      <c r="H1385" t="s">
        <v>40293</v>
      </c>
      <c r="I1385">
        <v>4258</v>
      </c>
      <c r="J1385">
        <v>24</v>
      </c>
      <c r="K1385">
        <v>25</v>
      </c>
    </row>
    <row r="1386" spans="1:11">
      <c r="A1386">
        <v>90</v>
      </c>
      <c r="B1386" t="b">
        <v>0</v>
      </c>
      <c r="C1386" t="s">
        <v>46127</v>
      </c>
      <c r="D1386">
        <v>1037022454355</v>
      </c>
      <c r="E1386">
        <v>1</v>
      </c>
      <c r="F1386">
        <v>6149925289</v>
      </c>
      <c r="G1386">
        <v>2450000</v>
      </c>
      <c r="H1386" t="s">
        <v>40293</v>
      </c>
      <c r="I1386">
        <v>4258</v>
      </c>
      <c r="J1386">
        <v>9</v>
      </c>
      <c r="K1386">
        <v>20</v>
      </c>
    </row>
    <row r="1387" spans="1:11">
      <c r="A1387">
        <v>90</v>
      </c>
      <c r="B1387" t="b">
        <v>0</v>
      </c>
      <c r="C1387" t="s">
        <v>43470</v>
      </c>
      <c r="D1387">
        <v>1037022454355</v>
      </c>
      <c r="E1387">
        <v>1</v>
      </c>
      <c r="F1387">
        <v>6143688758</v>
      </c>
      <c r="G1387">
        <v>2200000</v>
      </c>
      <c r="H1387" t="s">
        <v>40293</v>
      </c>
      <c r="I1387">
        <v>4260</v>
      </c>
      <c r="J1387">
        <v>19</v>
      </c>
      <c r="K1387">
        <v>25</v>
      </c>
    </row>
    <row r="1388" spans="1:11">
      <c r="A1388">
        <v>90</v>
      </c>
      <c r="B1388" t="b">
        <v>0</v>
      </c>
      <c r="C1388" t="s">
        <v>41711</v>
      </c>
      <c r="D1388">
        <v>1037022454355</v>
      </c>
      <c r="E1388">
        <v>1</v>
      </c>
      <c r="F1388">
        <v>6106610561</v>
      </c>
      <c r="G1388">
        <v>119000000</v>
      </c>
      <c r="H1388" t="s">
        <v>40293</v>
      </c>
      <c r="I1388">
        <v>4292</v>
      </c>
      <c r="J1388">
        <v>1</v>
      </c>
      <c r="K1388">
        <v>1</v>
      </c>
    </row>
    <row r="1389" spans="1:11">
      <c r="A1389">
        <v>90</v>
      </c>
      <c r="B1389" t="b">
        <v>0</v>
      </c>
      <c r="C1389" t="s">
        <v>41503</v>
      </c>
      <c r="D1389">
        <v>1037022454355</v>
      </c>
      <c r="E1389">
        <v>1</v>
      </c>
      <c r="F1389">
        <v>6118966680</v>
      </c>
      <c r="G1389">
        <v>115000000</v>
      </c>
      <c r="H1389" t="s">
        <v>40293</v>
      </c>
      <c r="I1389">
        <v>4292</v>
      </c>
      <c r="J1389">
        <v>1</v>
      </c>
      <c r="K1389">
        <v>2</v>
      </c>
    </row>
    <row r="1390" spans="1:11">
      <c r="A1390">
        <v>90</v>
      </c>
      <c r="B1390" t="b">
        <v>0</v>
      </c>
      <c r="C1390" t="s">
        <v>40658</v>
      </c>
      <c r="D1390">
        <v>1037022454355</v>
      </c>
      <c r="E1390">
        <v>1</v>
      </c>
      <c r="F1390">
        <v>6088597317</v>
      </c>
      <c r="G1390">
        <v>103000000</v>
      </c>
      <c r="H1390" t="s">
        <v>40293</v>
      </c>
      <c r="I1390">
        <v>4294</v>
      </c>
      <c r="J1390">
        <v>1</v>
      </c>
      <c r="K1390">
        <v>1</v>
      </c>
    </row>
    <row r="1391" spans="1:11">
      <c r="A1391">
        <v>90</v>
      </c>
      <c r="B1391" t="b">
        <v>0</v>
      </c>
      <c r="C1391" t="s">
        <v>40787</v>
      </c>
      <c r="D1391">
        <v>1037022454355</v>
      </c>
      <c r="E1391">
        <v>1</v>
      </c>
      <c r="F1391">
        <v>6067891106</v>
      </c>
      <c r="G1391">
        <v>102800000</v>
      </c>
      <c r="H1391" t="s">
        <v>40293</v>
      </c>
      <c r="I1391">
        <v>4294</v>
      </c>
      <c r="J1391">
        <v>1</v>
      </c>
      <c r="K1391">
        <v>1</v>
      </c>
    </row>
    <row r="1392" spans="1:11">
      <c r="A1392">
        <v>90</v>
      </c>
      <c r="B1392" t="b">
        <v>0</v>
      </c>
      <c r="C1392" t="s">
        <v>43758</v>
      </c>
      <c r="D1392">
        <v>1037022454355</v>
      </c>
      <c r="E1392">
        <v>1</v>
      </c>
      <c r="F1392">
        <v>6140039451</v>
      </c>
      <c r="G1392">
        <v>95000000</v>
      </c>
      <c r="H1392" t="s">
        <v>40293</v>
      </c>
      <c r="I1392">
        <v>4294</v>
      </c>
      <c r="J1392">
        <v>1</v>
      </c>
      <c r="K1392">
        <v>3</v>
      </c>
    </row>
    <row r="1393" spans="1:11">
      <c r="A1393">
        <v>90</v>
      </c>
      <c r="B1393" t="b">
        <v>0</v>
      </c>
      <c r="C1393" t="s">
        <v>40778</v>
      </c>
      <c r="D1393">
        <v>1037022454355</v>
      </c>
      <c r="E1393">
        <v>1</v>
      </c>
      <c r="F1393">
        <v>6101543548</v>
      </c>
      <c r="G1393">
        <v>80000000</v>
      </c>
      <c r="H1393" t="s">
        <v>40293</v>
      </c>
      <c r="I1393">
        <v>4302</v>
      </c>
      <c r="J1393">
        <v>1</v>
      </c>
      <c r="K1393">
        <v>1</v>
      </c>
    </row>
    <row r="1394" spans="1:11">
      <c r="A1394">
        <v>90</v>
      </c>
      <c r="B1394" t="b">
        <v>0</v>
      </c>
      <c r="C1394" t="s">
        <v>44345</v>
      </c>
      <c r="D1394">
        <v>1037022454355</v>
      </c>
      <c r="E1394">
        <v>1</v>
      </c>
      <c r="F1394">
        <v>6127587542</v>
      </c>
      <c r="G1394">
        <v>70000000</v>
      </c>
      <c r="H1394" t="s">
        <v>40293</v>
      </c>
      <c r="I1394">
        <v>4306</v>
      </c>
      <c r="J1394">
        <v>1</v>
      </c>
      <c r="K1394">
        <v>1</v>
      </c>
    </row>
    <row r="1395" spans="1:11">
      <c r="A1395">
        <v>90</v>
      </c>
      <c r="B1395" t="b">
        <v>0</v>
      </c>
      <c r="C1395" t="s">
        <v>44039</v>
      </c>
      <c r="D1395">
        <v>1037022454355</v>
      </c>
      <c r="E1395">
        <v>1</v>
      </c>
      <c r="F1395">
        <v>6147670056</v>
      </c>
      <c r="G1395">
        <v>64000000</v>
      </c>
      <c r="H1395" t="s">
        <v>40293</v>
      </c>
      <c r="I1395">
        <v>4306</v>
      </c>
      <c r="J1395">
        <v>1</v>
      </c>
      <c r="K1395">
        <v>1</v>
      </c>
    </row>
    <row r="1396" spans="1:11">
      <c r="A1396">
        <v>90</v>
      </c>
      <c r="B1396" t="b">
        <v>0</v>
      </c>
      <c r="C1396" t="s">
        <v>44545</v>
      </c>
      <c r="D1396">
        <v>1037022454355</v>
      </c>
      <c r="E1396">
        <v>1</v>
      </c>
      <c r="F1396">
        <v>6144302034</v>
      </c>
      <c r="G1396">
        <v>63000000</v>
      </c>
      <c r="H1396" t="s">
        <v>40293</v>
      </c>
      <c r="I1396">
        <v>4308</v>
      </c>
      <c r="J1396">
        <v>2</v>
      </c>
      <c r="K1396">
        <v>3</v>
      </c>
    </row>
    <row r="1397" spans="1:11">
      <c r="A1397">
        <v>90</v>
      </c>
      <c r="B1397" t="b">
        <v>0</v>
      </c>
      <c r="C1397" t="s">
        <v>44275</v>
      </c>
      <c r="D1397">
        <v>1037022454355</v>
      </c>
      <c r="E1397">
        <v>1</v>
      </c>
      <c r="F1397">
        <v>6151176729</v>
      </c>
      <c r="G1397">
        <v>60000000</v>
      </c>
      <c r="H1397" t="s">
        <v>40293</v>
      </c>
      <c r="I1397">
        <v>4308</v>
      </c>
      <c r="J1397">
        <v>1</v>
      </c>
      <c r="K1397">
        <v>1</v>
      </c>
    </row>
    <row r="1398" spans="1:11">
      <c r="A1398">
        <v>90</v>
      </c>
      <c r="B1398" t="b">
        <v>0</v>
      </c>
      <c r="C1398" t="s">
        <v>44878</v>
      </c>
      <c r="D1398">
        <v>1037022454355</v>
      </c>
      <c r="E1398">
        <v>1</v>
      </c>
      <c r="F1398">
        <v>6147681277</v>
      </c>
      <c r="G1398">
        <v>59000000</v>
      </c>
      <c r="H1398" t="s">
        <v>40293</v>
      </c>
      <c r="I1398">
        <v>4308</v>
      </c>
      <c r="J1398">
        <v>1</v>
      </c>
      <c r="K1398">
        <v>1</v>
      </c>
    </row>
    <row r="1399" spans="1:11">
      <c r="A1399">
        <v>90</v>
      </c>
      <c r="B1399" t="b">
        <v>0</v>
      </c>
      <c r="C1399" t="s">
        <v>45678</v>
      </c>
      <c r="D1399">
        <v>1037022454355</v>
      </c>
      <c r="E1399">
        <v>1</v>
      </c>
      <c r="F1399">
        <v>6153386156</v>
      </c>
      <c r="G1399">
        <v>58500000</v>
      </c>
      <c r="H1399" t="s">
        <v>40293</v>
      </c>
      <c r="I1399">
        <v>4308</v>
      </c>
      <c r="J1399">
        <v>1</v>
      </c>
      <c r="K1399">
        <v>1</v>
      </c>
    </row>
    <row r="1400" spans="1:11">
      <c r="A1400">
        <v>90</v>
      </c>
      <c r="B1400" t="b">
        <v>0</v>
      </c>
      <c r="C1400" t="s">
        <v>42370</v>
      </c>
      <c r="D1400">
        <v>1037022454355</v>
      </c>
      <c r="E1400">
        <v>1</v>
      </c>
      <c r="F1400">
        <v>6133847577</v>
      </c>
      <c r="G1400">
        <v>62500000</v>
      </c>
      <c r="H1400" t="s">
        <v>40293</v>
      </c>
      <c r="I1400">
        <v>4310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45112</v>
      </c>
      <c r="D1401">
        <v>1037022454355</v>
      </c>
      <c r="E1401">
        <v>1</v>
      </c>
      <c r="F1401">
        <v>6146209512</v>
      </c>
      <c r="G1401">
        <v>59720000</v>
      </c>
      <c r="H1401" t="s">
        <v>40293</v>
      </c>
      <c r="I1401">
        <v>4310</v>
      </c>
      <c r="J1401">
        <v>2</v>
      </c>
      <c r="K1401">
        <v>2</v>
      </c>
    </row>
    <row r="1402" spans="1:11">
      <c r="A1402">
        <v>90</v>
      </c>
      <c r="B1402" t="b">
        <v>0</v>
      </c>
      <c r="C1402" t="s">
        <v>40643</v>
      </c>
      <c r="D1402">
        <v>1037022454355</v>
      </c>
      <c r="E1402">
        <v>1</v>
      </c>
      <c r="F1402">
        <v>6098558617</v>
      </c>
      <c r="G1402">
        <v>22500</v>
      </c>
      <c r="H1402" t="s">
        <v>40293</v>
      </c>
      <c r="I1402">
        <v>4312</v>
      </c>
      <c r="J1402">
        <v>17734</v>
      </c>
      <c r="K1402">
        <v>17872</v>
      </c>
    </row>
    <row r="1403" spans="1:11">
      <c r="A1403">
        <v>90</v>
      </c>
      <c r="B1403" t="b">
        <v>0</v>
      </c>
      <c r="C1403" t="s">
        <v>41669</v>
      </c>
      <c r="D1403">
        <v>1037022454355</v>
      </c>
      <c r="E1403">
        <v>1</v>
      </c>
      <c r="F1403">
        <v>6100121413</v>
      </c>
      <c r="G1403">
        <v>19980</v>
      </c>
      <c r="H1403" t="s">
        <v>40293</v>
      </c>
      <c r="I1403">
        <v>4312</v>
      </c>
      <c r="J1403">
        <v>26820</v>
      </c>
      <c r="K1403">
        <v>34840</v>
      </c>
    </row>
    <row r="1404" spans="1:11">
      <c r="A1404">
        <v>90</v>
      </c>
      <c r="B1404" t="b">
        <v>0</v>
      </c>
      <c r="C1404" t="s">
        <v>41179</v>
      </c>
      <c r="D1404">
        <v>1037022454355</v>
      </c>
      <c r="E1404">
        <v>1</v>
      </c>
      <c r="F1404">
        <v>6109809906</v>
      </c>
      <c r="G1404">
        <v>19970</v>
      </c>
      <c r="H1404" t="s">
        <v>40293</v>
      </c>
      <c r="I1404">
        <v>4312</v>
      </c>
      <c r="J1404">
        <v>12000</v>
      </c>
      <c r="K1404">
        <v>12000</v>
      </c>
    </row>
    <row r="1405" spans="1:11">
      <c r="A1405">
        <v>90</v>
      </c>
      <c r="B1405" t="b">
        <v>0</v>
      </c>
      <c r="C1405" t="s">
        <v>40772</v>
      </c>
      <c r="D1405">
        <v>1037022454355</v>
      </c>
      <c r="E1405">
        <v>1</v>
      </c>
      <c r="F1405">
        <v>6118677589</v>
      </c>
      <c r="G1405">
        <v>17500</v>
      </c>
      <c r="H1405" t="s">
        <v>40293</v>
      </c>
      <c r="I1405">
        <v>4312</v>
      </c>
      <c r="J1405">
        <v>2000</v>
      </c>
      <c r="K1405">
        <v>2000</v>
      </c>
    </row>
    <row r="1406" spans="1:11">
      <c r="A1406">
        <v>90</v>
      </c>
      <c r="B1406" t="b">
        <v>0</v>
      </c>
      <c r="C1406" t="s">
        <v>43394</v>
      </c>
      <c r="D1406">
        <v>1037022454355</v>
      </c>
      <c r="E1406">
        <v>1</v>
      </c>
      <c r="F1406">
        <v>6146242476</v>
      </c>
      <c r="G1406">
        <v>17500</v>
      </c>
      <c r="H1406" t="s">
        <v>40293</v>
      </c>
      <c r="I1406">
        <v>4312</v>
      </c>
      <c r="J1406">
        <v>51298</v>
      </c>
      <c r="K1406">
        <v>51298</v>
      </c>
    </row>
    <row r="1407" spans="1:11">
      <c r="A1407">
        <v>90</v>
      </c>
      <c r="B1407" t="b">
        <v>0</v>
      </c>
      <c r="C1407" t="s">
        <v>40831</v>
      </c>
      <c r="D1407">
        <v>1037022454355</v>
      </c>
      <c r="E1407">
        <v>1</v>
      </c>
      <c r="F1407">
        <v>6117830626</v>
      </c>
      <c r="G1407">
        <v>17490</v>
      </c>
      <c r="H1407" t="s">
        <v>40293</v>
      </c>
      <c r="I1407">
        <v>4312</v>
      </c>
      <c r="J1407">
        <v>2000</v>
      </c>
      <c r="K1407">
        <v>2000</v>
      </c>
    </row>
    <row r="1408" spans="1:11">
      <c r="A1408">
        <v>90</v>
      </c>
      <c r="B1408" t="b">
        <v>0</v>
      </c>
      <c r="C1408" t="s">
        <v>40903</v>
      </c>
      <c r="D1408">
        <v>1037022454355</v>
      </c>
      <c r="E1408">
        <v>1</v>
      </c>
      <c r="F1408">
        <v>6118389470</v>
      </c>
      <c r="G1408">
        <v>17000</v>
      </c>
      <c r="H1408" t="s">
        <v>40293</v>
      </c>
      <c r="I1408">
        <v>4312</v>
      </c>
      <c r="J1408">
        <v>473</v>
      </c>
      <c r="K1408">
        <v>473</v>
      </c>
    </row>
    <row r="1409" spans="1:11">
      <c r="A1409">
        <v>90</v>
      </c>
      <c r="B1409" t="b">
        <v>0</v>
      </c>
      <c r="C1409" t="s">
        <v>41246</v>
      </c>
      <c r="D1409">
        <v>1037022454355</v>
      </c>
      <c r="E1409">
        <v>1</v>
      </c>
      <c r="F1409">
        <v>6120231376</v>
      </c>
      <c r="G1409">
        <v>17000</v>
      </c>
      <c r="H1409" t="s">
        <v>40293</v>
      </c>
      <c r="I1409">
        <v>4312</v>
      </c>
      <c r="J1409">
        <v>9666</v>
      </c>
      <c r="K1409">
        <v>9666</v>
      </c>
    </row>
    <row r="1410" spans="1:11">
      <c r="A1410">
        <v>90</v>
      </c>
      <c r="B1410" t="b">
        <v>0</v>
      </c>
      <c r="C1410" t="s">
        <v>44099</v>
      </c>
      <c r="D1410">
        <v>1037022454355</v>
      </c>
      <c r="E1410">
        <v>1</v>
      </c>
      <c r="F1410">
        <v>6156092128</v>
      </c>
      <c r="G1410">
        <v>16990</v>
      </c>
      <c r="H1410" t="s">
        <v>40293</v>
      </c>
      <c r="I1410">
        <v>4312</v>
      </c>
      <c r="J1410">
        <v>32000</v>
      </c>
      <c r="K1410">
        <v>32000</v>
      </c>
    </row>
    <row r="1411" spans="1:11">
      <c r="A1411">
        <v>90</v>
      </c>
      <c r="B1411" t="b">
        <v>0</v>
      </c>
      <c r="C1411" t="s">
        <v>44158</v>
      </c>
      <c r="D1411">
        <v>1037022454355</v>
      </c>
      <c r="E1411">
        <v>1</v>
      </c>
      <c r="F1411">
        <v>6148294243</v>
      </c>
      <c r="G1411">
        <v>16980</v>
      </c>
      <c r="H1411" t="s">
        <v>40293</v>
      </c>
      <c r="I1411">
        <v>4312</v>
      </c>
      <c r="J1411">
        <v>268</v>
      </c>
      <c r="K1411">
        <v>72000</v>
      </c>
    </row>
    <row r="1412" spans="1:11">
      <c r="A1412">
        <v>90</v>
      </c>
      <c r="B1412" t="b">
        <v>0</v>
      </c>
      <c r="C1412" t="s">
        <v>44697</v>
      </c>
      <c r="D1412">
        <v>1037022454355</v>
      </c>
      <c r="E1412">
        <v>1</v>
      </c>
      <c r="F1412">
        <v>6156231530</v>
      </c>
      <c r="G1412">
        <v>16750</v>
      </c>
      <c r="H1412" t="s">
        <v>40293</v>
      </c>
      <c r="I1412">
        <v>4312</v>
      </c>
      <c r="J1412">
        <v>29272</v>
      </c>
      <c r="K1412">
        <v>32772</v>
      </c>
    </row>
    <row r="1413" spans="1:11">
      <c r="A1413">
        <v>90</v>
      </c>
      <c r="B1413" t="b">
        <v>0</v>
      </c>
      <c r="C1413" t="s">
        <v>46400</v>
      </c>
      <c r="D1413">
        <v>1037022454355</v>
      </c>
      <c r="E1413">
        <v>1</v>
      </c>
      <c r="F1413">
        <v>6157269196</v>
      </c>
      <c r="G1413">
        <v>16740</v>
      </c>
      <c r="H1413" t="s">
        <v>40293</v>
      </c>
      <c r="I1413">
        <v>4312</v>
      </c>
      <c r="J1413">
        <v>50000</v>
      </c>
      <c r="K1413">
        <v>50000</v>
      </c>
    </row>
    <row r="1414" spans="1:11">
      <c r="A1414">
        <v>90</v>
      </c>
      <c r="B1414" t="b">
        <v>0</v>
      </c>
      <c r="C1414" t="s">
        <v>40543</v>
      </c>
      <c r="D1414">
        <v>1037022454355</v>
      </c>
      <c r="E1414">
        <v>1</v>
      </c>
      <c r="F1414">
        <v>6112581391</v>
      </c>
      <c r="G1414">
        <v>789000000</v>
      </c>
      <c r="H1414" t="s">
        <v>40293</v>
      </c>
      <c r="I1414">
        <v>4346</v>
      </c>
      <c r="J1414">
        <v>1</v>
      </c>
      <c r="K1414">
        <v>2</v>
      </c>
    </row>
    <row r="1415" spans="1:11">
      <c r="A1415">
        <v>90</v>
      </c>
      <c r="B1415" t="b">
        <v>0</v>
      </c>
      <c r="C1415" t="s">
        <v>41311</v>
      </c>
      <c r="D1415">
        <v>1037022454355</v>
      </c>
      <c r="E1415">
        <v>1</v>
      </c>
      <c r="F1415">
        <v>6113278197</v>
      </c>
      <c r="G1415">
        <v>833500000</v>
      </c>
      <c r="H1415" t="s">
        <v>40293</v>
      </c>
      <c r="I1415">
        <v>4347</v>
      </c>
      <c r="J1415">
        <v>1</v>
      </c>
      <c r="K1415">
        <v>4</v>
      </c>
    </row>
    <row r="1416" spans="1:11">
      <c r="A1416">
        <v>90</v>
      </c>
      <c r="B1416" t="b">
        <v>0</v>
      </c>
      <c r="C1416" t="s">
        <v>40505</v>
      </c>
      <c r="D1416">
        <v>1037022454355</v>
      </c>
      <c r="E1416">
        <v>1</v>
      </c>
      <c r="F1416">
        <v>6112580510</v>
      </c>
      <c r="G1416">
        <v>703000000</v>
      </c>
      <c r="H1416" t="s">
        <v>40293</v>
      </c>
      <c r="I1416">
        <v>4348</v>
      </c>
      <c r="J1416">
        <v>1</v>
      </c>
      <c r="K1416">
        <v>2</v>
      </c>
    </row>
    <row r="1417" spans="1:11">
      <c r="A1417">
        <v>90</v>
      </c>
      <c r="B1417" t="b">
        <v>0</v>
      </c>
      <c r="C1417" t="s">
        <v>45819</v>
      </c>
      <c r="D1417">
        <v>1037022454355</v>
      </c>
      <c r="E1417">
        <v>1</v>
      </c>
      <c r="F1417">
        <v>6150937145</v>
      </c>
      <c r="G1417">
        <v>368900000</v>
      </c>
      <c r="H1417" t="s">
        <v>40293</v>
      </c>
      <c r="I1417">
        <v>4349</v>
      </c>
      <c r="J1417">
        <v>1</v>
      </c>
      <c r="K1417">
        <v>1</v>
      </c>
    </row>
    <row r="1418" spans="1:11">
      <c r="A1418">
        <v>90</v>
      </c>
      <c r="B1418" t="b">
        <v>0</v>
      </c>
      <c r="C1418" t="s">
        <v>44122</v>
      </c>
      <c r="D1418">
        <v>1037022454355</v>
      </c>
      <c r="E1418">
        <v>1</v>
      </c>
      <c r="F1418">
        <v>6156125354</v>
      </c>
      <c r="G1418">
        <v>368300000</v>
      </c>
      <c r="H1418" t="s">
        <v>40293</v>
      </c>
      <c r="I1418">
        <v>4349</v>
      </c>
      <c r="J1418">
        <v>3</v>
      </c>
      <c r="K1418">
        <v>5</v>
      </c>
    </row>
    <row r="1419" spans="1:11">
      <c r="A1419">
        <v>30</v>
      </c>
      <c r="B1419" t="b">
        <v>0</v>
      </c>
      <c r="C1419" t="s">
        <v>44854</v>
      </c>
      <c r="D1419">
        <v>1037022454355</v>
      </c>
      <c r="E1419">
        <v>1</v>
      </c>
      <c r="F1419">
        <v>6149057221</v>
      </c>
      <c r="G1419">
        <v>368200000</v>
      </c>
      <c r="H1419" t="s">
        <v>40293</v>
      </c>
      <c r="I1419">
        <v>4349</v>
      </c>
      <c r="J1419">
        <v>3</v>
      </c>
      <c r="K1419">
        <v>7</v>
      </c>
    </row>
    <row r="1420" spans="1:11">
      <c r="A1420">
        <v>90</v>
      </c>
      <c r="B1420" t="b">
        <v>0</v>
      </c>
      <c r="C1420" t="s">
        <v>40405</v>
      </c>
      <c r="D1420">
        <v>1037022454355</v>
      </c>
      <c r="E1420">
        <v>1</v>
      </c>
      <c r="F1420">
        <v>6119951027</v>
      </c>
      <c r="G1420">
        <v>1000000</v>
      </c>
      <c r="H1420" t="s">
        <v>40293</v>
      </c>
      <c r="I1420">
        <v>4358</v>
      </c>
      <c r="J1420">
        <v>56</v>
      </c>
      <c r="K1420">
        <v>100</v>
      </c>
    </row>
    <row r="1421" spans="1:11">
      <c r="A1421">
        <v>90</v>
      </c>
      <c r="B1421" t="b">
        <v>0</v>
      </c>
      <c r="C1421" t="s">
        <v>45758</v>
      </c>
      <c r="D1421">
        <v>1037022454355</v>
      </c>
      <c r="E1421">
        <v>1</v>
      </c>
      <c r="F1421">
        <v>6153721722</v>
      </c>
      <c r="G1421">
        <v>100000</v>
      </c>
      <c r="H1421" t="s">
        <v>40293</v>
      </c>
      <c r="I1421">
        <v>4358</v>
      </c>
      <c r="J1421">
        <v>620</v>
      </c>
      <c r="K1421">
        <v>620</v>
      </c>
    </row>
    <row r="1422" spans="1:11">
      <c r="A1422">
        <v>90</v>
      </c>
      <c r="B1422" t="b">
        <v>0</v>
      </c>
      <c r="C1422" t="s">
        <v>41122</v>
      </c>
      <c r="D1422">
        <v>1037022454355</v>
      </c>
      <c r="E1422">
        <v>1</v>
      </c>
      <c r="F1422">
        <v>6107537788</v>
      </c>
      <c r="G1422">
        <v>3198000</v>
      </c>
      <c r="H1422" t="s">
        <v>40293</v>
      </c>
      <c r="I1422">
        <v>4383</v>
      </c>
      <c r="J1422">
        <v>6</v>
      </c>
      <c r="K1422">
        <v>10</v>
      </c>
    </row>
    <row r="1423" spans="1:11">
      <c r="A1423">
        <v>90</v>
      </c>
      <c r="B1423" t="b">
        <v>0</v>
      </c>
      <c r="C1423" t="s">
        <v>44320</v>
      </c>
      <c r="D1423">
        <v>1037022454355</v>
      </c>
      <c r="E1423">
        <v>1</v>
      </c>
      <c r="F1423">
        <v>6155869036</v>
      </c>
      <c r="G1423">
        <v>2750000</v>
      </c>
      <c r="H1423" t="s">
        <v>40293</v>
      </c>
      <c r="I1423">
        <v>4383</v>
      </c>
      <c r="J1423">
        <v>4</v>
      </c>
      <c r="K1423">
        <v>10</v>
      </c>
    </row>
    <row r="1424" spans="1:11">
      <c r="A1424">
        <v>90</v>
      </c>
      <c r="B1424" t="b">
        <v>0</v>
      </c>
      <c r="C1424" t="s">
        <v>42325</v>
      </c>
      <c r="D1424">
        <v>1037022454355</v>
      </c>
      <c r="E1424">
        <v>1</v>
      </c>
      <c r="F1424">
        <v>6134656030</v>
      </c>
      <c r="G1424">
        <v>1746000</v>
      </c>
      <c r="H1424" t="s">
        <v>40293</v>
      </c>
      <c r="I1424">
        <v>4391</v>
      </c>
      <c r="J1424">
        <v>5</v>
      </c>
      <c r="K1424">
        <v>5</v>
      </c>
    </row>
    <row r="1425" spans="1:11">
      <c r="A1425">
        <v>90</v>
      </c>
      <c r="B1425" t="b">
        <v>0</v>
      </c>
      <c r="C1425" t="s">
        <v>43526</v>
      </c>
      <c r="D1425">
        <v>1037022454355</v>
      </c>
      <c r="E1425">
        <v>1</v>
      </c>
      <c r="F1425">
        <v>6137300909</v>
      </c>
      <c r="G1425">
        <v>1497000</v>
      </c>
      <c r="H1425" t="s">
        <v>40293</v>
      </c>
      <c r="I1425">
        <v>4391</v>
      </c>
      <c r="J1425">
        <v>4</v>
      </c>
      <c r="K1425">
        <v>7</v>
      </c>
    </row>
    <row r="1426" spans="1:11">
      <c r="A1426">
        <v>90</v>
      </c>
      <c r="B1426" t="b">
        <v>0</v>
      </c>
      <c r="C1426" t="s">
        <v>43554</v>
      </c>
      <c r="D1426">
        <v>1037022454355</v>
      </c>
      <c r="E1426">
        <v>1</v>
      </c>
      <c r="F1426">
        <v>6145029947</v>
      </c>
      <c r="G1426">
        <v>1490000</v>
      </c>
      <c r="H1426" t="s">
        <v>40293</v>
      </c>
      <c r="I1426">
        <v>4391</v>
      </c>
      <c r="J1426">
        <v>4</v>
      </c>
      <c r="K1426">
        <v>5</v>
      </c>
    </row>
    <row r="1427" spans="1:11">
      <c r="A1427">
        <v>90</v>
      </c>
      <c r="B1427" t="b">
        <v>0</v>
      </c>
      <c r="C1427" t="s">
        <v>45518</v>
      </c>
      <c r="D1427">
        <v>1037022454355</v>
      </c>
      <c r="E1427">
        <v>1</v>
      </c>
      <c r="F1427">
        <v>6131076059</v>
      </c>
      <c r="G1427">
        <v>1400000</v>
      </c>
      <c r="H1427" t="s">
        <v>40293</v>
      </c>
      <c r="I1427">
        <v>4391</v>
      </c>
      <c r="J1427">
        <v>3</v>
      </c>
      <c r="K1427">
        <v>3</v>
      </c>
    </row>
    <row r="1428" spans="1:11">
      <c r="A1428">
        <v>90</v>
      </c>
      <c r="B1428" t="b">
        <v>0</v>
      </c>
      <c r="C1428" t="s">
        <v>46426</v>
      </c>
      <c r="D1428">
        <v>1037022454355</v>
      </c>
      <c r="E1428">
        <v>1</v>
      </c>
      <c r="F1428">
        <v>6153311318</v>
      </c>
      <c r="G1428">
        <v>1390000</v>
      </c>
      <c r="H1428" t="s">
        <v>40293</v>
      </c>
      <c r="I1428">
        <v>4391</v>
      </c>
      <c r="J1428">
        <v>1</v>
      </c>
      <c r="K1428">
        <v>1</v>
      </c>
    </row>
    <row r="1429" spans="1:11">
      <c r="A1429">
        <v>30</v>
      </c>
      <c r="B1429" t="b">
        <v>0</v>
      </c>
      <c r="C1429" t="s">
        <v>45263</v>
      </c>
      <c r="D1429">
        <v>1037022454355</v>
      </c>
      <c r="E1429">
        <v>1</v>
      </c>
      <c r="F1429">
        <v>6155059201</v>
      </c>
      <c r="G1429">
        <v>1384000</v>
      </c>
      <c r="H1429" t="s">
        <v>40293</v>
      </c>
      <c r="I1429">
        <v>4391</v>
      </c>
      <c r="J1429">
        <v>7</v>
      </c>
      <c r="K1429">
        <v>10</v>
      </c>
    </row>
    <row r="1430" spans="1:11">
      <c r="A1430">
        <v>90</v>
      </c>
      <c r="B1430" t="b">
        <v>0</v>
      </c>
      <c r="C1430" t="s">
        <v>44980</v>
      </c>
      <c r="D1430">
        <v>1037022454355</v>
      </c>
      <c r="E1430">
        <v>1</v>
      </c>
      <c r="F1430">
        <v>6148599987</v>
      </c>
      <c r="G1430">
        <v>1383000</v>
      </c>
      <c r="H1430" t="s">
        <v>40293</v>
      </c>
      <c r="I1430">
        <v>4391</v>
      </c>
      <c r="J1430">
        <v>2</v>
      </c>
      <c r="K1430">
        <v>4</v>
      </c>
    </row>
    <row r="1431" spans="1:11">
      <c r="A1431">
        <v>90</v>
      </c>
      <c r="B1431" t="b">
        <v>0</v>
      </c>
      <c r="C1431" t="s">
        <v>40714</v>
      </c>
      <c r="D1431">
        <v>1037022454355</v>
      </c>
      <c r="E1431">
        <v>1</v>
      </c>
      <c r="F1431">
        <v>6097216626</v>
      </c>
      <c r="G1431">
        <v>125000</v>
      </c>
      <c r="H1431" t="s">
        <v>40293</v>
      </c>
      <c r="I1431">
        <v>4393</v>
      </c>
      <c r="J1431">
        <v>5</v>
      </c>
      <c r="K1431">
        <v>16</v>
      </c>
    </row>
    <row r="1432" spans="1:11">
      <c r="A1432">
        <v>90</v>
      </c>
      <c r="B1432" t="b">
        <v>0</v>
      </c>
      <c r="C1432" t="s">
        <v>43314</v>
      </c>
      <c r="D1432">
        <v>1037022454355</v>
      </c>
      <c r="E1432">
        <v>1</v>
      </c>
      <c r="F1432">
        <v>6146207661</v>
      </c>
      <c r="G1432">
        <v>124900</v>
      </c>
      <c r="H1432" t="s">
        <v>40293</v>
      </c>
      <c r="I1432">
        <v>4393</v>
      </c>
      <c r="J1432">
        <v>18</v>
      </c>
      <c r="K1432">
        <v>25</v>
      </c>
    </row>
    <row r="1433" spans="1:11">
      <c r="A1433">
        <v>30</v>
      </c>
      <c r="B1433" t="b">
        <v>0</v>
      </c>
      <c r="C1433" t="s">
        <v>44411</v>
      </c>
      <c r="D1433">
        <v>1037022454355</v>
      </c>
      <c r="E1433">
        <v>1</v>
      </c>
      <c r="F1433">
        <v>6156604450</v>
      </c>
      <c r="G1433">
        <v>1857000</v>
      </c>
      <c r="H1433" t="s">
        <v>40293</v>
      </c>
      <c r="I1433">
        <v>4395</v>
      </c>
      <c r="J1433">
        <v>40</v>
      </c>
      <c r="K1433">
        <v>40</v>
      </c>
    </row>
    <row r="1434" spans="1:11">
      <c r="A1434">
        <v>7</v>
      </c>
      <c r="B1434" t="b">
        <v>0</v>
      </c>
      <c r="C1434" t="s">
        <v>45647</v>
      </c>
      <c r="D1434">
        <v>1037022454355</v>
      </c>
      <c r="E1434">
        <v>1</v>
      </c>
      <c r="F1434">
        <v>6156636694</v>
      </c>
      <c r="G1434">
        <v>1850000</v>
      </c>
      <c r="H1434" t="s">
        <v>40293</v>
      </c>
      <c r="I1434">
        <v>4395</v>
      </c>
      <c r="J1434">
        <v>22</v>
      </c>
      <c r="K1434">
        <v>30</v>
      </c>
    </row>
    <row r="1435" spans="1:11">
      <c r="A1435">
        <v>30</v>
      </c>
      <c r="B1435" t="b">
        <v>0</v>
      </c>
      <c r="C1435" t="s">
        <v>45690</v>
      </c>
      <c r="D1435">
        <v>1037022454355</v>
      </c>
      <c r="E1435">
        <v>1</v>
      </c>
      <c r="F1435">
        <v>6156604621</v>
      </c>
      <c r="G1435">
        <v>1789000</v>
      </c>
      <c r="H1435" t="s">
        <v>40293</v>
      </c>
      <c r="I1435">
        <v>4395</v>
      </c>
      <c r="J1435">
        <v>30</v>
      </c>
      <c r="K1435">
        <v>32</v>
      </c>
    </row>
    <row r="1436" spans="1:11">
      <c r="A1436">
        <v>90</v>
      </c>
      <c r="B1436" t="b">
        <v>0</v>
      </c>
      <c r="C1436" t="s">
        <v>44809</v>
      </c>
      <c r="D1436">
        <v>1037022454355</v>
      </c>
      <c r="E1436">
        <v>1</v>
      </c>
      <c r="F1436">
        <v>6157445190</v>
      </c>
      <c r="G1436">
        <v>1488000</v>
      </c>
      <c r="H1436" t="s">
        <v>40293</v>
      </c>
      <c r="I1436">
        <v>4395</v>
      </c>
      <c r="J1436">
        <v>8</v>
      </c>
      <c r="K1436">
        <v>8</v>
      </c>
    </row>
    <row r="1437" spans="1:11">
      <c r="A1437">
        <v>30</v>
      </c>
      <c r="B1437" t="b">
        <v>0</v>
      </c>
      <c r="C1437" t="s">
        <v>46413</v>
      </c>
      <c r="D1437">
        <v>1037022454355</v>
      </c>
      <c r="E1437">
        <v>1</v>
      </c>
      <c r="F1437">
        <v>6146619762</v>
      </c>
      <c r="G1437">
        <v>5487000</v>
      </c>
      <c r="H1437" t="s">
        <v>40293</v>
      </c>
      <c r="I1437">
        <v>4397</v>
      </c>
      <c r="J1437">
        <v>13</v>
      </c>
      <c r="K1437">
        <v>19</v>
      </c>
    </row>
    <row r="1438" spans="1:11">
      <c r="A1438">
        <v>90</v>
      </c>
      <c r="B1438" t="b">
        <v>0</v>
      </c>
      <c r="C1438" t="s">
        <v>45481</v>
      </c>
      <c r="D1438">
        <v>1037022454355</v>
      </c>
      <c r="E1438">
        <v>1</v>
      </c>
      <c r="F1438">
        <v>6130059893</v>
      </c>
      <c r="G1438">
        <v>5486000</v>
      </c>
      <c r="H1438" t="s">
        <v>40293</v>
      </c>
      <c r="I1438">
        <v>4397</v>
      </c>
      <c r="J1438">
        <v>6</v>
      </c>
      <c r="K1438">
        <v>9</v>
      </c>
    </row>
    <row r="1439" spans="1:11">
      <c r="A1439">
        <v>90</v>
      </c>
      <c r="B1439" t="b">
        <v>0</v>
      </c>
      <c r="C1439" t="s">
        <v>44688</v>
      </c>
      <c r="D1439">
        <v>1037022454355</v>
      </c>
      <c r="E1439">
        <v>1</v>
      </c>
      <c r="F1439">
        <v>6157239760</v>
      </c>
      <c r="G1439">
        <v>2505000</v>
      </c>
      <c r="H1439" t="s">
        <v>40293</v>
      </c>
      <c r="I1439">
        <v>4397</v>
      </c>
      <c r="J1439">
        <v>3</v>
      </c>
      <c r="K1439">
        <v>3</v>
      </c>
    </row>
    <row r="1440" spans="1:11">
      <c r="A1440">
        <v>90</v>
      </c>
      <c r="B1440" t="b">
        <v>0</v>
      </c>
      <c r="C1440" t="s">
        <v>42496</v>
      </c>
      <c r="D1440">
        <v>1037022454355</v>
      </c>
      <c r="E1440">
        <v>1</v>
      </c>
      <c r="F1440">
        <v>6137787341</v>
      </c>
      <c r="G1440">
        <v>15000000</v>
      </c>
      <c r="H1440" t="s">
        <v>40293</v>
      </c>
      <c r="I1440">
        <v>4399</v>
      </c>
      <c r="J1440">
        <v>1</v>
      </c>
      <c r="K1440">
        <v>7</v>
      </c>
    </row>
    <row r="1441" spans="1:11">
      <c r="A1441">
        <v>90</v>
      </c>
      <c r="B1441" t="b">
        <v>0</v>
      </c>
      <c r="C1441" t="s">
        <v>45289</v>
      </c>
      <c r="D1441">
        <v>1037022454355</v>
      </c>
      <c r="E1441">
        <v>1</v>
      </c>
      <c r="F1441">
        <v>6145982789</v>
      </c>
      <c r="G1441">
        <v>23000000</v>
      </c>
      <c r="H1441" t="s">
        <v>40293</v>
      </c>
      <c r="I1441">
        <v>4401</v>
      </c>
      <c r="J1441">
        <v>1</v>
      </c>
      <c r="K1441">
        <v>1</v>
      </c>
    </row>
    <row r="1442" spans="1:11">
      <c r="A1442">
        <v>90</v>
      </c>
      <c r="B1442" t="b">
        <v>0</v>
      </c>
      <c r="C1442" t="s">
        <v>41541</v>
      </c>
      <c r="D1442">
        <v>1037022454355</v>
      </c>
      <c r="E1442">
        <v>1</v>
      </c>
      <c r="F1442">
        <v>6091271153</v>
      </c>
      <c r="G1442">
        <v>1933000</v>
      </c>
      <c r="H1442" t="s">
        <v>40293</v>
      </c>
      <c r="I1442">
        <v>4403</v>
      </c>
      <c r="J1442">
        <v>17</v>
      </c>
      <c r="K1442">
        <v>45</v>
      </c>
    </row>
    <row r="1443" spans="1:11">
      <c r="A1443">
        <v>90</v>
      </c>
      <c r="B1443" t="b">
        <v>0</v>
      </c>
      <c r="C1443" t="s">
        <v>41075</v>
      </c>
      <c r="D1443">
        <v>1037022454355</v>
      </c>
      <c r="E1443">
        <v>1</v>
      </c>
      <c r="F1443">
        <v>6102140171</v>
      </c>
      <c r="G1443">
        <v>1922000</v>
      </c>
      <c r="H1443" t="s">
        <v>40293</v>
      </c>
      <c r="I1443">
        <v>4403</v>
      </c>
      <c r="J1443">
        <v>6</v>
      </c>
      <c r="K1443">
        <v>50</v>
      </c>
    </row>
    <row r="1444" spans="1:11">
      <c r="A1444">
        <v>90</v>
      </c>
      <c r="B1444" t="b">
        <v>0</v>
      </c>
      <c r="C1444" t="s">
        <v>41942</v>
      </c>
      <c r="D1444">
        <v>1037022454355</v>
      </c>
      <c r="E1444">
        <v>1</v>
      </c>
      <c r="F1444">
        <v>6126296769</v>
      </c>
      <c r="G1444">
        <v>1850000</v>
      </c>
      <c r="H1444" t="s">
        <v>40293</v>
      </c>
      <c r="I1444">
        <v>4403</v>
      </c>
      <c r="J1444">
        <v>3</v>
      </c>
      <c r="K1444">
        <v>3</v>
      </c>
    </row>
    <row r="1445" spans="1:11">
      <c r="A1445">
        <v>90</v>
      </c>
      <c r="B1445" t="b">
        <v>0</v>
      </c>
      <c r="C1445" t="s">
        <v>42832</v>
      </c>
      <c r="D1445">
        <v>1037022454355</v>
      </c>
      <c r="E1445">
        <v>1</v>
      </c>
      <c r="F1445">
        <v>6132170423</v>
      </c>
      <c r="G1445">
        <v>1783000</v>
      </c>
      <c r="H1445" t="s">
        <v>40293</v>
      </c>
      <c r="I1445">
        <v>4403</v>
      </c>
      <c r="J1445">
        <v>1</v>
      </c>
      <c r="K1445">
        <v>1</v>
      </c>
    </row>
    <row r="1446" spans="1:11">
      <c r="A1446">
        <v>90</v>
      </c>
      <c r="B1446" t="b">
        <v>0</v>
      </c>
      <c r="C1446" t="s">
        <v>42833</v>
      </c>
      <c r="D1446">
        <v>1037022454355</v>
      </c>
      <c r="E1446">
        <v>1</v>
      </c>
      <c r="F1446">
        <v>6132627562</v>
      </c>
      <c r="G1446">
        <v>1749000</v>
      </c>
      <c r="H1446" t="s">
        <v>40293</v>
      </c>
      <c r="I1446">
        <v>4403</v>
      </c>
      <c r="J1446">
        <v>2</v>
      </c>
      <c r="K1446">
        <v>5</v>
      </c>
    </row>
    <row r="1447" spans="1:11">
      <c r="A1447">
        <v>30</v>
      </c>
      <c r="B1447" t="b">
        <v>0</v>
      </c>
      <c r="C1447" t="s">
        <v>44081</v>
      </c>
      <c r="D1447">
        <v>1037022454355</v>
      </c>
      <c r="E1447">
        <v>1</v>
      </c>
      <c r="F1447">
        <v>6154463560</v>
      </c>
      <c r="G1447">
        <v>1482000</v>
      </c>
      <c r="H1447" t="s">
        <v>40293</v>
      </c>
      <c r="I1447">
        <v>4403</v>
      </c>
      <c r="J1447">
        <v>1</v>
      </c>
      <c r="K1447">
        <v>1</v>
      </c>
    </row>
    <row r="1448" spans="1:11">
      <c r="A1448">
        <v>90</v>
      </c>
      <c r="B1448" t="b">
        <v>0</v>
      </c>
      <c r="C1448" t="s">
        <v>42417</v>
      </c>
      <c r="D1448">
        <v>1037022454355</v>
      </c>
      <c r="E1448">
        <v>1</v>
      </c>
      <c r="F1448">
        <v>6132801961</v>
      </c>
      <c r="G1448">
        <v>1478000</v>
      </c>
      <c r="H1448" t="s">
        <v>40293</v>
      </c>
      <c r="I1448">
        <v>4403</v>
      </c>
      <c r="J1448">
        <v>27</v>
      </c>
      <c r="K1448">
        <v>44</v>
      </c>
    </row>
    <row r="1449" spans="1:11">
      <c r="A1449">
        <v>90</v>
      </c>
      <c r="B1449" t="b">
        <v>0</v>
      </c>
      <c r="C1449" t="s">
        <v>44317</v>
      </c>
      <c r="D1449">
        <v>1037022454355</v>
      </c>
      <c r="E1449">
        <v>1</v>
      </c>
      <c r="F1449">
        <v>6157375461</v>
      </c>
      <c r="G1449">
        <v>1477000</v>
      </c>
      <c r="H1449" t="s">
        <v>40293</v>
      </c>
      <c r="I1449">
        <v>4403</v>
      </c>
      <c r="J1449">
        <v>24</v>
      </c>
      <c r="K1449">
        <v>25</v>
      </c>
    </row>
    <row r="1450" spans="1:11">
      <c r="A1450">
        <v>90</v>
      </c>
      <c r="B1450" t="b">
        <v>0</v>
      </c>
      <c r="C1450" t="s">
        <v>41726</v>
      </c>
      <c r="D1450">
        <v>1037022454355</v>
      </c>
      <c r="E1450">
        <v>1</v>
      </c>
      <c r="F1450">
        <v>6113655976</v>
      </c>
      <c r="G1450">
        <v>1998000</v>
      </c>
      <c r="H1450" t="s">
        <v>40293</v>
      </c>
      <c r="I1450">
        <v>4405</v>
      </c>
      <c r="J1450">
        <v>38</v>
      </c>
      <c r="K1450">
        <v>155</v>
      </c>
    </row>
    <row r="1451" spans="1:11">
      <c r="A1451">
        <v>90</v>
      </c>
      <c r="B1451" t="b">
        <v>0</v>
      </c>
      <c r="C1451" t="s">
        <v>40839</v>
      </c>
      <c r="D1451">
        <v>1037022454355</v>
      </c>
      <c r="E1451">
        <v>1</v>
      </c>
      <c r="F1451">
        <v>6108295401</v>
      </c>
      <c r="G1451">
        <v>1500000</v>
      </c>
      <c r="H1451" t="s">
        <v>40293</v>
      </c>
      <c r="I1451">
        <v>4405</v>
      </c>
      <c r="J1451">
        <v>26</v>
      </c>
      <c r="K1451">
        <v>32</v>
      </c>
    </row>
    <row r="1452" spans="1:11">
      <c r="A1452">
        <v>90</v>
      </c>
      <c r="B1452" t="b">
        <v>0</v>
      </c>
      <c r="C1452" t="s">
        <v>41853</v>
      </c>
      <c r="D1452">
        <v>1037022454355</v>
      </c>
      <c r="E1452">
        <v>1</v>
      </c>
      <c r="F1452">
        <v>6127464240</v>
      </c>
      <c r="G1452">
        <v>1379000</v>
      </c>
      <c r="H1452" t="s">
        <v>40293</v>
      </c>
      <c r="I1452">
        <v>4405</v>
      </c>
      <c r="J1452">
        <v>5</v>
      </c>
      <c r="K1452">
        <v>5</v>
      </c>
    </row>
    <row r="1453" spans="1:11">
      <c r="A1453">
        <v>90</v>
      </c>
      <c r="B1453" t="b">
        <v>0</v>
      </c>
      <c r="C1453" t="s">
        <v>42011</v>
      </c>
      <c r="D1453">
        <v>1037022454355</v>
      </c>
      <c r="E1453">
        <v>1</v>
      </c>
      <c r="F1453">
        <v>6129415607</v>
      </c>
      <c r="G1453">
        <v>1376000</v>
      </c>
      <c r="H1453" t="s">
        <v>40293</v>
      </c>
      <c r="I1453">
        <v>4405</v>
      </c>
      <c r="J1453">
        <v>36</v>
      </c>
      <c r="K1453">
        <v>100</v>
      </c>
    </row>
    <row r="1454" spans="1:11">
      <c r="A1454">
        <v>90</v>
      </c>
      <c r="B1454" t="b">
        <v>0</v>
      </c>
      <c r="C1454" t="s">
        <v>42318</v>
      </c>
      <c r="D1454">
        <v>1037022454355</v>
      </c>
      <c r="E1454">
        <v>1</v>
      </c>
      <c r="F1454">
        <v>6132602487</v>
      </c>
      <c r="G1454">
        <v>1374000</v>
      </c>
      <c r="H1454" t="s">
        <v>40293</v>
      </c>
      <c r="I1454">
        <v>4405</v>
      </c>
      <c r="J1454">
        <v>5</v>
      </c>
      <c r="K1454">
        <v>8</v>
      </c>
    </row>
    <row r="1455" spans="1:11">
      <c r="A1455">
        <v>90</v>
      </c>
      <c r="B1455" t="b">
        <v>0</v>
      </c>
      <c r="C1455" t="s">
        <v>43366</v>
      </c>
      <c r="D1455">
        <v>1037022454355</v>
      </c>
      <c r="E1455">
        <v>1</v>
      </c>
      <c r="F1455">
        <v>6145498650</v>
      </c>
      <c r="G1455">
        <v>1370000</v>
      </c>
      <c r="H1455" t="s">
        <v>40293</v>
      </c>
      <c r="I1455">
        <v>4405</v>
      </c>
      <c r="J1455">
        <v>10</v>
      </c>
      <c r="K1455">
        <v>10</v>
      </c>
    </row>
    <row r="1456" spans="1:11">
      <c r="A1456">
        <v>30</v>
      </c>
      <c r="B1456" t="b">
        <v>0</v>
      </c>
      <c r="C1456" t="s">
        <v>43552</v>
      </c>
      <c r="D1456">
        <v>1037022454355</v>
      </c>
      <c r="E1456">
        <v>1</v>
      </c>
      <c r="F1456">
        <v>6138481495</v>
      </c>
      <c r="G1456">
        <v>1339000</v>
      </c>
      <c r="H1456" t="s">
        <v>40293</v>
      </c>
      <c r="I1456">
        <v>4405</v>
      </c>
      <c r="J1456">
        <v>1</v>
      </c>
      <c r="K1456">
        <v>1</v>
      </c>
    </row>
    <row r="1457" spans="1:11">
      <c r="A1457">
        <v>90</v>
      </c>
      <c r="B1457" t="b">
        <v>0</v>
      </c>
      <c r="C1457" t="s">
        <v>45975</v>
      </c>
      <c r="D1457">
        <v>1037022454355</v>
      </c>
      <c r="E1457">
        <v>1</v>
      </c>
      <c r="F1457">
        <v>6148153579</v>
      </c>
      <c r="G1457">
        <v>1204000</v>
      </c>
      <c r="H1457" t="s">
        <v>40293</v>
      </c>
      <c r="I1457">
        <v>4405</v>
      </c>
      <c r="J1457">
        <v>4</v>
      </c>
      <c r="K1457">
        <v>4</v>
      </c>
    </row>
    <row r="1458" spans="1:11">
      <c r="A1458">
        <v>90</v>
      </c>
      <c r="B1458" t="b">
        <v>0</v>
      </c>
      <c r="C1458" t="s">
        <v>43921</v>
      </c>
      <c r="D1458">
        <v>1037022454355</v>
      </c>
      <c r="E1458">
        <v>1</v>
      </c>
      <c r="F1458">
        <v>6125254833</v>
      </c>
      <c r="G1458">
        <v>1200000</v>
      </c>
      <c r="H1458" t="s">
        <v>40293</v>
      </c>
      <c r="I1458">
        <v>4405</v>
      </c>
      <c r="J1458">
        <v>269</v>
      </c>
      <c r="K1458">
        <v>586</v>
      </c>
    </row>
    <row r="1459" spans="1:11">
      <c r="A1459">
        <v>90</v>
      </c>
      <c r="B1459" t="b">
        <v>0</v>
      </c>
      <c r="C1459" t="s">
        <v>44391</v>
      </c>
      <c r="D1459">
        <v>1037022454355</v>
      </c>
      <c r="E1459">
        <v>1</v>
      </c>
      <c r="F1459">
        <v>6136894251</v>
      </c>
      <c r="G1459">
        <v>1198000</v>
      </c>
      <c r="H1459" t="s">
        <v>40293</v>
      </c>
      <c r="I1459">
        <v>4405</v>
      </c>
      <c r="J1459">
        <v>70</v>
      </c>
      <c r="K1459">
        <v>100</v>
      </c>
    </row>
    <row r="1460" spans="1:11">
      <c r="A1460">
        <v>90</v>
      </c>
      <c r="B1460" t="b">
        <v>0</v>
      </c>
      <c r="C1460" t="s">
        <v>44457</v>
      </c>
      <c r="D1460">
        <v>1037022454355</v>
      </c>
      <c r="E1460">
        <v>1</v>
      </c>
      <c r="F1460">
        <v>6132700931</v>
      </c>
      <c r="G1460">
        <v>1198000</v>
      </c>
      <c r="H1460" t="s">
        <v>40293</v>
      </c>
      <c r="I1460">
        <v>4405</v>
      </c>
      <c r="J1460">
        <v>69</v>
      </c>
      <c r="K1460">
        <v>80</v>
      </c>
    </row>
    <row r="1461" spans="1:11">
      <c r="A1461">
        <v>90</v>
      </c>
      <c r="B1461" t="b">
        <v>0</v>
      </c>
      <c r="C1461" t="s">
        <v>45170</v>
      </c>
      <c r="D1461">
        <v>1037022454355</v>
      </c>
      <c r="E1461">
        <v>1</v>
      </c>
      <c r="F1461">
        <v>6133070488</v>
      </c>
      <c r="G1461">
        <v>1198000</v>
      </c>
      <c r="H1461" t="s">
        <v>40293</v>
      </c>
      <c r="I1461">
        <v>4405</v>
      </c>
      <c r="J1461">
        <v>253</v>
      </c>
      <c r="K1461">
        <v>420</v>
      </c>
    </row>
    <row r="1462" spans="1:11">
      <c r="A1462">
        <v>90</v>
      </c>
      <c r="B1462" t="b">
        <v>0</v>
      </c>
      <c r="C1462" t="s">
        <v>45779</v>
      </c>
      <c r="D1462">
        <v>1037022454355</v>
      </c>
      <c r="E1462">
        <v>1</v>
      </c>
      <c r="F1462">
        <v>6134192258</v>
      </c>
      <c r="G1462">
        <v>1198000</v>
      </c>
      <c r="H1462" t="s">
        <v>40293</v>
      </c>
      <c r="I1462">
        <v>4405</v>
      </c>
      <c r="J1462">
        <v>70</v>
      </c>
      <c r="K1462">
        <v>70</v>
      </c>
    </row>
    <row r="1463" spans="1:11">
      <c r="A1463">
        <v>90</v>
      </c>
      <c r="B1463" t="b">
        <v>0</v>
      </c>
      <c r="C1463" t="s">
        <v>45944</v>
      </c>
      <c r="D1463">
        <v>1037022454355</v>
      </c>
      <c r="E1463">
        <v>1</v>
      </c>
      <c r="F1463">
        <v>6136586118</v>
      </c>
      <c r="G1463">
        <v>1198000</v>
      </c>
      <c r="H1463" t="s">
        <v>40293</v>
      </c>
      <c r="I1463">
        <v>4405</v>
      </c>
      <c r="J1463">
        <v>40</v>
      </c>
      <c r="K1463">
        <v>40</v>
      </c>
    </row>
    <row r="1464" spans="1:11">
      <c r="A1464">
        <v>90</v>
      </c>
      <c r="B1464" t="b">
        <v>0</v>
      </c>
      <c r="C1464" t="s">
        <v>45317</v>
      </c>
      <c r="D1464">
        <v>1037022454355</v>
      </c>
      <c r="E1464">
        <v>1</v>
      </c>
      <c r="F1464">
        <v>6157197433</v>
      </c>
      <c r="G1464">
        <v>1197000</v>
      </c>
      <c r="H1464" t="s">
        <v>40293</v>
      </c>
      <c r="I1464">
        <v>4405</v>
      </c>
      <c r="J1464">
        <v>11</v>
      </c>
      <c r="K1464">
        <v>20</v>
      </c>
    </row>
    <row r="1465" spans="1:11">
      <c r="A1465">
        <v>90</v>
      </c>
      <c r="B1465" t="b">
        <v>0</v>
      </c>
      <c r="C1465" t="s">
        <v>41255</v>
      </c>
      <c r="D1465">
        <v>1037022454355</v>
      </c>
      <c r="E1465">
        <v>1</v>
      </c>
      <c r="F1465">
        <v>6104142396</v>
      </c>
      <c r="G1465">
        <v>250000</v>
      </c>
      <c r="H1465" t="s">
        <v>40293</v>
      </c>
      <c r="I1465">
        <v>4409</v>
      </c>
      <c r="J1465">
        <v>11</v>
      </c>
      <c r="K1465">
        <v>25</v>
      </c>
    </row>
    <row r="1466" spans="1:11">
      <c r="A1466">
        <v>90</v>
      </c>
      <c r="B1466" t="b">
        <v>0</v>
      </c>
      <c r="C1466" t="s">
        <v>40659</v>
      </c>
      <c r="D1466">
        <v>1037022454355</v>
      </c>
      <c r="E1466">
        <v>1</v>
      </c>
      <c r="F1466">
        <v>6089383775</v>
      </c>
      <c r="G1466">
        <v>734000</v>
      </c>
      <c r="H1466" t="s">
        <v>40293</v>
      </c>
      <c r="I1466">
        <v>4435</v>
      </c>
      <c r="J1466">
        <v>4</v>
      </c>
      <c r="K1466">
        <v>6</v>
      </c>
    </row>
    <row r="1467" spans="1:11">
      <c r="A1467">
        <v>90</v>
      </c>
      <c r="B1467" t="b">
        <v>0</v>
      </c>
      <c r="C1467" t="s">
        <v>44702</v>
      </c>
      <c r="D1467">
        <v>1037022454355</v>
      </c>
      <c r="E1467">
        <v>1</v>
      </c>
      <c r="F1467">
        <v>6090824761</v>
      </c>
      <c r="G1467">
        <v>100100</v>
      </c>
      <c r="H1467" t="s">
        <v>40293</v>
      </c>
      <c r="I1467">
        <v>4435</v>
      </c>
      <c r="J1467">
        <v>197</v>
      </c>
      <c r="K1467">
        <v>300</v>
      </c>
    </row>
    <row r="1468" spans="1:11">
      <c r="A1468">
        <v>90</v>
      </c>
      <c r="B1468" t="b">
        <v>0</v>
      </c>
      <c r="C1468" t="s">
        <v>42531</v>
      </c>
      <c r="D1468">
        <v>1037022454355</v>
      </c>
      <c r="E1468">
        <v>1</v>
      </c>
      <c r="F1468">
        <v>6134479427</v>
      </c>
      <c r="G1468">
        <v>50000</v>
      </c>
      <c r="H1468" t="s">
        <v>40293</v>
      </c>
      <c r="I1468">
        <v>4435</v>
      </c>
      <c r="J1468">
        <v>98</v>
      </c>
      <c r="K1468">
        <v>99</v>
      </c>
    </row>
    <row r="1469" spans="1:11">
      <c r="A1469">
        <v>90</v>
      </c>
      <c r="B1469" t="b">
        <v>0</v>
      </c>
      <c r="C1469" t="s">
        <v>41891</v>
      </c>
      <c r="D1469">
        <v>1037022454355</v>
      </c>
      <c r="E1469">
        <v>1</v>
      </c>
      <c r="F1469">
        <v>6127043810</v>
      </c>
      <c r="G1469">
        <v>125000</v>
      </c>
      <c r="H1469" t="s">
        <v>40293</v>
      </c>
      <c r="I1469">
        <v>4471</v>
      </c>
      <c r="J1469">
        <v>50</v>
      </c>
      <c r="K1469">
        <v>50</v>
      </c>
    </row>
    <row r="1470" spans="1:11">
      <c r="A1470">
        <v>90</v>
      </c>
      <c r="B1470" t="b">
        <v>0</v>
      </c>
      <c r="C1470" t="s">
        <v>42101</v>
      </c>
      <c r="D1470">
        <v>1037022454355</v>
      </c>
      <c r="E1470">
        <v>1</v>
      </c>
      <c r="F1470">
        <v>6130577177</v>
      </c>
      <c r="G1470">
        <v>124900</v>
      </c>
      <c r="H1470" t="s">
        <v>40293</v>
      </c>
      <c r="I1470">
        <v>4471</v>
      </c>
      <c r="J1470">
        <v>14</v>
      </c>
      <c r="K1470">
        <v>25</v>
      </c>
    </row>
    <row r="1471" spans="1:11">
      <c r="A1471">
        <v>90</v>
      </c>
      <c r="B1471" t="b">
        <v>0</v>
      </c>
      <c r="C1471" t="s">
        <v>42845</v>
      </c>
      <c r="D1471">
        <v>1037022454355</v>
      </c>
      <c r="E1471">
        <v>1</v>
      </c>
      <c r="F1471">
        <v>6135774133</v>
      </c>
      <c r="G1471">
        <v>50000</v>
      </c>
      <c r="H1471" t="s">
        <v>40293</v>
      </c>
      <c r="I1471">
        <v>4471</v>
      </c>
      <c r="J1471">
        <v>93</v>
      </c>
      <c r="K1471">
        <v>112</v>
      </c>
    </row>
    <row r="1472" spans="1:11">
      <c r="A1472">
        <v>90</v>
      </c>
      <c r="B1472" t="b">
        <v>0</v>
      </c>
      <c r="C1472" t="s">
        <v>41889</v>
      </c>
      <c r="D1472">
        <v>1037022454355</v>
      </c>
      <c r="E1472">
        <v>1</v>
      </c>
      <c r="F1472">
        <v>6127043757</v>
      </c>
      <c r="G1472">
        <v>125000</v>
      </c>
      <c r="H1472" t="s">
        <v>40293</v>
      </c>
      <c r="I1472">
        <v>4477</v>
      </c>
      <c r="J1472">
        <v>38</v>
      </c>
      <c r="K1472">
        <v>51</v>
      </c>
    </row>
    <row r="1473" spans="1:11">
      <c r="A1473">
        <v>90</v>
      </c>
      <c r="B1473" t="b">
        <v>0</v>
      </c>
      <c r="C1473" t="s">
        <v>42727</v>
      </c>
      <c r="D1473">
        <v>1037022454355</v>
      </c>
      <c r="E1473">
        <v>1</v>
      </c>
      <c r="F1473">
        <v>6134129023</v>
      </c>
      <c r="G1473">
        <v>124900</v>
      </c>
      <c r="H1473" t="s">
        <v>40293</v>
      </c>
      <c r="I1473">
        <v>4477</v>
      </c>
      <c r="J1473">
        <v>21</v>
      </c>
      <c r="K1473">
        <v>25</v>
      </c>
    </row>
    <row r="1474" spans="1:11">
      <c r="A1474">
        <v>90</v>
      </c>
      <c r="B1474" t="b">
        <v>0</v>
      </c>
      <c r="C1474" t="s">
        <v>42836</v>
      </c>
      <c r="D1474">
        <v>1037022454355</v>
      </c>
      <c r="E1474">
        <v>1</v>
      </c>
      <c r="F1474">
        <v>6135773505</v>
      </c>
      <c r="G1474">
        <v>60000</v>
      </c>
      <c r="H1474" t="s">
        <v>40293</v>
      </c>
      <c r="I1474">
        <v>4477</v>
      </c>
      <c r="J1474">
        <v>80</v>
      </c>
      <c r="K1474">
        <v>120</v>
      </c>
    </row>
    <row r="1475" spans="1:11">
      <c r="A1475">
        <v>90</v>
      </c>
      <c r="B1475" t="b">
        <v>0</v>
      </c>
      <c r="C1475" t="s">
        <v>41904</v>
      </c>
      <c r="D1475">
        <v>1037022454355</v>
      </c>
      <c r="E1475">
        <v>1</v>
      </c>
      <c r="F1475">
        <v>6127044970</v>
      </c>
      <c r="G1475">
        <v>125000</v>
      </c>
      <c r="H1475" t="s">
        <v>40293</v>
      </c>
      <c r="I1475">
        <v>4529</v>
      </c>
      <c r="J1475">
        <v>38</v>
      </c>
      <c r="K1475">
        <v>40</v>
      </c>
    </row>
    <row r="1476" spans="1:11">
      <c r="A1476">
        <v>90</v>
      </c>
      <c r="B1476" t="b">
        <v>0</v>
      </c>
      <c r="C1476" t="s">
        <v>41847</v>
      </c>
      <c r="D1476">
        <v>1037022454355</v>
      </c>
      <c r="E1476">
        <v>1</v>
      </c>
      <c r="F1476">
        <v>6127044879</v>
      </c>
      <c r="G1476">
        <v>125000</v>
      </c>
      <c r="H1476" t="s">
        <v>40293</v>
      </c>
      <c r="I1476">
        <v>4533</v>
      </c>
      <c r="J1476">
        <v>26</v>
      </c>
      <c r="K1476">
        <v>40</v>
      </c>
    </row>
    <row r="1477" spans="1:11">
      <c r="A1477">
        <v>90</v>
      </c>
      <c r="B1477" t="b">
        <v>0</v>
      </c>
      <c r="C1477" t="s">
        <v>46045</v>
      </c>
      <c r="D1477">
        <v>1037022454355</v>
      </c>
      <c r="E1477">
        <v>1</v>
      </c>
      <c r="F1477">
        <v>6081275059</v>
      </c>
      <c r="G1477">
        <v>120000</v>
      </c>
      <c r="H1477" t="s">
        <v>40293</v>
      </c>
      <c r="I1477">
        <v>4533</v>
      </c>
      <c r="J1477">
        <v>5</v>
      </c>
      <c r="K1477">
        <v>25</v>
      </c>
    </row>
    <row r="1478" spans="1:11">
      <c r="A1478">
        <v>14</v>
      </c>
      <c r="B1478" t="b">
        <v>0</v>
      </c>
      <c r="C1478" t="s">
        <v>46206</v>
      </c>
      <c r="D1478">
        <v>1037022454355</v>
      </c>
      <c r="E1478">
        <v>1</v>
      </c>
      <c r="F1478">
        <v>6153006564</v>
      </c>
      <c r="G1478">
        <v>110000</v>
      </c>
      <c r="H1478" t="s">
        <v>40293</v>
      </c>
      <c r="I1478">
        <v>4533</v>
      </c>
      <c r="J1478">
        <v>5</v>
      </c>
      <c r="K1478">
        <v>5</v>
      </c>
    </row>
    <row r="1479" spans="1:11">
      <c r="A1479">
        <v>90</v>
      </c>
      <c r="B1479" t="b">
        <v>0</v>
      </c>
      <c r="C1479" t="s">
        <v>41735</v>
      </c>
      <c r="D1479">
        <v>1037022454355</v>
      </c>
      <c r="E1479">
        <v>1</v>
      </c>
      <c r="F1479">
        <v>6113787177</v>
      </c>
      <c r="G1479">
        <v>500000</v>
      </c>
      <c r="H1479" t="s">
        <v>40293</v>
      </c>
      <c r="I1479">
        <v>4569</v>
      </c>
      <c r="J1479">
        <v>15</v>
      </c>
      <c r="K1479">
        <v>25</v>
      </c>
    </row>
    <row r="1480" spans="1:11">
      <c r="A1480">
        <v>90</v>
      </c>
      <c r="B1480" t="b">
        <v>0</v>
      </c>
      <c r="C1480" t="s">
        <v>41932</v>
      </c>
      <c r="D1480">
        <v>1037022454355</v>
      </c>
      <c r="E1480">
        <v>1</v>
      </c>
      <c r="F1480">
        <v>6127046361</v>
      </c>
      <c r="G1480">
        <v>125000</v>
      </c>
      <c r="H1480" t="s">
        <v>40293</v>
      </c>
      <c r="I1480">
        <v>4569</v>
      </c>
      <c r="J1480">
        <v>1</v>
      </c>
      <c r="K1480">
        <v>14</v>
      </c>
    </row>
    <row r="1481" spans="1:11">
      <c r="A1481">
        <v>90</v>
      </c>
      <c r="B1481" t="b">
        <v>0</v>
      </c>
      <c r="C1481" t="s">
        <v>41438</v>
      </c>
      <c r="D1481">
        <v>1037022454355</v>
      </c>
      <c r="E1481">
        <v>1</v>
      </c>
      <c r="F1481">
        <v>6101033336</v>
      </c>
      <c r="G1481">
        <v>749900</v>
      </c>
      <c r="H1481" t="s">
        <v>40293</v>
      </c>
      <c r="I1481">
        <v>4573</v>
      </c>
      <c r="J1481">
        <v>10</v>
      </c>
      <c r="K1481">
        <v>10</v>
      </c>
    </row>
    <row r="1482" spans="1:11">
      <c r="A1482">
        <v>90</v>
      </c>
      <c r="B1482" t="b">
        <v>0</v>
      </c>
      <c r="C1482" t="s">
        <v>42714</v>
      </c>
      <c r="D1482">
        <v>1037022454355</v>
      </c>
      <c r="E1482">
        <v>1</v>
      </c>
      <c r="F1482">
        <v>6073409472</v>
      </c>
      <c r="G1482">
        <v>749600</v>
      </c>
      <c r="H1482" t="s">
        <v>40293</v>
      </c>
      <c r="I1482">
        <v>4573</v>
      </c>
      <c r="J1482">
        <v>11</v>
      </c>
      <c r="K1482">
        <v>25</v>
      </c>
    </row>
    <row r="1483" spans="1:11">
      <c r="A1483">
        <v>90</v>
      </c>
      <c r="B1483" t="b">
        <v>0</v>
      </c>
      <c r="C1483" t="s">
        <v>41678</v>
      </c>
      <c r="D1483">
        <v>1037022454355</v>
      </c>
      <c r="E1483">
        <v>1</v>
      </c>
      <c r="F1483">
        <v>6067877837</v>
      </c>
      <c r="G1483">
        <v>239000</v>
      </c>
      <c r="H1483" t="s">
        <v>40293</v>
      </c>
      <c r="I1483">
        <v>4609</v>
      </c>
      <c r="J1483">
        <v>15</v>
      </c>
      <c r="K1483">
        <v>16</v>
      </c>
    </row>
    <row r="1484" spans="1:11">
      <c r="A1484">
        <v>90</v>
      </c>
      <c r="B1484" t="b">
        <v>0</v>
      </c>
      <c r="C1484" t="s">
        <v>42716</v>
      </c>
      <c r="D1484">
        <v>1037022454355</v>
      </c>
      <c r="E1484">
        <v>1</v>
      </c>
      <c r="F1484">
        <v>6073409585</v>
      </c>
      <c r="G1484">
        <v>238500</v>
      </c>
      <c r="H1484" t="s">
        <v>40293</v>
      </c>
      <c r="I1484">
        <v>4609</v>
      </c>
      <c r="J1484">
        <v>21</v>
      </c>
      <c r="K1484">
        <v>25</v>
      </c>
    </row>
    <row r="1485" spans="1:11">
      <c r="A1485">
        <v>90</v>
      </c>
      <c r="B1485" t="b">
        <v>0</v>
      </c>
      <c r="C1485" t="s">
        <v>41918</v>
      </c>
      <c r="D1485">
        <v>1037022454355</v>
      </c>
      <c r="E1485">
        <v>1</v>
      </c>
      <c r="F1485">
        <v>6127046636</v>
      </c>
      <c r="G1485">
        <v>125000</v>
      </c>
      <c r="H1485" t="s">
        <v>40293</v>
      </c>
      <c r="I1485">
        <v>4609</v>
      </c>
      <c r="J1485">
        <v>4</v>
      </c>
      <c r="K1485">
        <v>4</v>
      </c>
    </row>
    <row r="1486" spans="1:11">
      <c r="A1486">
        <v>90</v>
      </c>
      <c r="B1486" t="b">
        <v>0</v>
      </c>
      <c r="C1486" t="s">
        <v>43405</v>
      </c>
      <c r="D1486">
        <v>1037022454355</v>
      </c>
      <c r="E1486">
        <v>1</v>
      </c>
      <c r="F1486">
        <v>6137461057</v>
      </c>
      <c r="G1486">
        <v>123300</v>
      </c>
      <c r="H1486" t="s">
        <v>40293</v>
      </c>
      <c r="I1486">
        <v>4609</v>
      </c>
      <c r="J1486">
        <v>48</v>
      </c>
      <c r="K1486">
        <v>49</v>
      </c>
    </row>
    <row r="1487" spans="1:11">
      <c r="A1487">
        <v>90</v>
      </c>
      <c r="B1487" t="b">
        <v>0</v>
      </c>
      <c r="C1487" t="s">
        <v>45967</v>
      </c>
      <c r="D1487">
        <v>1037022454355</v>
      </c>
      <c r="E1487">
        <v>1</v>
      </c>
      <c r="F1487">
        <v>6098706569</v>
      </c>
      <c r="G1487">
        <v>123200</v>
      </c>
      <c r="H1487" t="s">
        <v>40293</v>
      </c>
      <c r="I1487">
        <v>4609</v>
      </c>
      <c r="J1487">
        <v>15</v>
      </c>
      <c r="K1487">
        <v>20</v>
      </c>
    </row>
    <row r="1488" spans="1:11">
      <c r="A1488">
        <v>90</v>
      </c>
      <c r="B1488" t="b">
        <v>0</v>
      </c>
      <c r="C1488" t="s">
        <v>41589</v>
      </c>
      <c r="D1488">
        <v>1037022454355</v>
      </c>
      <c r="E1488">
        <v>1</v>
      </c>
      <c r="F1488">
        <v>6073409888</v>
      </c>
      <c r="G1488">
        <v>497900</v>
      </c>
      <c r="H1488" t="s">
        <v>40293</v>
      </c>
      <c r="I1488">
        <v>4613</v>
      </c>
      <c r="J1488">
        <v>25</v>
      </c>
      <c r="K1488">
        <v>25</v>
      </c>
    </row>
    <row r="1489" spans="1:11">
      <c r="A1489">
        <v>90</v>
      </c>
      <c r="B1489" t="b">
        <v>0</v>
      </c>
      <c r="C1489" t="s">
        <v>45535</v>
      </c>
      <c r="D1489">
        <v>1037022454355</v>
      </c>
      <c r="E1489">
        <v>1</v>
      </c>
      <c r="F1489">
        <v>6150343894</v>
      </c>
      <c r="G1489">
        <v>278800</v>
      </c>
      <c r="H1489" t="s">
        <v>40293</v>
      </c>
      <c r="I1489">
        <v>4613</v>
      </c>
      <c r="J1489">
        <v>1</v>
      </c>
      <c r="K1489">
        <v>1</v>
      </c>
    </row>
    <row r="1490" spans="1:11">
      <c r="A1490">
        <v>90</v>
      </c>
      <c r="B1490" t="b">
        <v>0</v>
      </c>
      <c r="C1490" t="s">
        <v>41902</v>
      </c>
      <c r="D1490">
        <v>1037022454355</v>
      </c>
      <c r="E1490">
        <v>1</v>
      </c>
      <c r="F1490">
        <v>6127044799</v>
      </c>
      <c r="G1490">
        <v>225000</v>
      </c>
      <c r="H1490" t="s">
        <v>40293</v>
      </c>
      <c r="I1490">
        <v>4613</v>
      </c>
      <c r="J1490">
        <v>50</v>
      </c>
      <c r="K1490">
        <v>50</v>
      </c>
    </row>
    <row r="1491" spans="1:11">
      <c r="A1491">
        <v>90</v>
      </c>
      <c r="B1491" t="b">
        <v>0</v>
      </c>
      <c r="C1491" t="s">
        <v>44402</v>
      </c>
      <c r="D1491">
        <v>1037022454355</v>
      </c>
      <c r="E1491">
        <v>1</v>
      </c>
      <c r="F1491">
        <v>6156293082</v>
      </c>
      <c r="G1491">
        <v>224000</v>
      </c>
      <c r="H1491" t="s">
        <v>40293</v>
      </c>
      <c r="I1491">
        <v>4613</v>
      </c>
      <c r="J1491">
        <v>20</v>
      </c>
      <c r="K1491">
        <v>20</v>
      </c>
    </row>
    <row r="1492" spans="1:11">
      <c r="A1492">
        <v>90</v>
      </c>
      <c r="B1492" t="b">
        <v>0</v>
      </c>
      <c r="C1492" t="s">
        <v>44543</v>
      </c>
      <c r="D1492">
        <v>1037022454355</v>
      </c>
      <c r="E1492">
        <v>1</v>
      </c>
      <c r="F1492">
        <v>6090824647</v>
      </c>
      <c r="G1492">
        <v>50010</v>
      </c>
      <c r="H1492" t="s">
        <v>40293</v>
      </c>
      <c r="I1492">
        <v>4787</v>
      </c>
      <c r="J1492">
        <v>59</v>
      </c>
      <c r="K1492">
        <v>161</v>
      </c>
    </row>
    <row r="1493" spans="1:11">
      <c r="A1493">
        <v>90</v>
      </c>
      <c r="B1493" t="b">
        <v>0</v>
      </c>
      <c r="C1493" t="s">
        <v>42802</v>
      </c>
      <c r="D1493">
        <v>1037022454355</v>
      </c>
      <c r="E1493">
        <v>1</v>
      </c>
      <c r="F1493">
        <v>6135771466</v>
      </c>
      <c r="G1493">
        <v>50010</v>
      </c>
      <c r="H1493" t="s">
        <v>40293</v>
      </c>
      <c r="I1493">
        <v>4787</v>
      </c>
      <c r="J1493">
        <v>112</v>
      </c>
      <c r="K1493">
        <v>112</v>
      </c>
    </row>
    <row r="1494" spans="1:11">
      <c r="A1494">
        <v>90</v>
      </c>
      <c r="B1494" t="b">
        <v>0</v>
      </c>
      <c r="C1494" t="s">
        <v>40742</v>
      </c>
      <c r="D1494">
        <v>1037022454355</v>
      </c>
      <c r="E1494">
        <v>1</v>
      </c>
      <c r="F1494">
        <v>6121039597</v>
      </c>
      <c r="G1494">
        <v>75000</v>
      </c>
      <c r="H1494" t="s">
        <v>40293</v>
      </c>
      <c r="I1494">
        <v>4833</v>
      </c>
      <c r="J1494">
        <v>452</v>
      </c>
      <c r="K1494">
        <v>466</v>
      </c>
    </row>
    <row r="1495" spans="1:11">
      <c r="A1495">
        <v>90</v>
      </c>
      <c r="B1495" t="b">
        <v>0</v>
      </c>
      <c r="C1495" t="s">
        <v>42724</v>
      </c>
      <c r="D1495">
        <v>1037022454355</v>
      </c>
      <c r="E1495">
        <v>1</v>
      </c>
      <c r="F1495">
        <v>6135767315</v>
      </c>
      <c r="G1495">
        <v>50010</v>
      </c>
      <c r="H1495" t="s">
        <v>40293</v>
      </c>
      <c r="I1495">
        <v>4833</v>
      </c>
      <c r="J1495">
        <v>150</v>
      </c>
      <c r="K1495">
        <v>176</v>
      </c>
    </row>
    <row r="1496" spans="1:11">
      <c r="A1496">
        <v>90</v>
      </c>
      <c r="B1496" t="b">
        <v>0</v>
      </c>
      <c r="C1496" t="s">
        <v>41962</v>
      </c>
      <c r="D1496">
        <v>1037022454355</v>
      </c>
      <c r="E1496">
        <v>1</v>
      </c>
      <c r="F1496">
        <v>6125998521</v>
      </c>
      <c r="G1496">
        <v>100000</v>
      </c>
      <c r="H1496" t="s">
        <v>40293</v>
      </c>
      <c r="I1496">
        <v>4871</v>
      </c>
      <c r="J1496">
        <v>363</v>
      </c>
      <c r="K1496">
        <v>400</v>
      </c>
    </row>
    <row r="1497" spans="1:11">
      <c r="A1497">
        <v>90</v>
      </c>
      <c r="B1497" t="b">
        <v>0</v>
      </c>
      <c r="C1497" t="s">
        <v>42457</v>
      </c>
      <c r="D1497">
        <v>1037022454355</v>
      </c>
      <c r="E1497">
        <v>1</v>
      </c>
      <c r="F1497">
        <v>6078540138</v>
      </c>
      <c r="G1497">
        <v>99990</v>
      </c>
      <c r="H1497" t="s">
        <v>40293</v>
      </c>
      <c r="I1497">
        <v>4871</v>
      </c>
      <c r="J1497">
        <v>21</v>
      </c>
      <c r="K1497">
        <v>104</v>
      </c>
    </row>
    <row r="1498" spans="1:11">
      <c r="A1498">
        <v>90</v>
      </c>
      <c r="B1498" t="b">
        <v>0</v>
      </c>
      <c r="C1498" t="s">
        <v>44594</v>
      </c>
      <c r="D1498">
        <v>1037022454355</v>
      </c>
      <c r="E1498">
        <v>1</v>
      </c>
      <c r="F1498">
        <v>6090825361</v>
      </c>
      <c r="G1498">
        <v>100100</v>
      </c>
      <c r="H1498" t="s">
        <v>40293</v>
      </c>
      <c r="I1498">
        <v>5011</v>
      </c>
      <c r="J1498">
        <v>235</v>
      </c>
      <c r="K1498">
        <v>242</v>
      </c>
    </row>
    <row r="1499" spans="1:11">
      <c r="A1499">
        <v>90</v>
      </c>
      <c r="B1499" t="b">
        <v>0</v>
      </c>
      <c r="C1499" t="s">
        <v>41761</v>
      </c>
      <c r="D1499">
        <v>1037022454355</v>
      </c>
      <c r="E1499">
        <v>1</v>
      </c>
      <c r="F1499">
        <v>6067847120</v>
      </c>
      <c r="G1499">
        <v>99980</v>
      </c>
      <c r="H1499" t="s">
        <v>40293</v>
      </c>
      <c r="I1499">
        <v>5011</v>
      </c>
      <c r="J1499">
        <v>100</v>
      </c>
      <c r="K1499">
        <v>120</v>
      </c>
    </row>
    <row r="1500" spans="1:11">
      <c r="A1500">
        <v>90</v>
      </c>
      <c r="B1500" t="b">
        <v>0</v>
      </c>
      <c r="C1500" t="s">
        <v>41945</v>
      </c>
      <c r="D1500">
        <v>1037022454355</v>
      </c>
      <c r="E1500">
        <v>1</v>
      </c>
      <c r="F1500">
        <v>6067288745</v>
      </c>
      <c r="G1500">
        <v>99970</v>
      </c>
      <c r="H1500" t="s">
        <v>40293</v>
      </c>
      <c r="I1500">
        <v>5011</v>
      </c>
      <c r="J1500">
        <v>98</v>
      </c>
      <c r="K1500">
        <v>108</v>
      </c>
    </row>
    <row r="1501" spans="1:11">
      <c r="A1501">
        <v>90</v>
      </c>
      <c r="B1501" t="b">
        <v>0</v>
      </c>
      <c r="C1501" t="s">
        <v>42814</v>
      </c>
      <c r="D1501">
        <v>1037022454355</v>
      </c>
      <c r="E1501">
        <v>1</v>
      </c>
      <c r="F1501">
        <v>6135772318</v>
      </c>
      <c r="G1501">
        <v>70000</v>
      </c>
      <c r="H1501" t="s">
        <v>40293</v>
      </c>
      <c r="I1501">
        <v>5011</v>
      </c>
      <c r="J1501">
        <v>61</v>
      </c>
      <c r="K1501">
        <v>112</v>
      </c>
    </row>
    <row r="1502" spans="1:11">
      <c r="A1502">
        <v>90</v>
      </c>
      <c r="B1502" t="b">
        <v>0</v>
      </c>
      <c r="C1502" t="s">
        <v>42582</v>
      </c>
      <c r="D1502">
        <v>1037022454355</v>
      </c>
      <c r="E1502">
        <v>1</v>
      </c>
      <c r="F1502">
        <v>6134481974</v>
      </c>
      <c r="G1502">
        <v>190000</v>
      </c>
      <c r="H1502" t="s">
        <v>40293</v>
      </c>
      <c r="I1502">
        <v>5051</v>
      </c>
      <c r="J1502">
        <v>11</v>
      </c>
      <c r="K1502">
        <v>11</v>
      </c>
    </row>
    <row r="1503" spans="1:11">
      <c r="A1503">
        <v>90</v>
      </c>
      <c r="B1503" t="b">
        <v>0</v>
      </c>
      <c r="C1503" t="s">
        <v>44563</v>
      </c>
      <c r="D1503">
        <v>1037022454355</v>
      </c>
      <c r="E1503">
        <v>1</v>
      </c>
      <c r="F1503">
        <v>6090824892</v>
      </c>
      <c r="G1503">
        <v>100100</v>
      </c>
      <c r="H1503" t="s">
        <v>40293</v>
      </c>
      <c r="I1503">
        <v>5051</v>
      </c>
      <c r="J1503">
        <v>43</v>
      </c>
      <c r="K1503">
        <v>100</v>
      </c>
    </row>
    <row r="1504" spans="1:11">
      <c r="A1504">
        <v>90</v>
      </c>
      <c r="B1504" t="b">
        <v>0</v>
      </c>
      <c r="C1504" t="s">
        <v>42558</v>
      </c>
      <c r="D1504">
        <v>1037022454355</v>
      </c>
      <c r="E1504">
        <v>1</v>
      </c>
      <c r="F1504">
        <v>6137462650</v>
      </c>
      <c r="G1504">
        <v>99000</v>
      </c>
      <c r="H1504" t="s">
        <v>40293</v>
      </c>
      <c r="I1504">
        <v>5051</v>
      </c>
      <c r="J1504">
        <v>30</v>
      </c>
      <c r="K1504">
        <v>40</v>
      </c>
    </row>
    <row r="1505" spans="1:11">
      <c r="A1505">
        <v>90</v>
      </c>
      <c r="B1505" t="b">
        <v>0</v>
      </c>
      <c r="C1505" t="s">
        <v>46199</v>
      </c>
      <c r="D1505">
        <v>1037022454355</v>
      </c>
      <c r="E1505">
        <v>1</v>
      </c>
      <c r="F1505">
        <v>6154022279</v>
      </c>
      <c r="G1505">
        <v>98990</v>
      </c>
      <c r="H1505" t="s">
        <v>40293</v>
      </c>
      <c r="I1505">
        <v>5051</v>
      </c>
      <c r="J1505">
        <v>22</v>
      </c>
      <c r="K1505">
        <v>25</v>
      </c>
    </row>
    <row r="1506" spans="1:11">
      <c r="A1506">
        <v>90</v>
      </c>
      <c r="B1506" t="b">
        <v>0</v>
      </c>
      <c r="C1506" t="s">
        <v>40724</v>
      </c>
      <c r="D1506">
        <v>1037022454355</v>
      </c>
      <c r="E1506">
        <v>1</v>
      </c>
      <c r="F1506">
        <v>6107014465</v>
      </c>
      <c r="G1506">
        <v>720000</v>
      </c>
      <c r="H1506" t="s">
        <v>40293</v>
      </c>
      <c r="I1506">
        <v>5091</v>
      </c>
      <c r="J1506">
        <v>5</v>
      </c>
      <c r="K1506">
        <v>6</v>
      </c>
    </row>
    <row r="1507" spans="1:11">
      <c r="A1507">
        <v>90</v>
      </c>
      <c r="B1507" t="b">
        <v>0</v>
      </c>
      <c r="C1507" t="s">
        <v>42839</v>
      </c>
      <c r="D1507">
        <v>1037022454355</v>
      </c>
      <c r="E1507">
        <v>1</v>
      </c>
      <c r="F1507">
        <v>6135773700</v>
      </c>
      <c r="G1507">
        <v>50000</v>
      </c>
      <c r="H1507" t="s">
        <v>40293</v>
      </c>
      <c r="I1507">
        <v>5091</v>
      </c>
      <c r="J1507">
        <v>100</v>
      </c>
      <c r="K1507">
        <v>100</v>
      </c>
    </row>
    <row r="1508" spans="1:11">
      <c r="A1508">
        <v>90</v>
      </c>
      <c r="B1508" t="b">
        <v>0</v>
      </c>
      <c r="C1508" t="s">
        <v>43466</v>
      </c>
      <c r="D1508">
        <v>1037022454355</v>
      </c>
      <c r="E1508">
        <v>1</v>
      </c>
      <c r="F1508">
        <v>6142746618</v>
      </c>
      <c r="G1508">
        <v>49990</v>
      </c>
      <c r="H1508" t="s">
        <v>40293</v>
      </c>
      <c r="I1508">
        <v>5091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42860</v>
      </c>
      <c r="D1509">
        <v>1037022454355</v>
      </c>
      <c r="E1509">
        <v>1</v>
      </c>
      <c r="F1509">
        <v>6135774642</v>
      </c>
      <c r="G1509">
        <v>50000</v>
      </c>
      <c r="H1509" t="s">
        <v>40293</v>
      </c>
      <c r="I1509">
        <v>5093</v>
      </c>
      <c r="J1509">
        <v>77</v>
      </c>
      <c r="K1509">
        <v>80</v>
      </c>
    </row>
    <row r="1510" spans="1:11">
      <c r="A1510">
        <v>90</v>
      </c>
      <c r="B1510" t="b">
        <v>0</v>
      </c>
      <c r="C1510" t="s">
        <v>44778</v>
      </c>
      <c r="D1510">
        <v>1037022454355</v>
      </c>
      <c r="E1510">
        <v>1</v>
      </c>
      <c r="F1510">
        <v>6090827422</v>
      </c>
      <c r="G1510">
        <v>100100</v>
      </c>
      <c r="H1510" t="s">
        <v>40293</v>
      </c>
      <c r="I1510">
        <v>5137</v>
      </c>
      <c r="J1510">
        <v>304</v>
      </c>
      <c r="K1510">
        <v>316</v>
      </c>
    </row>
    <row r="1511" spans="1:11">
      <c r="A1511">
        <v>90</v>
      </c>
      <c r="B1511" t="b">
        <v>0</v>
      </c>
      <c r="C1511" t="s">
        <v>40796</v>
      </c>
      <c r="D1511">
        <v>1037022454355</v>
      </c>
      <c r="E1511">
        <v>1</v>
      </c>
      <c r="F1511">
        <v>6100167737</v>
      </c>
      <c r="G1511">
        <v>99290</v>
      </c>
      <c r="H1511" t="s">
        <v>40293</v>
      </c>
      <c r="I1511">
        <v>5137</v>
      </c>
      <c r="J1511">
        <v>1</v>
      </c>
      <c r="K1511">
        <v>1</v>
      </c>
    </row>
    <row r="1512" spans="1:11">
      <c r="A1512">
        <v>90</v>
      </c>
      <c r="B1512" t="b">
        <v>0</v>
      </c>
      <c r="C1512" t="s">
        <v>41236</v>
      </c>
      <c r="D1512">
        <v>1037022454355</v>
      </c>
      <c r="E1512">
        <v>1</v>
      </c>
      <c r="F1512">
        <v>6070292747</v>
      </c>
      <c r="G1512">
        <v>99000</v>
      </c>
      <c r="H1512" t="s">
        <v>40293</v>
      </c>
      <c r="I1512">
        <v>5137</v>
      </c>
      <c r="J1512">
        <v>166</v>
      </c>
      <c r="K1512">
        <v>200</v>
      </c>
    </row>
    <row r="1513" spans="1:11">
      <c r="A1513">
        <v>90</v>
      </c>
      <c r="B1513" t="b">
        <v>0</v>
      </c>
      <c r="C1513" t="s">
        <v>41897</v>
      </c>
      <c r="D1513">
        <v>1037022454355</v>
      </c>
      <c r="E1513">
        <v>1</v>
      </c>
      <c r="F1513">
        <v>6127044023</v>
      </c>
      <c r="G1513">
        <v>75000</v>
      </c>
      <c r="H1513" t="s">
        <v>40293</v>
      </c>
      <c r="I1513">
        <v>5137</v>
      </c>
      <c r="J1513">
        <v>92</v>
      </c>
      <c r="K1513">
        <v>92</v>
      </c>
    </row>
    <row r="1514" spans="1:11">
      <c r="A1514">
        <v>90</v>
      </c>
      <c r="B1514" t="b">
        <v>0</v>
      </c>
      <c r="C1514" t="s">
        <v>42856</v>
      </c>
      <c r="D1514">
        <v>1037022454355</v>
      </c>
      <c r="E1514">
        <v>1</v>
      </c>
      <c r="F1514">
        <v>6135774400</v>
      </c>
      <c r="G1514">
        <v>50000</v>
      </c>
      <c r="H1514" t="s">
        <v>40293</v>
      </c>
      <c r="I1514">
        <v>5137</v>
      </c>
      <c r="J1514">
        <v>91</v>
      </c>
      <c r="K1514">
        <v>112</v>
      </c>
    </row>
    <row r="1515" spans="1:11">
      <c r="A1515">
        <v>90</v>
      </c>
      <c r="B1515" t="b">
        <v>0</v>
      </c>
      <c r="C1515" t="s">
        <v>44753</v>
      </c>
      <c r="D1515">
        <v>1037022454355</v>
      </c>
      <c r="E1515">
        <v>1</v>
      </c>
      <c r="F1515">
        <v>6090827183</v>
      </c>
      <c r="G1515">
        <v>100100</v>
      </c>
      <c r="H1515" t="s">
        <v>40293</v>
      </c>
      <c r="I1515">
        <v>5141</v>
      </c>
      <c r="J1515">
        <v>122</v>
      </c>
      <c r="K1515">
        <v>233</v>
      </c>
    </row>
    <row r="1516" spans="1:11">
      <c r="A1516">
        <v>90</v>
      </c>
      <c r="B1516" t="b">
        <v>0</v>
      </c>
      <c r="C1516" t="s">
        <v>43760</v>
      </c>
      <c r="D1516">
        <v>1037022454355</v>
      </c>
      <c r="E1516">
        <v>1</v>
      </c>
      <c r="F1516">
        <v>6070292802</v>
      </c>
      <c r="G1516">
        <v>99000</v>
      </c>
      <c r="H1516" t="s">
        <v>40293</v>
      </c>
      <c r="I1516">
        <v>5141</v>
      </c>
      <c r="J1516">
        <v>218</v>
      </c>
      <c r="K1516">
        <v>259</v>
      </c>
    </row>
    <row r="1517" spans="1:11">
      <c r="A1517">
        <v>90</v>
      </c>
      <c r="B1517" t="b">
        <v>0</v>
      </c>
      <c r="C1517" t="s">
        <v>41895</v>
      </c>
      <c r="D1517">
        <v>1037022454355</v>
      </c>
      <c r="E1517">
        <v>1</v>
      </c>
      <c r="F1517">
        <v>6127043975</v>
      </c>
      <c r="G1517">
        <v>75000</v>
      </c>
      <c r="H1517" t="s">
        <v>40293</v>
      </c>
      <c r="I1517">
        <v>5141</v>
      </c>
      <c r="J1517">
        <v>19</v>
      </c>
      <c r="K1517">
        <v>50</v>
      </c>
    </row>
    <row r="1518" spans="1:11">
      <c r="A1518">
        <v>90</v>
      </c>
      <c r="B1518" t="b">
        <v>0</v>
      </c>
      <c r="C1518" t="s">
        <v>42829</v>
      </c>
      <c r="D1518">
        <v>1037022454355</v>
      </c>
      <c r="E1518">
        <v>1</v>
      </c>
      <c r="F1518">
        <v>6135773163</v>
      </c>
      <c r="G1518">
        <v>40000</v>
      </c>
      <c r="H1518" t="s">
        <v>40293</v>
      </c>
      <c r="I1518">
        <v>5141</v>
      </c>
      <c r="J1518">
        <v>92</v>
      </c>
      <c r="K1518">
        <v>112</v>
      </c>
    </row>
    <row r="1519" spans="1:11">
      <c r="A1519">
        <v>90</v>
      </c>
      <c r="B1519" t="b">
        <v>0</v>
      </c>
      <c r="C1519" t="s">
        <v>41087</v>
      </c>
      <c r="D1519">
        <v>1037022454355</v>
      </c>
      <c r="E1519">
        <v>1</v>
      </c>
      <c r="F1519">
        <v>6093686369</v>
      </c>
      <c r="G1519">
        <v>470000</v>
      </c>
      <c r="H1519" t="s">
        <v>40293</v>
      </c>
      <c r="I1519">
        <v>5245</v>
      </c>
      <c r="J1519">
        <v>4</v>
      </c>
      <c r="K1519">
        <v>4</v>
      </c>
    </row>
    <row r="1520" spans="1:11">
      <c r="A1520">
        <v>90</v>
      </c>
      <c r="B1520" t="b">
        <v>0</v>
      </c>
      <c r="C1520" t="s">
        <v>40313</v>
      </c>
      <c r="D1520">
        <v>1037022454355</v>
      </c>
      <c r="E1520">
        <v>1</v>
      </c>
      <c r="F1520">
        <v>6075515499</v>
      </c>
      <c r="G1520">
        <v>469900</v>
      </c>
      <c r="H1520" t="s">
        <v>40293</v>
      </c>
      <c r="I1520">
        <v>5245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42541</v>
      </c>
      <c r="D1521">
        <v>1037022454355</v>
      </c>
      <c r="E1521">
        <v>1</v>
      </c>
      <c r="F1521">
        <v>6134479908</v>
      </c>
      <c r="G1521">
        <v>50000</v>
      </c>
      <c r="H1521" t="s">
        <v>40293</v>
      </c>
      <c r="I1521">
        <v>5279</v>
      </c>
      <c r="J1521">
        <v>91</v>
      </c>
      <c r="K1521">
        <v>99</v>
      </c>
    </row>
    <row r="1522" spans="1:11">
      <c r="A1522">
        <v>90</v>
      </c>
      <c r="B1522" t="b">
        <v>0</v>
      </c>
      <c r="C1522" t="s">
        <v>43932</v>
      </c>
      <c r="D1522">
        <v>1037022454355</v>
      </c>
      <c r="E1522">
        <v>1</v>
      </c>
      <c r="F1522">
        <v>6140590745</v>
      </c>
      <c r="G1522">
        <v>175000</v>
      </c>
      <c r="H1522" t="s">
        <v>40293</v>
      </c>
      <c r="I1522">
        <v>5282</v>
      </c>
      <c r="J1522">
        <v>20</v>
      </c>
      <c r="K1522">
        <v>25</v>
      </c>
    </row>
    <row r="1523" spans="1:11">
      <c r="A1523">
        <v>90</v>
      </c>
      <c r="B1523" t="b">
        <v>0</v>
      </c>
      <c r="C1523" t="s">
        <v>41877</v>
      </c>
      <c r="D1523">
        <v>1037022454355</v>
      </c>
      <c r="E1523">
        <v>1</v>
      </c>
      <c r="F1523">
        <v>6127042404</v>
      </c>
      <c r="G1523">
        <v>65000</v>
      </c>
      <c r="H1523" t="s">
        <v>40293</v>
      </c>
      <c r="I1523">
        <v>5320</v>
      </c>
      <c r="J1523">
        <v>33</v>
      </c>
      <c r="K1523">
        <v>50</v>
      </c>
    </row>
    <row r="1524" spans="1:11">
      <c r="A1524">
        <v>90</v>
      </c>
      <c r="B1524" t="b">
        <v>0</v>
      </c>
      <c r="C1524" t="s">
        <v>40455</v>
      </c>
      <c r="D1524">
        <v>1037022454355</v>
      </c>
      <c r="E1524">
        <v>1</v>
      </c>
      <c r="F1524">
        <v>6117808071</v>
      </c>
      <c r="G1524">
        <v>598100</v>
      </c>
      <c r="H1524" t="s">
        <v>40293</v>
      </c>
      <c r="I1524">
        <v>5322</v>
      </c>
      <c r="J1524">
        <v>66</v>
      </c>
      <c r="K1524">
        <v>77</v>
      </c>
    </row>
    <row r="1525" spans="1:11">
      <c r="A1525">
        <v>30</v>
      </c>
      <c r="B1525" t="b">
        <v>0</v>
      </c>
      <c r="C1525" t="s">
        <v>44299</v>
      </c>
      <c r="D1525">
        <v>1037022454355</v>
      </c>
      <c r="E1525">
        <v>1</v>
      </c>
      <c r="F1525">
        <v>6126898772</v>
      </c>
      <c r="G1525">
        <v>196900</v>
      </c>
      <c r="H1525" t="s">
        <v>40293</v>
      </c>
      <c r="I1525">
        <v>5322</v>
      </c>
      <c r="J1525">
        <v>1</v>
      </c>
      <c r="K1525">
        <v>1</v>
      </c>
    </row>
    <row r="1526" spans="1:11">
      <c r="A1526">
        <v>90</v>
      </c>
      <c r="B1526" t="b">
        <v>0</v>
      </c>
      <c r="C1526" t="s">
        <v>45673</v>
      </c>
      <c r="D1526">
        <v>1037022454355</v>
      </c>
      <c r="E1526">
        <v>1</v>
      </c>
      <c r="F1526">
        <v>6133142493</v>
      </c>
      <c r="G1526">
        <v>196700</v>
      </c>
      <c r="H1526" t="s">
        <v>40293</v>
      </c>
      <c r="I1526">
        <v>5322</v>
      </c>
      <c r="J1526">
        <v>17</v>
      </c>
      <c r="K1526">
        <v>30</v>
      </c>
    </row>
    <row r="1527" spans="1:11">
      <c r="A1527">
        <v>90</v>
      </c>
      <c r="B1527" t="b">
        <v>0</v>
      </c>
      <c r="C1527" t="s">
        <v>44157</v>
      </c>
      <c r="D1527">
        <v>1037022454355</v>
      </c>
      <c r="E1527">
        <v>1</v>
      </c>
      <c r="F1527">
        <v>6121326160</v>
      </c>
      <c r="G1527">
        <v>196600</v>
      </c>
      <c r="H1527" t="s">
        <v>40293</v>
      </c>
      <c r="I1527">
        <v>5322</v>
      </c>
      <c r="J1527">
        <v>5</v>
      </c>
      <c r="K1527">
        <v>10</v>
      </c>
    </row>
    <row r="1528" spans="1:11">
      <c r="A1528">
        <v>90</v>
      </c>
      <c r="B1528" t="b">
        <v>0</v>
      </c>
      <c r="C1528" t="s">
        <v>45935</v>
      </c>
      <c r="D1528">
        <v>1037022454355</v>
      </c>
      <c r="E1528">
        <v>1</v>
      </c>
      <c r="F1528">
        <v>6157459174</v>
      </c>
      <c r="G1528">
        <v>100000</v>
      </c>
      <c r="H1528" t="s">
        <v>40293</v>
      </c>
      <c r="I1528">
        <v>5399</v>
      </c>
      <c r="J1528">
        <v>1</v>
      </c>
      <c r="K1528">
        <v>1</v>
      </c>
    </row>
    <row r="1529" spans="1:11">
      <c r="A1529">
        <v>90</v>
      </c>
      <c r="B1529" t="b">
        <v>0</v>
      </c>
      <c r="C1529" t="s">
        <v>41529</v>
      </c>
      <c r="D1529">
        <v>1037022454355</v>
      </c>
      <c r="E1529">
        <v>1</v>
      </c>
      <c r="F1529">
        <v>6121361865</v>
      </c>
      <c r="G1529">
        <v>49900</v>
      </c>
      <c r="H1529" t="s">
        <v>40293</v>
      </c>
      <c r="I1529">
        <v>5399</v>
      </c>
      <c r="J1529">
        <v>1</v>
      </c>
      <c r="K1529">
        <v>1</v>
      </c>
    </row>
    <row r="1530" spans="1:11">
      <c r="A1530">
        <v>90</v>
      </c>
      <c r="B1530" t="b">
        <v>0</v>
      </c>
      <c r="C1530" t="s">
        <v>42455</v>
      </c>
      <c r="D1530">
        <v>1037022454355</v>
      </c>
      <c r="E1530">
        <v>1</v>
      </c>
      <c r="F1530">
        <v>6068644146</v>
      </c>
      <c r="G1530">
        <v>49800</v>
      </c>
      <c r="H1530" t="s">
        <v>40293</v>
      </c>
      <c r="I1530">
        <v>5399</v>
      </c>
      <c r="J1530">
        <v>2</v>
      </c>
      <c r="K1530">
        <v>45</v>
      </c>
    </row>
    <row r="1531" spans="1:11">
      <c r="A1531">
        <v>90</v>
      </c>
      <c r="B1531" t="b">
        <v>0</v>
      </c>
      <c r="C1531" t="s">
        <v>44916</v>
      </c>
      <c r="D1531">
        <v>1037022454355</v>
      </c>
      <c r="E1531">
        <v>1</v>
      </c>
      <c r="F1531">
        <v>6077492696</v>
      </c>
      <c r="G1531">
        <v>170000</v>
      </c>
      <c r="H1531" t="s">
        <v>40293</v>
      </c>
      <c r="I1531">
        <v>5403</v>
      </c>
      <c r="J1531">
        <v>13</v>
      </c>
      <c r="K1531">
        <v>35</v>
      </c>
    </row>
    <row r="1532" spans="1:11">
      <c r="A1532">
        <v>90</v>
      </c>
      <c r="B1532" t="b">
        <v>0</v>
      </c>
      <c r="C1532" t="s">
        <v>45148</v>
      </c>
      <c r="D1532">
        <v>1037022454355</v>
      </c>
      <c r="E1532">
        <v>1</v>
      </c>
      <c r="F1532">
        <v>6155450785</v>
      </c>
      <c r="G1532">
        <v>170000</v>
      </c>
      <c r="H1532" t="s">
        <v>40293</v>
      </c>
      <c r="I1532">
        <v>5403</v>
      </c>
      <c r="J1532">
        <v>1</v>
      </c>
      <c r="K1532">
        <v>1</v>
      </c>
    </row>
    <row r="1533" spans="1:11">
      <c r="A1533">
        <v>90</v>
      </c>
      <c r="B1533" t="b">
        <v>0</v>
      </c>
      <c r="C1533" t="s">
        <v>40468</v>
      </c>
      <c r="D1533">
        <v>1037022454355</v>
      </c>
      <c r="E1533">
        <v>1</v>
      </c>
      <c r="F1533">
        <v>6067851302</v>
      </c>
      <c r="G1533">
        <v>49980</v>
      </c>
      <c r="H1533" t="s">
        <v>40293</v>
      </c>
      <c r="I1533">
        <v>5405</v>
      </c>
      <c r="J1533">
        <v>178</v>
      </c>
      <c r="K1533">
        <v>320</v>
      </c>
    </row>
    <row r="1534" spans="1:11">
      <c r="A1534">
        <v>90</v>
      </c>
      <c r="B1534" t="b">
        <v>0</v>
      </c>
      <c r="C1534" t="s">
        <v>40294</v>
      </c>
      <c r="D1534">
        <v>1037022454355</v>
      </c>
      <c r="E1534">
        <v>1</v>
      </c>
      <c r="F1534">
        <v>6070992912</v>
      </c>
      <c r="G1534">
        <v>50000</v>
      </c>
      <c r="H1534" t="s">
        <v>40293</v>
      </c>
      <c r="I1534">
        <v>5439</v>
      </c>
      <c r="J1534">
        <v>134</v>
      </c>
      <c r="K1534">
        <v>134</v>
      </c>
    </row>
    <row r="1535" spans="1:11">
      <c r="A1535">
        <v>90</v>
      </c>
      <c r="B1535" t="b">
        <v>0</v>
      </c>
      <c r="C1535" t="s">
        <v>40655</v>
      </c>
      <c r="D1535">
        <v>1037022454355</v>
      </c>
      <c r="E1535">
        <v>1</v>
      </c>
      <c r="F1535">
        <v>6068510512</v>
      </c>
      <c r="G1535">
        <v>19950</v>
      </c>
      <c r="H1535" t="s">
        <v>40293</v>
      </c>
      <c r="I1535">
        <v>5439</v>
      </c>
      <c r="J1535">
        <v>86</v>
      </c>
      <c r="K1535">
        <v>94</v>
      </c>
    </row>
    <row r="1536" spans="1:11">
      <c r="A1536">
        <v>90</v>
      </c>
      <c r="B1536" t="b">
        <v>0</v>
      </c>
      <c r="C1536" t="s">
        <v>40725</v>
      </c>
      <c r="D1536">
        <v>1037022454355</v>
      </c>
      <c r="E1536">
        <v>1</v>
      </c>
      <c r="F1536">
        <v>6067856722</v>
      </c>
      <c r="G1536">
        <v>128400</v>
      </c>
      <c r="H1536" t="s">
        <v>40293</v>
      </c>
      <c r="I1536">
        <v>5443</v>
      </c>
      <c r="J1536">
        <v>119</v>
      </c>
      <c r="K1536">
        <v>154</v>
      </c>
    </row>
    <row r="1537" spans="1:11">
      <c r="A1537">
        <v>90</v>
      </c>
      <c r="B1537" t="b">
        <v>0</v>
      </c>
      <c r="C1537" t="s">
        <v>42864</v>
      </c>
      <c r="D1537">
        <v>1037022454355</v>
      </c>
      <c r="E1537">
        <v>1</v>
      </c>
      <c r="F1537">
        <v>6134136411</v>
      </c>
      <c r="G1537">
        <v>128000</v>
      </c>
      <c r="H1537" t="s">
        <v>40293</v>
      </c>
      <c r="I1537">
        <v>5443</v>
      </c>
      <c r="J1537">
        <v>2</v>
      </c>
      <c r="K1537">
        <v>2</v>
      </c>
    </row>
    <row r="1538" spans="1:11">
      <c r="A1538">
        <v>90</v>
      </c>
      <c r="B1538" t="b">
        <v>0</v>
      </c>
      <c r="C1538" t="s">
        <v>42554</v>
      </c>
      <c r="D1538">
        <v>1037022454355</v>
      </c>
      <c r="E1538">
        <v>1</v>
      </c>
      <c r="F1538">
        <v>6134316704</v>
      </c>
      <c r="G1538">
        <v>126000</v>
      </c>
      <c r="H1538" t="s">
        <v>40293</v>
      </c>
      <c r="I1538">
        <v>5443</v>
      </c>
      <c r="J1538">
        <v>1</v>
      </c>
      <c r="K1538">
        <v>1</v>
      </c>
    </row>
    <row r="1539" spans="1:11">
      <c r="A1539">
        <v>90</v>
      </c>
      <c r="B1539" t="b">
        <v>0</v>
      </c>
      <c r="C1539" t="s">
        <v>42921</v>
      </c>
      <c r="D1539">
        <v>1037022454355</v>
      </c>
      <c r="E1539">
        <v>1</v>
      </c>
      <c r="F1539">
        <v>6142067838</v>
      </c>
      <c r="G1539">
        <v>125900</v>
      </c>
      <c r="H1539" t="s">
        <v>40293</v>
      </c>
      <c r="I1539">
        <v>5443</v>
      </c>
      <c r="J1539">
        <v>18</v>
      </c>
      <c r="K1539">
        <v>25</v>
      </c>
    </row>
    <row r="1540" spans="1:11">
      <c r="A1540">
        <v>90</v>
      </c>
      <c r="B1540" t="b">
        <v>0</v>
      </c>
      <c r="C1540" t="s">
        <v>40470</v>
      </c>
      <c r="D1540">
        <v>1037022454355</v>
      </c>
      <c r="E1540">
        <v>1</v>
      </c>
      <c r="F1540">
        <v>6067851337</v>
      </c>
      <c r="G1540">
        <v>66700</v>
      </c>
      <c r="H1540" t="s">
        <v>40293</v>
      </c>
      <c r="I1540">
        <v>5445</v>
      </c>
      <c r="J1540">
        <v>8</v>
      </c>
      <c r="K1540">
        <v>200</v>
      </c>
    </row>
    <row r="1541" spans="1:11">
      <c r="A1541">
        <v>90</v>
      </c>
      <c r="B1541" t="b">
        <v>0</v>
      </c>
      <c r="C1541" t="s">
        <v>45698</v>
      </c>
      <c r="D1541">
        <v>1037022454355</v>
      </c>
      <c r="E1541">
        <v>1</v>
      </c>
      <c r="F1541">
        <v>6156735785</v>
      </c>
      <c r="G1541">
        <v>50000</v>
      </c>
      <c r="H1541" t="s">
        <v>40293</v>
      </c>
      <c r="I1541">
        <v>5445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42289</v>
      </c>
      <c r="D1542">
        <v>1037022454355</v>
      </c>
      <c r="E1542">
        <v>1</v>
      </c>
      <c r="F1542">
        <v>6135775417</v>
      </c>
      <c r="G1542">
        <v>110000</v>
      </c>
      <c r="H1542" t="s">
        <v>40293</v>
      </c>
      <c r="I1542">
        <v>5493</v>
      </c>
      <c r="J1542">
        <v>111</v>
      </c>
      <c r="K1542">
        <v>121</v>
      </c>
    </row>
    <row r="1543" spans="1:11">
      <c r="A1543">
        <v>90</v>
      </c>
      <c r="B1543" t="b">
        <v>0</v>
      </c>
      <c r="C1543" t="s">
        <v>44485</v>
      </c>
      <c r="D1543">
        <v>1037022454355</v>
      </c>
      <c r="E1543">
        <v>1</v>
      </c>
      <c r="F1543">
        <v>6128802007</v>
      </c>
      <c r="G1543">
        <v>160000</v>
      </c>
      <c r="H1543" t="s">
        <v>40293</v>
      </c>
      <c r="I1543">
        <v>5533</v>
      </c>
      <c r="J1543">
        <v>30</v>
      </c>
      <c r="K1543">
        <v>105</v>
      </c>
    </row>
    <row r="1544" spans="1:11">
      <c r="A1544">
        <v>90</v>
      </c>
      <c r="B1544" t="b">
        <v>0</v>
      </c>
      <c r="C1544" t="s">
        <v>42293</v>
      </c>
      <c r="D1544">
        <v>1037022454355</v>
      </c>
      <c r="E1544">
        <v>1</v>
      </c>
      <c r="F1544">
        <v>6135775662</v>
      </c>
      <c r="G1544">
        <v>50010</v>
      </c>
      <c r="H1544" t="s">
        <v>40293</v>
      </c>
      <c r="I1544">
        <v>5599</v>
      </c>
      <c r="J1544">
        <v>199</v>
      </c>
      <c r="K1544">
        <v>199</v>
      </c>
    </row>
    <row r="1545" spans="1:11">
      <c r="A1545">
        <v>90</v>
      </c>
      <c r="B1545" t="b">
        <v>0</v>
      </c>
      <c r="C1545" t="s">
        <v>40985</v>
      </c>
      <c r="D1545">
        <v>1037022454355</v>
      </c>
      <c r="E1545">
        <v>1</v>
      </c>
      <c r="F1545">
        <v>6110642091</v>
      </c>
      <c r="G1545">
        <v>50000</v>
      </c>
      <c r="H1545" t="s">
        <v>40293</v>
      </c>
      <c r="I1545">
        <v>5599</v>
      </c>
      <c r="J1545">
        <v>126</v>
      </c>
      <c r="K1545">
        <v>149</v>
      </c>
    </row>
    <row r="1546" spans="1:11">
      <c r="A1546">
        <v>90</v>
      </c>
      <c r="B1546" t="b">
        <v>0</v>
      </c>
      <c r="C1546" t="s">
        <v>45075</v>
      </c>
      <c r="D1546">
        <v>1037022454355</v>
      </c>
      <c r="E1546">
        <v>1</v>
      </c>
      <c r="F1546">
        <v>6153418075</v>
      </c>
      <c r="G1546">
        <v>49970</v>
      </c>
      <c r="H1546" t="s">
        <v>40293</v>
      </c>
      <c r="I1546">
        <v>5599</v>
      </c>
      <c r="J1546">
        <v>2</v>
      </c>
      <c r="K1546">
        <v>2</v>
      </c>
    </row>
    <row r="1547" spans="1:11">
      <c r="A1547">
        <v>90</v>
      </c>
      <c r="B1547" t="b">
        <v>0</v>
      </c>
      <c r="C1547" t="s">
        <v>41814</v>
      </c>
      <c r="D1547">
        <v>1037022454355</v>
      </c>
      <c r="E1547">
        <v>1</v>
      </c>
      <c r="F1547">
        <v>6128801182</v>
      </c>
      <c r="G1547">
        <v>25010</v>
      </c>
      <c r="H1547" t="s">
        <v>40293</v>
      </c>
      <c r="I1547">
        <v>5631</v>
      </c>
      <c r="J1547">
        <v>134</v>
      </c>
      <c r="K1547">
        <v>134</v>
      </c>
    </row>
    <row r="1548" spans="1:11">
      <c r="A1548">
        <v>90</v>
      </c>
      <c r="B1548" t="b">
        <v>0</v>
      </c>
      <c r="C1548" t="s">
        <v>41498</v>
      </c>
      <c r="D1548">
        <v>1037022454355</v>
      </c>
      <c r="E1548">
        <v>1</v>
      </c>
      <c r="F1548">
        <v>6106834863</v>
      </c>
      <c r="G1548">
        <v>25000</v>
      </c>
      <c r="H1548" t="s">
        <v>40293</v>
      </c>
      <c r="I1548">
        <v>5631</v>
      </c>
      <c r="J1548">
        <v>20</v>
      </c>
      <c r="K1548">
        <v>50</v>
      </c>
    </row>
    <row r="1549" spans="1:11">
      <c r="A1549">
        <v>90</v>
      </c>
      <c r="B1549" t="b">
        <v>0</v>
      </c>
      <c r="C1549" t="s">
        <v>42299</v>
      </c>
      <c r="D1549">
        <v>1037022454355</v>
      </c>
      <c r="E1549">
        <v>1</v>
      </c>
      <c r="F1549">
        <v>6135775925</v>
      </c>
      <c r="G1549">
        <v>50000</v>
      </c>
      <c r="H1549" t="s">
        <v>40293</v>
      </c>
      <c r="I1549">
        <v>5647</v>
      </c>
      <c r="J1549">
        <v>127</v>
      </c>
      <c r="K1549">
        <v>127</v>
      </c>
    </row>
    <row r="1550" spans="1:11">
      <c r="A1550">
        <v>90</v>
      </c>
      <c r="B1550" t="b">
        <v>0</v>
      </c>
      <c r="C1550" t="s">
        <v>41501</v>
      </c>
      <c r="D1550">
        <v>1037022454355</v>
      </c>
      <c r="E1550">
        <v>1</v>
      </c>
      <c r="F1550">
        <v>6106834922</v>
      </c>
      <c r="G1550">
        <v>25000</v>
      </c>
      <c r="H1550" t="s">
        <v>40293</v>
      </c>
      <c r="I1550">
        <v>5647</v>
      </c>
      <c r="J1550">
        <v>42</v>
      </c>
      <c r="K1550">
        <v>50</v>
      </c>
    </row>
    <row r="1551" spans="1:11">
      <c r="A1551">
        <v>90</v>
      </c>
      <c r="B1551" t="b">
        <v>0</v>
      </c>
      <c r="C1551" t="s">
        <v>42697</v>
      </c>
      <c r="D1551">
        <v>1037022454355</v>
      </c>
      <c r="E1551">
        <v>1</v>
      </c>
      <c r="F1551">
        <v>6136519685</v>
      </c>
      <c r="G1551">
        <v>125000</v>
      </c>
      <c r="H1551" t="s">
        <v>40293</v>
      </c>
      <c r="I1551">
        <v>5649</v>
      </c>
      <c r="J1551">
        <v>50</v>
      </c>
      <c r="K1551">
        <v>50</v>
      </c>
    </row>
    <row r="1552" spans="1:11">
      <c r="A1552">
        <v>90</v>
      </c>
      <c r="B1552" t="b">
        <v>0</v>
      </c>
      <c r="C1552" t="s">
        <v>43246</v>
      </c>
      <c r="D1552">
        <v>1037022454355</v>
      </c>
      <c r="E1552">
        <v>1</v>
      </c>
      <c r="F1552">
        <v>6126086493</v>
      </c>
      <c r="G1552">
        <v>124000</v>
      </c>
      <c r="H1552" t="s">
        <v>40293</v>
      </c>
      <c r="I1552">
        <v>5649</v>
      </c>
      <c r="J1552">
        <v>34</v>
      </c>
      <c r="K1552">
        <v>35</v>
      </c>
    </row>
    <row r="1553" spans="1:11">
      <c r="A1553">
        <v>90</v>
      </c>
      <c r="B1553" t="b">
        <v>0</v>
      </c>
      <c r="C1553" t="s">
        <v>40329</v>
      </c>
      <c r="D1553">
        <v>1037022454355</v>
      </c>
      <c r="E1553">
        <v>1</v>
      </c>
      <c r="F1553">
        <v>6067848168</v>
      </c>
      <c r="G1553">
        <v>1897000</v>
      </c>
      <c r="H1553" t="s">
        <v>40293</v>
      </c>
      <c r="I1553">
        <v>5839</v>
      </c>
      <c r="J1553">
        <v>149</v>
      </c>
      <c r="K1553">
        <v>230</v>
      </c>
    </row>
    <row r="1554" spans="1:11">
      <c r="A1554">
        <v>90</v>
      </c>
      <c r="B1554" t="b">
        <v>0</v>
      </c>
      <c r="C1554" t="s">
        <v>41209</v>
      </c>
      <c r="D1554">
        <v>1037022454355</v>
      </c>
      <c r="E1554">
        <v>1</v>
      </c>
      <c r="F1554">
        <v>6119929841</v>
      </c>
      <c r="G1554">
        <v>1895000</v>
      </c>
      <c r="H1554" t="s">
        <v>40293</v>
      </c>
      <c r="I1554">
        <v>5839</v>
      </c>
      <c r="J1554">
        <v>5</v>
      </c>
      <c r="K1554">
        <v>11</v>
      </c>
    </row>
    <row r="1555" spans="1:11">
      <c r="A1555">
        <v>90</v>
      </c>
      <c r="B1555" t="b">
        <v>0</v>
      </c>
      <c r="C1555" t="s">
        <v>40504</v>
      </c>
      <c r="D1555">
        <v>1037022454355</v>
      </c>
      <c r="E1555">
        <v>1</v>
      </c>
      <c r="F1555">
        <v>6089380743</v>
      </c>
      <c r="G1555">
        <v>249900</v>
      </c>
      <c r="H1555" t="s">
        <v>40293</v>
      </c>
      <c r="I1555">
        <v>5849</v>
      </c>
      <c r="J1555">
        <v>1</v>
      </c>
      <c r="K1555">
        <v>1</v>
      </c>
    </row>
    <row r="1556" spans="1:11">
      <c r="A1556">
        <v>90</v>
      </c>
      <c r="B1556" t="b">
        <v>0</v>
      </c>
      <c r="C1556" t="s">
        <v>40519</v>
      </c>
      <c r="D1556">
        <v>1037022454355</v>
      </c>
      <c r="E1556">
        <v>1</v>
      </c>
      <c r="F1556">
        <v>6113825989</v>
      </c>
      <c r="G1556">
        <v>249800</v>
      </c>
      <c r="H1556" t="s">
        <v>40293</v>
      </c>
      <c r="I1556">
        <v>5849</v>
      </c>
      <c r="J1556">
        <v>120</v>
      </c>
      <c r="K1556">
        <v>127</v>
      </c>
    </row>
    <row r="1557" spans="1:11">
      <c r="A1557">
        <v>90</v>
      </c>
      <c r="B1557" t="b">
        <v>0</v>
      </c>
      <c r="C1557" t="s">
        <v>40781</v>
      </c>
      <c r="D1557">
        <v>1037022454355</v>
      </c>
      <c r="E1557">
        <v>1</v>
      </c>
      <c r="F1557">
        <v>6067858111</v>
      </c>
      <c r="G1557">
        <v>249500</v>
      </c>
      <c r="H1557" t="s">
        <v>40293</v>
      </c>
      <c r="I1557">
        <v>5849</v>
      </c>
      <c r="J1557">
        <v>237</v>
      </c>
      <c r="K1557">
        <v>266</v>
      </c>
    </row>
    <row r="1558" spans="1:11">
      <c r="A1558">
        <v>90</v>
      </c>
      <c r="B1558" t="b">
        <v>0</v>
      </c>
      <c r="C1558" t="s">
        <v>42001</v>
      </c>
      <c r="D1558">
        <v>1037022454355</v>
      </c>
      <c r="E1558">
        <v>1</v>
      </c>
      <c r="F1558">
        <v>6130401994</v>
      </c>
      <c r="G1558">
        <v>190000</v>
      </c>
      <c r="H1558" t="s">
        <v>40293</v>
      </c>
      <c r="I1558">
        <v>5849</v>
      </c>
      <c r="J1558">
        <v>33</v>
      </c>
      <c r="K1558">
        <v>76</v>
      </c>
    </row>
    <row r="1559" spans="1:11">
      <c r="A1559">
        <v>90</v>
      </c>
      <c r="B1559" t="b">
        <v>0</v>
      </c>
      <c r="C1559" t="s">
        <v>44465</v>
      </c>
      <c r="D1559">
        <v>1037022454355</v>
      </c>
      <c r="E1559">
        <v>1</v>
      </c>
      <c r="F1559">
        <v>6156294034</v>
      </c>
      <c r="G1559">
        <v>188800</v>
      </c>
      <c r="H1559" t="s">
        <v>40293</v>
      </c>
      <c r="I1559">
        <v>5849</v>
      </c>
      <c r="J1559">
        <v>3</v>
      </c>
      <c r="K1559">
        <v>3</v>
      </c>
    </row>
    <row r="1560" spans="1:11">
      <c r="A1560">
        <v>90</v>
      </c>
      <c r="B1560" t="b">
        <v>0</v>
      </c>
      <c r="C1560" t="s">
        <v>41884</v>
      </c>
      <c r="D1560">
        <v>1037022454355</v>
      </c>
      <c r="E1560">
        <v>1</v>
      </c>
      <c r="F1560">
        <v>6127043356</v>
      </c>
      <c r="G1560">
        <v>25000</v>
      </c>
      <c r="H1560" t="s">
        <v>40293</v>
      </c>
      <c r="I1560">
        <v>5869</v>
      </c>
      <c r="J1560">
        <v>49</v>
      </c>
      <c r="K1560">
        <v>50</v>
      </c>
    </row>
    <row r="1561" spans="1:11">
      <c r="A1561">
        <v>90</v>
      </c>
      <c r="B1561" t="b">
        <v>0</v>
      </c>
      <c r="C1561" t="s">
        <v>42202</v>
      </c>
      <c r="D1561">
        <v>1037022454355</v>
      </c>
      <c r="E1561">
        <v>1</v>
      </c>
      <c r="F1561">
        <v>6130078712</v>
      </c>
      <c r="G1561">
        <v>160000</v>
      </c>
      <c r="H1561" t="s">
        <v>40293</v>
      </c>
      <c r="I1561">
        <v>5933</v>
      </c>
      <c r="J1561">
        <v>47</v>
      </c>
      <c r="K1561">
        <v>53</v>
      </c>
    </row>
    <row r="1562" spans="1:11">
      <c r="A1562">
        <v>90</v>
      </c>
      <c r="B1562" t="b">
        <v>0</v>
      </c>
      <c r="C1562" t="s">
        <v>45343</v>
      </c>
      <c r="D1562">
        <v>1037022454355</v>
      </c>
      <c r="E1562">
        <v>1</v>
      </c>
      <c r="F1562">
        <v>6149686270</v>
      </c>
      <c r="G1562">
        <v>159900</v>
      </c>
      <c r="H1562" t="s">
        <v>40293</v>
      </c>
      <c r="I1562">
        <v>5933</v>
      </c>
      <c r="J1562">
        <v>15</v>
      </c>
      <c r="K1562">
        <v>20</v>
      </c>
    </row>
    <row r="1563" spans="1:11">
      <c r="A1563">
        <v>90</v>
      </c>
      <c r="B1563" t="b">
        <v>0</v>
      </c>
      <c r="C1563" t="s">
        <v>45621</v>
      </c>
      <c r="D1563">
        <v>1037022454355</v>
      </c>
      <c r="E1563">
        <v>1</v>
      </c>
      <c r="F1563">
        <v>6148885884</v>
      </c>
      <c r="G1563">
        <v>700000</v>
      </c>
      <c r="H1563" t="s">
        <v>40293</v>
      </c>
      <c r="I1563">
        <v>5945</v>
      </c>
      <c r="J1563">
        <v>5</v>
      </c>
      <c r="K1563">
        <v>6</v>
      </c>
    </row>
    <row r="1564" spans="1:11">
      <c r="A1564">
        <v>90</v>
      </c>
      <c r="B1564" t="b">
        <v>0</v>
      </c>
      <c r="C1564" t="s">
        <v>45107</v>
      </c>
      <c r="D1564">
        <v>1037022454355</v>
      </c>
      <c r="E1564">
        <v>1</v>
      </c>
      <c r="F1564">
        <v>6151878351</v>
      </c>
      <c r="G1564">
        <v>350000</v>
      </c>
      <c r="H1564" t="s">
        <v>40293</v>
      </c>
      <c r="I1564">
        <v>5955</v>
      </c>
      <c r="J1564">
        <v>17</v>
      </c>
      <c r="K1564">
        <v>31</v>
      </c>
    </row>
    <row r="1565" spans="1:11">
      <c r="A1565">
        <v>90</v>
      </c>
      <c r="B1565" t="b">
        <v>0</v>
      </c>
      <c r="C1565" t="s">
        <v>44495</v>
      </c>
      <c r="D1565">
        <v>1037022454355</v>
      </c>
      <c r="E1565">
        <v>1</v>
      </c>
      <c r="F1565">
        <v>6151772489</v>
      </c>
      <c r="G1565">
        <v>250000</v>
      </c>
      <c r="H1565" t="s">
        <v>40293</v>
      </c>
      <c r="I1565">
        <v>5955</v>
      </c>
      <c r="J1565">
        <v>24</v>
      </c>
      <c r="K1565">
        <v>25</v>
      </c>
    </row>
    <row r="1566" spans="1:11">
      <c r="A1566">
        <v>90</v>
      </c>
      <c r="B1566" t="b">
        <v>0</v>
      </c>
      <c r="C1566" t="s">
        <v>40523</v>
      </c>
      <c r="D1566">
        <v>1037022454355</v>
      </c>
      <c r="E1566">
        <v>1</v>
      </c>
      <c r="F1566">
        <v>6094624141</v>
      </c>
      <c r="G1566">
        <v>393200</v>
      </c>
      <c r="H1566" t="s">
        <v>40293</v>
      </c>
      <c r="I1566">
        <v>5971</v>
      </c>
      <c r="J1566">
        <v>15</v>
      </c>
      <c r="K1566">
        <v>15</v>
      </c>
    </row>
    <row r="1567" spans="1:11">
      <c r="A1567">
        <v>90</v>
      </c>
      <c r="B1567" t="b">
        <v>0</v>
      </c>
      <c r="C1567" t="s">
        <v>40424</v>
      </c>
      <c r="D1567">
        <v>1037022454355</v>
      </c>
      <c r="E1567">
        <v>1</v>
      </c>
      <c r="F1567">
        <v>6073355501</v>
      </c>
      <c r="G1567">
        <v>393000</v>
      </c>
      <c r="H1567" t="s">
        <v>40293</v>
      </c>
      <c r="I1567">
        <v>5971</v>
      </c>
      <c r="J1567">
        <v>10</v>
      </c>
      <c r="K1567">
        <v>25</v>
      </c>
    </row>
    <row r="1568" spans="1:11">
      <c r="A1568">
        <v>90</v>
      </c>
      <c r="B1568" t="b">
        <v>0</v>
      </c>
      <c r="C1568" t="s">
        <v>40395</v>
      </c>
      <c r="D1568">
        <v>1037022454355</v>
      </c>
      <c r="E1568">
        <v>1</v>
      </c>
      <c r="F1568">
        <v>6108514724</v>
      </c>
      <c r="G1568">
        <v>50000</v>
      </c>
      <c r="H1568" t="s">
        <v>40293</v>
      </c>
      <c r="I1568">
        <v>5971</v>
      </c>
      <c r="J1568">
        <v>349</v>
      </c>
      <c r="K1568">
        <v>400</v>
      </c>
    </row>
    <row r="1569" spans="1:11">
      <c r="A1569">
        <v>90</v>
      </c>
      <c r="B1569" t="b">
        <v>0</v>
      </c>
      <c r="C1569" t="s">
        <v>43573</v>
      </c>
      <c r="D1569">
        <v>1037022454355</v>
      </c>
      <c r="E1569">
        <v>1</v>
      </c>
      <c r="F1569">
        <v>6140579300</v>
      </c>
      <c r="G1569">
        <v>50000</v>
      </c>
      <c r="H1569" t="s">
        <v>40293</v>
      </c>
      <c r="I1569">
        <v>5971</v>
      </c>
      <c r="J1569">
        <v>1</v>
      </c>
      <c r="K1569">
        <v>1</v>
      </c>
    </row>
    <row r="1570" spans="1:11">
      <c r="A1570">
        <v>90</v>
      </c>
      <c r="B1570" t="b">
        <v>0</v>
      </c>
      <c r="C1570" t="s">
        <v>44412</v>
      </c>
      <c r="D1570">
        <v>1037022454355</v>
      </c>
      <c r="E1570">
        <v>1</v>
      </c>
      <c r="F1570">
        <v>6153409662</v>
      </c>
      <c r="G1570">
        <v>49970</v>
      </c>
      <c r="H1570" t="s">
        <v>40293</v>
      </c>
      <c r="I1570">
        <v>5971</v>
      </c>
      <c r="J1570">
        <v>2</v>
      </c>
      <c r="K1570">
        <v>3</v>
      </c>
    </row>
    <row r="1571" spans="1:11">
      <c r="A1571">
        <v>90</v>
      </c>
      <c r="B1571" t="b">
        <v>0</v>
      </c>
      <c r="C1571" t="s">
        <v>46215</v>
      </c>
      <c r="D1571">
        <v>1037022454355</v>
      </c>
      <c r="E1571">
        <v>1</v>
      </c>
      <c r="F1571">
        <v>6153633039</v>
      </c>
      <c r="G1571">
        <v>49960</v>
      </c>
      <c r="H1571" t="s">
        <v>40293</v>
      </c>
      <c r="I1571">
        <v>5971</v>
      </c>
      <c r="J1571">
        <v>4</v>
      </c>
      <c r="K1571">
        <v>25</v>
      </c>
    </row>
    <row r="1572" spans="1:11">
      <c r="A1572">
        <v>90</v>
      </c>
      <c r="B1572" t="b">
        <v>0</v>
      </c>
      <c r="C1572" t="s">
        <v>46411</v>
      </c>
      <c r="D1572">
        <v>1037022454355</v>
      </c>
      <c r="E1572">
        <v>1</v>
      </c>
      <c r="F1572">
        <v>6156777828</v>
      </c>
      <c r="G1572">
        <v>375300</v>
      </c>
      <c r="H1572" t="s">
        <v>40293</v>
      </c>
      <c r="I1572">
        <v>5973</v>
      </c>
      <c r="J1572">
        <v>102</v>
      </c>
      <c r="K1572">
        <v>102</v>
      </c>
    </row>
    <row r="1573" spans="1:11">
      <c r="A1573">
        <v>90</v>
      </c>
      <c r="B1573" t="b">
        <v>0</v>
      </c>
      <c r="C1573" t="s">
        <v>45663</v>
      </c>
      <c r="D1573">
        <v>1037022454355</v>
      </c>
      <c r="E1573">
        <v>1</v>
      </c>
      <c r="F1573">
        <v>6157390645</v>
      </c>
      <c r="G1573">
        <v>375000</v>
      </c>
      <c r="H1573" t="s">
        <v>40293</v>
      </c>
      <c r="I1573">
        <v>5973</v>
      </c>
      <c r="J1573">
        <v>1</v>
      </c>
      <c r="K1573">
        <v>3</v>
      </c>
    </row>
    <row r="1574" spans="1:11">
      <c r="A1574">
        <v>90</v>
      </c>
      <c r="B1574" t="b">
        <v>0</v>
      </c>
      <c r="C1574" t="s">
        <v>41672</v>
      </c>
      <c r="D1574">
        <v>1037022454355</v>
      </c>
      <c r="E1574">
        <v>1</v>
      </c>
      <c r="F1574">
        <v>6090454949</v>
      </c>
      <c r="G1574">
        <v>393800</v>
      </c>
      <c r="H1574" t="s">
        <v>40293</v>
      </c>
      <c r="I1574">
        <v>5975</v>
      </c>
      <c r="J1574">
        <v>5</v>
      </c>
      <c r="K1574">
        <v>19</v>
      </c>
    </row>
    <row r="1575" spans="1:11">
      <c r="A1575">
        <v>90</v>
      </c>
      <c r="B1575" t="b">
        <v>0</v>
      </c>
      <c r="C1575" t="s">
        <v>41294</v>
      </c>
      <c r="D1575">
        <v>1037022454355</v>
      </c>
      <c r="E1575">
        <v>1</v>
      </c>
      <c r="F1575">
        <v>6096704729</v>
      </c>
      <c r="G1575">
        <v>393500</v>
      </c>
      <c r="H1575" t="s">
        <v>40293</v>
      </c>
      <c r="I1575">
        <v>5975</v>
      </c>
      <c r="J1575">
        <v>1</v>
      </c>
      <c r="K1575">
        <v>4</v>
      </c>
    </row>
    <row r="1576" spans="1:11">
      <c r="A1576">
        <v>90</v>
      </c>
      <c r="B1576" t="b">
        <v>0</v>
      </c>
      <c r="C1576" t="s">
        <v>41348</v>
      </c>
      <c r="D1576">
        <v>1037022454355</v>
      </c>
      <c r="E1576">
        <v>1</v>
      </c>
      <c r="F1576">
        <v>6103163912</v>
      </c>
      <c r="G1576">
        <v>393400</v>
      </c>
      <c r="H1576" t="s">
        <v>40293</v>
      </c>
      <c r="I1576">
        <v>5975</v>
      </c>
      <c r="J1576">
        <v>6</v>
      </c>
      <c r="K1576">
        <v>25</v>
      </c>
    </row>
    <row r="1577" spans="1:11">
      <c r="A1577">
        <v>90</v>
      </c>
      <c r="B1577" t="b">
        <v>0</v>
      </c>
      <c r="C1577" t="s">
        <v>41497</v>
      </c>
      <c r="D1577">
        <v>1037022454355</v>
      </c>
      <c r="E1577">
        <v>1</v>
      </c>
      <c r="F1577">
        <v>6115714965</v>
      </c>
      <c r="G1577">
        <v>75000</v>
      </c>
      <c r="H1577" t="s">
        <v>40293</v>
      </c>
      <c r="I1577">
        <v>5975</v>
      </c>
      <c r="J1577">
        <v>298</v>
      </c>
      <c r="K1577">
        <v>300</v>
      </c>
    </row>
    <row r="1578" spans="1:11">
      <c r="A1578">
        <v>90</v>
      </c>
      <c r="B1578" t="b">
        <v>0</v>
      </c>
      <c r="C1578" t="s">
        <v>40384</v>
      </c>
      <c r="D1578">
        <v>1037022454355</v>
      </c>
      <c r="E1578">
        <v>1</v>
      </c>
      <c r="F1578">
        <v>6067849403</v>
      </c>
      <c r="G1578">
        <v>50000</v>
      </c>
      <c r="H1578" t="s">
        <v>40293</v>
      </c>
      <c r="I1578">
        <v>5975</v>
      </c>
      <c r="J1578">
        <v>133</v>
      </c>
      <c r="K1578">
        <v>180</v>
      </c>
    </row>
    <row r="1579" spans="1:11">
      <c r="A1579">
        <v>90</v>
      </c>
      <c r="B1579" t="b">
        <v>0</v>
      </c>
      <c r="C1579" t="s">
        <v>41846</v>
      </c>
      <c r="D1579">
        <v>1037022454355</v>
      </c>
      <c r="E1579">
        <v>1</v>
      </c>
      <c r="F1579">
        <v>6128398773</v>
      </c>
      <c r="G1579">
        <v>49430</v>
      </c>
      <c r="H1579" t="s">
        <v>40293</v>
      </c>
      <c r="I1579">
        <v>5975</v>
      </c>
      <c r="J1579">
        <v>1</v>
      </c>
      <c r="K1579">
        <v>1</v>
      </c>
    </row>
    <row r="1580" spans="1:11">
      <c r="A1580">
        <v>90</v>
      </c>
      <c r="B1580" t="b">
        <v>0</v>
      </c>
      <c r="C1580" t="s">
        <v>41797</v>
      </c>
      <c r="D1580">
        <v>1037022454355</v>
      </c>
      <c r="E1580">
        <v>1</v>
      </c>
      <c r="F1580">
        <v>6116573067</v>
      </c>
      <c r="G1580">
        <v>48000</v>
      </c>
      <c r="H1580" t="s">
        <v>40293</v>
      </c>
      <c r="I1580">
        <v>5975</v>
      </c>
      <c r="J1580">
        <v>138</v>
      </c>
      <c r="K1580">
        <v>200</v>
      </c>
    </row>
    <row r="1581" spans="1:11">
      <c r="A1581">
        <v>90</v>
      </c>
      <c r="B1581" t="b">
        <v>0</v>
      </c>
      <c r="C1581" t="s">
        <v>40438</v>
      </c>
      <c r="D1581">
        <v>1037022454355</v>
      </c>
      <c r="E1581">
        <v>1</v>
      </c>
      <c r="F1581">
        <v>6094668366</v>
      </c>
      <c r="G1581">
        <v>498000</v>
      </c>
      <c r="H1581" t="s">
        <v>40293</v>
      </c>
      <c r="I1581">
        <v>6001</v>
      </c>
      <c r="J1581">
        <v>17</v>
      </c>
      <c r="K1581">
        <v>30</v>
      </c>
    </row>
    <row r="1582" spans="1:11">
      <c r="A1582">
        <v>90</v>
      </c>
      <c r="B1582" t="b">
        <v>0</v>
      </c>
      <c r="C1582" t="s">
        <v>40936</v>
      </c>
      <c r="D1582">
        <v>1037022454355</v>
      </c>
      <c r="E1582">
        <v>1</v>
      </c>
      <c r="F1582">
        <v>6100629900</v>
      </c>
      <c r="G1582">
        <v>495000</v>
      </c>
      <c r="H1582" t="s">
        <v>40293</v>
      </c>
      <c r="I1582">
        <v>6001</v>
      </c>
      <c r="J1582">
        <v>8</v>
      </c>
      <c r="K1582">
        <v>8</v>
      </c>
    </row>
    <row r="1583" spans="1:11">
      <c r="A1583">
        <v>90</v>
      </c>
      <c r="B1583" t="b">
        <v>0</v>
      </c>
      <c r="C1583" t="s">
        <v>40828</v>
      </c>
      <c r="D1583">
        <v>1037022454355</v>
      </c>
      <c r="E1583">
        <v>1</v>
      </c>
      <c r="F1583">
        <v>6097678193</v>
      </c>
      <c r="G1583">
        <v>429900</v>
      </c>
      <c r="H1583" t="s">
        <v>40293</v>
      </c>
      <c r="I1583">
        <v>6001</v>
      </c>
      <c r="J1583">
        <v>6</v>
      </c>
      <c r="K1583">
        <v>20</v>
      </c>
    </row>
    <row r="1584" spans="1:11">
      <c r="A1584">
        <v>90</v>
      </c>
      <c r="B1584" t="b">
        <v>0</v>
      </c>
      <c r="C1584" t="s">
        <v>40355</v>
      </c>
      <c r="D1584">
        <v>1037022454355</v>
      </c>
      <c r="E1584">
        <v>1</v>
      </c>
      <c r="F1584">
        <v>6096979483</v>
      </c>
      <c r="G1584">
        <v>449100</v>
      </c>
      <c r="H1584" t="s">
        <v>40293</v>
      </c>
      <c r="I1584">
        <v>6003</v>
      </c>
      <c r="J1584">
        <v>20</v>
      </c>
      <c r="K1584">
        <v>26</v>
      </c>
    </row>
    <row r="1585" spans="1:11">
      <c r="A1585">
        <v>90</v>
      </c>
      <c r="B1585" t="b">
        <v>0</v>
      </c>
      <c r="C1585" t="s">
        <v>44428</v>
      </c>
      <c r="D1585">
        <v>1037022454355</v>
      </c>
      <c r="E1585">
        <v>1</v>
      </c>
      <c r="F1585">
        <v>6073357626</v>
      </c>
      <c r="G1585">
        <v>449000</v>
      </c>
      <c r="H1585" t="s">
        <v>40293</v>
      </c>
      <c r="I1585">
        <v>6003</v>
      </c>
      <c r="J1585">
        <v>13</v>
      </c>
      <c r="K1585">
        <v>25</v>
      </c>
    </row>
    <row r="1586" spans="1:11">
      <c r="A1586">
        <v>90</v>
      </c>
      <c r="B1586" t="b">
        <v>0</v>
      </c>
      <c r="C1586" t="s">
        <v>41828</v>
      </c>
      <c r="D1586">
        <v>1037022454355</v>
      </c>
      <c r="E1586">
        <v>1</v>
      </c>
      <c r="F1586">
        <v>6128803300</v>
      </c>
      <c r="G1586">
        <v>39000</v>
      </c>
      <c r="H1586" t="s">
        <v>40293</v>
      </c>
      <c r="I1586">
        <v>6003</v>
      </c>
      <c r="J1586">
        <v>37</v>
      </c>
      <c r="K1586">
        <v>51</v>
      </c>
    </row>
    <row r="1587" spans="1:11">
      <c r="A1587">
        <v>90</v>
      </c>
      <c r="B1587" t="b">
        <v>0</v>
      </c>
      <c r="C1587" t="s">
        <v>41544</v>
      </c>
      <c r="D1587">
        <v>1037022454355</v>
      </c>
      <c r="E1587">
        <v>1</v>
      </c>
      <c r="F1587">
        <v>6116572341</v>
      </c>
      <c r="G1587">
        <v>50000</v>
      </c>
      <c r="H1587" t="s">
        <v>40293</v>
      </c>
      <c r="I1587">
        <v>6005</v>
      </c>
      <c r="J1587">
        <v>141</v>
      </c>
      <c r="K1587">
        <v>200</v>
      </c>
    </row>
    <row r="1588" spans="1:11">
      <c r="A1588">
        <v>90</v>
      </c>
      <c r="B1588" t="b">
        <v>0</v>
      </c>
      <c r="C1588" t="s">
        <v>45335</v>
      </c>
      <c r="D1588">
        <v>1037022454355</v>
      </c>
      <c r="E1588">
        <v>1</v>
      </c>
      <c r="F1588">
        <v>6151979965</v>
      </c>
      <c r="G1588">
        <v>40000</v>
      </c>
      <c r="H1588" t="s">
        <v>40293</v>
      </c>
      <c r="I1588">
        <v>6005</v>
      </c>
      <c r="J1588">
        <v>141</v>
      </c>
      <c r="K1588">
        <v>157</v>
      </c>
    </row>
    <row r="1589" spans="1:11">
      <c r="A1589">
        <v>90</v>
      </c>
      <c r="B1589" t="b">
        <v>0</v>
      </c>
      <c r="C1589" t="s">
        <v>44531</v>
      </c>
      <c r="D1589">
        <v>1037022454355</v>
      </c>
      <c r="E1589">
        <v>1</v>
      </c>
      <c r="F1589">
        <v>6090824507</v>
      </c>
      <c r="G1589">
        <v>100100</v>
      </c>
      <c r="H1589" t="s">
        <v>40293</v>
      </c>
      <c r="I1589">
        <v>6073</v>
      </c>
      <c r="J1589">
        <v>158</v>
      </c>
      <c r="K1589">
        <v>169</v>
      </c>
    </row>
    <row r="1590" spans="1:11">
      <c r="A1590">
        <v>90</v>
      </c>
      <c r="B1590" t="b">
        <v>0</v>
      </c>
      <c r="C1590" t="s">
        <v>42858</v>
      </c>
      <c r="D1590">
        <v>1037022454355</v>
      </c>
      <c r="E1590">
        <v>1</v>
      </c>
      <c r="F1590">
        <v>6078540322</v>
      </c>
      <c r="G1590">
        <v>99990</v>
      </c>
      <c r="H1590" t="s">
        <v>40293</v>
      </c>
      <c r="I1590">
        <v>6073</v>
      </c>
      <c r="J1590">
        <v>81</v>
      </c>
      <c r="K1590">
        <v>103</v>
      </c>
    </row>
    <row r="1591" spans="1:11">
      <c r="A1591">
        <v>90</v>
      </c>
      <c r="B1591" t="b">
        <v>0</v>
      </c>
      <c r="C1591" t="s">
        <v>40914</v>
      </c>
      <c r="D1591">
        <v>1037022454355</v>
      </c>
      <c r="E1591">
        <v>1</v>
      </c>
      <c r="F1591">
        <v>6097287038</v>
      </c>
      <c r="G1591">
        <v>99990</v>
      </c>
      <c r="H1591" t="s">
        <v>40293</v>
      </c>
      <c r="I1591">
        <v>6073</v>
      </c>
      <c r="J1591">
        <v>6</v>
      </c>
      <c r="K1591">
        <v>33</v>
      </c>
    </row>
    <row r="1592" spans="1:11">
      <c r="A1592">
        <v>90</v>
      </c>
      <c r="B1592" t="b">
        <v>0</v>
      </c>
      <c r="C1592" t="s">
        <v>42722</v>
      </c>
      <c r="D1592">
        <v>1037022454355</v>
      </c>
      <c r="E1592">
        <v>1</v>
      </c>
      <c r="F1592">
        <v>6135767208</v>
      </c>
      <c r="G1592">
        <v>50010</v>
      </c>
      <c r="H1592" t="s">
        <v>40293</v>
      </c>
      <c r="I1592">
        <v>6073</v>
      </c>
      <c r="J1592">
        <v>176</v>
      </c>
      <c r="K1592">
        <v>176</v>
      </c>
    </row>
    <row r="1593" spans="1:11">
      <c r="A1593">
        <v>90</v>
      </c>
      <c r="B1593" t="b">
        <v>0</v>
      </c>
      <c r="C1593" t="s">
        <v>41901</v>
      </c>
      <c r="D1593">
        <v>1037022454355</v>
      </c>
      <c r="E1593">
        <v>1</v>
      </c>
      <c r="F1593">
        <v>6127044687</v>
      </c>
      <c r="G1593">
        <v>50000</v>
      </c>
      <c r="H1593" t="s">
        <v>40293</v>
      </c>
      <c r="I1593">
        <v>6073</v>
      </c>
      <c r="J1593">
        <v>7</v>
      </c>
      <c r="K1593">
        <v>26</v>
      </c>
    </row>
    <row r="1594" spans="1:11">
      <c r="A1594">
        <v>90</v>
      </c>
      <c r="B1594" t="b">
        <v>0</v>
      </c>
      <c r="C1594" t="s">
        <v>42454</v>
      </c>
      <c r="D1594">
        <v>1037022454355</v>
      </c>
      <c r="E1594">
        <v>1</v>
      </c>
      <c r="F1594">
        <v>6133066033</v>
      </c>
      <c r="G1594">
        <v>1499000</v>
      </c>
      <c r="H1594" t="s">
        <v>40293</v>
      </c>
      <c r="I1594">
        <v>6131</v>
      </c>
      <c r="J1594">
        <v>2</v>
      </c>
      <c r="K1594">
        <v>6</v>
      </c>
    </row>
    <row r="1595" spans="1:11">
      <c r="A1595">
        <v>90</v>
      </c>
      <c r="B1595" t="b">
        <v>0</v>
      </c>
      <c r="C1595" t="s">
        <v>45268</v>
      </c>
      <c r="D1595">
        <v>1037022454355</v>
      </c>
      <c r="E1595">
        <v>1</v>
      </c>
      <c r="F1595">
        <v>6156795992</v>
      </c>
      <c r="G1595">
        <v>5990000</v>
      </c>
      <c r="H1595" t="s">
        <v>40293</v>
      </c>
      <c r="I1595">
        <v>6135</v>
      </c>
      <c r="J1595">
        <v>4</v>
      </c>
      <c r="K1595">
        <v>4</v>
      </c>
    </row>
    <row r="1596" spans="1:11">
      <c r="A1596">
        <v>90</v>
      </c>
      <c r="B1596" t="b">
        <v>0</v>
      </c>
      <c r="C1596" t="s">
        <v>41881</v>
      </c>
      <c r="D1596">
        <v>1037022454355</v>
      </c>
      <c r="E1596">
        <v>1</v>
      </c>
      <c r="F1596">
        <v>6127042980</v>
      </c>
      <c r="G1596">
        <v>55000</v>
      </c>
      <c r="H1596" t="s">
        <v>40293</v>
      </c>
      <c r="I1596">
        <v>6159</v>
      </c>
      <c r="J1596">
        <v>50</v>
      </c>
      <c r="K1596">
        <v>50</v>
      </c>
    </row>
    <row r="1597" spans="1:11">
      <c r="A1597">
        <v>90</v>
      </c>
      <c r="B1597" t="b">
        <v>0</v>
      </c>
      <c r="C1597" t="s">
        <v>42500</v>
      </c>
      <c r="D1597">
        <v>1037022454355</v>
      </c>
      <c r="E1597">
        <v>1</v>
      </c>
      <c r="F1597">
        <v>6134477869</v>
      </c>
      <c r="G1597">
        <v>50010</v>
      </c>
      <c r="H1597" t="s">
        <v>40293</v>
      </c>
      <c r="I1597">
        <v>6159</v>
      </c>
      <c r="J1597">
        <v>194</v>
      </c>
      <c r="K1597">
        <v>200</v>
      </c>
    </row>
    <row r="1598" spans="1:11">
      <c r="A1598">
        <v>90</v>
      </c>
      <c r="B1598" t="b">
        <v>0</v>
      </c>
      <c r="C1598" t="s">
        <v>41988</v>
      </c>
      <c r="D1598">
        <v>1037022454355</v>
      </c>
      <c r="E1598">
        <v>1</v>
      </c>
      <c r="F1598">
        <v>6067288964</v>
      </c>
      <c r="G1598">
        <v>496800</v>
      </c>
      <c r="H1598" t="s">
        <v>40293</v>
      </c>
      <c r="I1598">
        <v>6160</v>
      </c>
      <c r="J1598">
        <v>36</v>
      </c>
      <c r="K1598">
        <v>55</v>
      </c>
    </row>
    <row r="1599" spans="1:11">
      <c r="A1599">
        <v>90</v>
      </c>
      <c r="B1599" t="b">
        <v>0</v>
      </c>
      <c r="C1599" t="s">
        <v>42478</v>
      </c>
      <c r="D1599">
        <v>1037022454355</v>
      </c>
      <c r="E1599">
        <v>1</v>
      </c>
      <c r="F1599">
        <v>6102101658</v>
      </c>
      <c r="G1599">
        <v>494700</v>
      </c>
      <c r="H1599" t="s">
        <v>40293</v>
      </c>
      <c r="I1599">
        <v>6160</v>
      </c>
      <c r="J1599">
        <v>11</v>
      </c>
      <c r="K1599">
        <v>25</v>
      </c>
    </row>
    <row r="1600" spans="1:11">
      <c r="A1600">
        <v>90</v>
      </c>
      <c r="B1600" t="b">
        <v>0</v>
      </c>
      <c r="C1600" t="s">
        <v>42808</v>
      </c>
      <c r="D1600">
        <v>1037022454355</v>
      </c>
      <c r="E1600">
        <v>1</v>
      </c>
      <c r="F1600">
        <v>6136689402</v>
      </c>
      <c r="G1600">
        <v>347200</v>
      </c>
      <c r="H1600" t="s">
        <v>40293</v>
      </c>
      <c r="I1600">
        <v>6160</v>
      </c>
      <c r="J1600">
        <v>1</v>
      </c>
      <c r="K1600">
        <v>1</v>
      </c>
    </row>
    <row r="1601" spans="1:11">
      <c r="A1601">
        <v>90</v>
      </c>
      <c r="B1601" t="b">
        <v>0</v>
      </c>
      <c r="C1601" t="s">
        <v>42556</v>
      </c>
      <c r="D1601">
        <v>1037022454355</v>
      </c>
      <c r="E1601">
        <v>1</v>
      </c>
      <c r="F1601">
        <v>6134480645</v>
      </c>
      <c r="G1601">
        <v>50000</v>
      </c>
      <c r="H1601" t="s">
        <v>40293</v>
      </c>
      <c r="I1601">
        <v>6160</v>
      </c>
      <c r="J1601">
        <v>182</v>
      </c>
      <c r="K1601">
        <v>200</v>
      </c>
    </row>
    <row r="1602" spans="1:11">
      <c r="A1602">
        <v>90</v>
      </c>
      <c r="B1602" t="b">
        <v>0</v>
      </c>
      <c r="C1602" t="s">
        <v>41251</v>
      </c>
      <c r="D1602">
        <v>1037022454355</v>
      </c>
      <c r="E1602">
        <v>1</v>
      </c>
      <c r="F1602">
        <v>6122459648</v>
      </c>
      <c r="G1602">
        <v>299000</v>
      </c>
      <c r="H1602" t="s">
        <v>40293</v>
      </c>
      <c r="I1602">
        <v>6173</v>
      </c>
      <c r="J1602">
        <v>4</v>
      </c>
      <c r="K1602">
        <v>5</v>
      </c>
    </row>
    <row r="1603" spans="1:11">
      <c r="A1603">
        <v>90</v>
      </c>
      <c r="B1603" t="b">
        <v>0</v>
      </c>
      <c r="C1603" t="s">
        <v>41298</v>
      </c>
      <c r="D1603">
        <v>1037022454355</v>
      </c>
      <c r="E1603">
        <v>1</v>
      </c>
      <c r="F1603">
        <v>6122919187</v>
      </c>
      <c r="G1603">
        <v>298000</v>
      </c>
      <c r="H1603" t="s">
        <v>40293</v>
      </c>
      <c r="I1603">
        <v>6173</v>
      </c>
      <c r="J1603">
        <v>1</v>
      </c>
      <c r="K1603">
        <v>1</v>
      </c>
    </row>
    <row r="1604" spans="1:11">
      <c r="A1604">
        <v>90</v>
      </c>
      <c r="B1604" t="b">
        <v>0</v>
      </c>
      <c r="C1604" t="s">
        <v>41790</v>
      </c>
      <c r="D1604">
        <v>1037022454355</v>
      </c>
      <c r="E1604">
        <v>1</v>
      </c>
      <c r="F1604">
        <v>6126143658</v>
      </c>
      <c r="G1604">
        <v>296200</v>
      </c>
      <c r="H1604" t="s">
        <v>40293</v>
      </c>
      <c r="I1604">
        <v>6173</v>
      </c>
      <c r="J1604">
        <v>25</v>
      </c>
      <c r="K1604">
        <v>25</v>
      </c>
    </row>
    <row r="1605" spans="1:11">
      <c r="A1605">
        <v>90</v>
      </c>
      <c r="B1605" t="b">
        <v>0</v>
      </c>
      <c r="C1605" t="s">
        <v>42147</v>
      </c>
      <c r="D1605">
        <v>1037022454355</v>
      </c>
      <c r="E1605">
        <v>1</v>
      </c>
      <c r="F1605">
        <v>6129927978</v>
      </c>
      <c r="G1605">
        <v>50000</v>
      </c>
      <c r="H1605" t="s">
        <v>40293</v>
      </c>
      <c r="I1605">
        <v>6173</v>
      </c>
      <c r="J1605">
        <v>39</v>
      </c>
      <c r="K1605">
        <v>109</v>
      </c>
    </row>
    <row r="1606" spans="1:11">
      <c r="A1606">
        <v>90</v>
      </c>
      <c r="B1606" t="b">
        <v>0</v>
      </c>
      <c r="C1606" t="s">
        <v>42123</v>
      </c>
      <c r="D1606">
        <v>1037022454355</v>
      </c>
      <c r="E1606">
        <v>1</v>
      </c>
      <c r="F1606">
        <v>6129928678</v>
      </c>
      <c r="G1606">
        <v>50000</v>
      </c>
      <c r="H1606" t="s">
        <v>40293</v>
      </c>
      <c r="I1606">
        <v>6176</v>
      </c>
      <c r="J1606">
        <v>107</v>
      </c>
      <c r="K1606">
        <v>109</v>
      </c>
    </row>
    <row r="1607" spans="1:11">
      <c r="A1607">
        <v>90</v>
      </c>
      <c r="B1607" t="b">
        <v>0</v>
      </c>
      <c r="C1607" t="s">
        <v>40869</v>
      </c>
      <c r="D1607">
        <v>1037022454355</v>
      </c>
      <c r="E1607">
        <v>1</v>
      </c>
      <c r="F1607">
        <v>6097220537</v>
      </c>
      <c r="G1607">
        <v>500000</v>
      </c>
      <c r="H1607" t="s">
        <v>40293</v>
      </c>
      <c r="I1607">
        <v>6296</v>
      </c>
      <c r="J1607">
        <v>23</v>
      </c>
      <c r="K1607">
        <v>23</v>
      </c>
    </row>
    <row r="1608" spans="1:11">
      <c r="A1608">
        <v>90</v>
      </c>
      <c r="B1608" t="b">
        <v>0</v>
      </c>
      <c r="C1608" t="s">
        <v>41783</v>
      </c>
      <c r="D1608">
        <v>1037022454355</v>
      </c>
      <c r="E1608">
        <v>1</v>
      </c>
      <c r="F1608">
        <v>6127042746</v>
      </c>
      <c r="G1608">
        <v>150000</v>
      </c>
      <c r="H1608" t="s">
        <v>40293</v>
      </c>
      <c r="I1608">
        <v>6296</v>
      </c>
      <c r="J1608">
        <v>46</v>
      </c>
      <c r="K1608">
        <v>50</v>
      </c>
    </row>
    <row r="1609" spans="1:11">
      <c r="A1609">
        <v>90</v>
      </c>
      <c r="B1609" t="b">
        <v>0</v>
      </c>
      <c r="C1609" t="s">
        <v>42758</v>
      </c>
      <c r="D1609">
        <v>1037022454355</v>
      </c>
      <c r="E1609">
        <v>1</v>
      </c>
      <c r="F1609">
        <v>6126069808</v>
      </c>
      <c r="G1609">
        <v>149000</v>
      </c>
      <c r="H1609" t="s">
        <v>40293</v>
      </c>
      <c r="I1609">
        <v>6296</v>
      </c>
      <c r="J1609">
        <v>19</v>
      </c>
      <c r="K1609">
        <v>20</v>
      </c>
    </row>
    <row r="1610" spans="1:11">
      <c r="A1610">
        <v>90</v>
      </c>
      <c r="B1610" t="b">
        <v>0</v>
      </c>
      <c r="C1610" t="s">
        <v>42547</v>
      </c>
      <c r="D1610">
        <v>1037022454355</v>
      </c>
      <c r="E1610">
        <v>1</v>
      </c>
      <c r="F1610">
        <v>6134480303</v>
      </c>
      <c r="G1610">
        <v>50000</v>
      </c>
      <c r="H1610" t="s">
        <v>40293</v>
      </c>
      <c r="I1610">
        <v>6296</v>
      </c>
      <c r="J1610">
        <v>186</v>
      </c>
      <c r="K1610">
        <v>186</v>
      </c>
    </row>
    <row r="1611" spans="1:11">
      <c r="A1611">
        <v>90</v>
      </c>
      <c r="B1611" t="b">
        <v>0</v>
      </c>
      <c r="C1611" t="s">
        <v>42702</v>
      </c>
      <c r="D1611">
        <v>1037022454355</v>
      </c>
      <c r="E1611">
        <v>1</v>
      </c>
      <c r="F1611">
        <v>6079176003</v>
      </c>
      <c r="G1611">
        <v>49800</v>
      </c>
      <c r="H1611" t="s">
        <v>40293</v>
      </c>
      <c r="I1611">
        <v>6296</v>
      </c>
      <c r="J1611">
        <v>5</v>
      </c>
      <c r="K1611">
        <v>26</v>
      </c>
    </row>
    <row r="1612" spans="1:11">
      <c r="A1612">
        <v>90</v>
      </c>
      <c r="B1612" t="b">
        <v>0</v>
      </c>
      <c r="C1612" t="s">
        <v>44522</v>
      </c>
      <c r="D1612">
        <v>1037022454355</v>
      </c>
      <c r="E1612">
        <v>1</v>
      </c>
      <c r="F1612">
        <v>6156294843</v>
      </c>
      <c r="G1612">
        <v>49790</v>
      </c>
      <c r="H1612" t="s">
        <v>40293</v>
      </c>
      <c r="I1612">
        <v>6296</v>
      </c>
      <c r="J1612">
        <v>9</v>
      </c>
      <c r="K1612">
        <v>10</v>
      </c>
    </row>
    <row r="1613" spans="1:11">
      <c r="A1613">
        <v>90</v>
      </c>
      <c r="B1613" t="b">
        <v>0</v>
      </c>
      <c r="C1613" t="s">
        <v>42150</v>
      </c>
      <c r="D1613">
        <v>1037022454355</v>
      </c>
      <c r="E1613">
        <v>1</v>
      </c>
      <c r="F1613">
        <v>6129929271</v>
      </c>
      <c r="G1613">
        <v>70000</v>
      </c>
      <c r="H1613" t="s">
        <v>40293</v>
      </c>
      <c r="I1613">
        <v>6325</v>
      </c>
      <c r="J1613">
        <v>99</v>
      </c>
      <c r="K1613">
        <v>100</v>
      </c>
    </row>
    <row r="1614" spans="1:11">
      <c r="A1614">
        <v>90</v>
      </c>
      <c r="B1614" t="b">
        <v>0</v>
      </c>
      <c r="C1614" t="s">
        <v>42186</v>
      </c>
      <c r="D1614">
        <v>1037022454355</v>
      </c>
      <c r="E1614">
        <v>1</v>
      </c>
      <c r="F1614">
        <v>6130785094</v>
      </c>
      <c r="G1614">
        <v>149000</v>
      </c>
      <c r="H1614" t="s">
        <v>40293</v>
      </c>
      <c r="I1614">
        <v>6437</v>
      </c>
      <c r="J1614">
        <v>101</v>
      </c>
      <c r="K1614">
        <v>101</v>
      </c>
    </row>
    <row r="1615" spans="1:11">
      <c r="A1615">
        <v>90</v>
      </c>
      <c r="B1615" t="b">
        <v>0</v>
      </c>
      <c r="C1615" t="s">
        <v>42034</v>
      </c>
      <c r="D1615">
        <v>1037022454355</v>
      </c>
      <c r="E1615">
        <v>1</v>
      </c>
      <c r="F1615">
        <v>6129258233</v>
      </c>
      <c r="G1615">
        <v>148000</v>
      </c>
      <c r="H1615" t="s">
        <v>40293</v>
      </c>
      <c r="I1615">
        <v>6437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42216</v>
      </c>
      <c r="D1616">
        <v>1037022454355</v>
      </c>
      <c r="E1616">
        <v>1</v>
      </c>
      <c r="F1616">
        <v>6073247442</v>
      </c>
      <c r="G1616">
        <v>147900</v>
      </c>
      <c r="H1616" t="s">
        <v>40293</v>
      </c>
      <c r="I1616">
        <v>6437</v>
      </c>
      <c r="J1616">
        <v>25</v>
      </c>
      <c r="K1616">
        <v>25</v>
      </c>
    </row>
    <row r="1617" spans="1:11">
      <c r="A1617">
        <v>90</v>
      </c>
      <c r="B1617" t="b">
        <v>0</v>
      </c>
      <c r="C1617" t="s">
        <v>42195</v>
      </c>
      <c r="D1617">
        <v>1037022454355</v>
      </c>
      <c r="E1617">
        <v>1</v>
      </c>
      <c r="F1617">
        <v>6131230017</v>
      </c>
      <c r="G1617">
        <v>80000</v>
      </c>
      <c r="H1617" t="s">
        <v>40293</v>
      </c>
      <c r="I1617">
        <v>6441</v>
      </c>
      <c r="J1617">
        <v>101</v>
      </c>
      <c r="K1617">
        <v>102</v>
      </c>
    </row>
    <row r="1618" spans="1:11">
      <c r="A1618">
        <v>90</v>
      </c>
      <c r="B1618" t="b">
        <v>0</v>
      </c>
      <c r="C1618" t="s">
        <v>42627</v>
      </c>
      <c r="D1618">
        <v>1037022454355</v>
      </c>
      <c r="E1618">
        <v>1</v>
      </c>
      <c r="F1618">
        <v>6069406627</v>
      </c>
      <c r="G1618">
        <v>199900</v>
      </c>
      <c r="H1618" t="s">
        <v>40293</v>
      </c>
      <c r="I1618">
        <v>6485</v>
      </c>
      <c r="J1618">
        <v>53</v>
      </c>
      <c r="K1618">
        <v>67</v>
      </c>
    </row>
    <row r="1619" spans="1:11">
      <c r="A1619">
        <v>90</v>
      </c>
      <c r="B1619" t="b">
        <v>0</v>
      </c>
      <c r="C1619" t="s">
        <v>45424</v>
      </c>
      <c r="D1619">
        <v>1037022454355</v>
      </c>
      <c r="E1619">
        <v>1</v>
      </c>
      <c r="F1619">
        <v>6150637520</v>
      </c>
      <c r="G1619">
        <v>199800</v>
      </c>
      <c r="H1619" t="s">
        <v>40293</v>
      </c>
      <c r="I1619">
        <v>6485</v>
      </c>
      <c r="J1619">
        <v>25</v>
      </c>
      <c r="K1619">
        <v>25</v>
      </c>
    </row>
    <row r="1620" spans="1:11">
      <c r="A1620">
        <v>90</v>
      </c>
      <c r="B1620" t="b">
        <v>0</v>
      </c>
      <c r="C1620" t="s">
        <v>42683</v>
      </c>
      <c r="D1620">
        <v>1037022454355</v>
      </c>
      <c r="E1620">
        <v>1</v>
      </c>
      <c r="F1620">
        <v>6068623624</v>
      </c>
      <c r="G1620">
        <v>499800</v>
      </c>
      <c r="H1620" t="s">
        <v>40293</v>
      </c>
      <c r="I1620">
        <v>6527</v>
      </c>
      <c r="J1620">
        <v>6</v>
      </c>
      <c r="K1620">
        <v>16</v>
      </c>
    </row>
    <row r="1621" spans="1:11">
      <c r="A1621">
        <v>90</v>
      </c>
      <c r="B1621" t="b">
        <v>0</v>
      </c>
      <c r="C1621" t="s">
        <v>42835</v>
      </c>
      <c r="D1621">
        <v>1037022454355</v>
      </c>
      <c r="E1621">
        <v>1</v>
      </c>
      <c r="F1621">
        <v>6127352007</v>
      </c>
      <c r="G1621">
        <v>499400</v>
      </c>
      <c r="H1621" t="s">
        <v>40293</v>
      </c>
      <c r="I1621">
        <v>6527</v>
      </c>
      <c r="J1621">
        <v>5</v>
      </c>
      <c r="K1621">
        <v>10</v>
      </c>
    </row>
    <row r="1622" spans="1:11">
      <c r="A1622">
        <v>90</v>
      </c>
      <c r="B1622" t="b">
        <v>0</v>
      </c>
      <c r="C1622" t="s">
        <v>40596</v>
      </c>
      <c r="D1622">
        <v>1037022454355</v>
      </c>
      <c r="E1622">
        <v>1</v>
      </c>
      <c r="F1622">
        <v>6098688691</v>
      </c>
      <c r="G1622">
        <v>500000</v>
      </c>
      <c r="H1622" t="s">
        <v>40293</v>
      </c>
      <c r="I1622">
        <v>6569</v>
      </c>
      <c r="J1622">
        <v>22</v>
      </c>
      <c r="K1622">
        <v>50</v>
      </c>
    </row>
    <row r="1623" spans="1:11">
      <c r="A1623">
        <v>90</v>
      </c>
      <c r="B1623" t="b">
        <v>0</v>
      </c>
      <c r="C1623" t="s">
        <v>45427</v>
      </c>
      <c r="D1623">
        <v>1037022454355</v>
      </c>
      <c r="E1623">
        <v>1</v>
      </c>
      <c r="F1623">
        <v>6156797959</v>
      </c>
      <c r="G1623">
        <v>499000</v>
      </c>
      <c r="H1623" t="s">
        <v>40293</v>
      </c>
      <c r="I1623">
        <v>6569</v>
      </c>
      <c r="J1623">
        <v>6</v>
      </c>
      <c r="K1623">
        <v>6</v>
      </c>
    </row>
    <row r="1624" spans="1:11">
      <c r="A1624">
        <v>90</v>
      </c>
      <c r="B1624" t="b">
        <v>0</v>
      </c>
      <c r="C1624" t="s">
        <v>41471</v>
      </c>
      <c r="D1624">
        <v>1037022454355</v>
      </c>
      <c r="E1624">
        <v>1</v>
      </c>
      <c r="F1624">
        <v>6123857441</v>
      </c>
      <c r="G1624">
        <v>100000</v>
      </c>
      <c r="H1624" t="s">
        <v>40293</v>
      </c>
      <c r="I1624">
        <v>6569</v>
      </c>
      <c r="J1624">
        <v>5</v>
      </c>
      <c r="K1624">
        <v>20</v>
      </c>
    </row>
    <row r="1625" spans="1:11">
      <c r="A1625">
        <v>90</v>
      </c>
      <c r="B1625" t="b">
        <v>0</v>
      </c>
      <c r="C1625" t="s">
        <v>43014</v>
      </c>
      <c r="D1625">
        <v>1037022454355</v>
      </c>
      <c r="E1625">
        <v>1</v>
      </c>
      <c r="F1625">
        <v>6139318556</v>
      </c>
      <c r="G1625">
        <v>10000</v>
      </c>
      <c r="H1625" t="s">
        <v>40293</v>
      </c>
      <c r="I1625">
        <v>6633</v>
      </c>
      <c r="J1625">
        <v>1</v>
      </c>
      <c r="K1625">
        <v>1</v>
      </c>
    </row>
    <row r="1626" spans="1:11">
      <c r="A1626">
        <v>90</v>
      </c>
      <c r="B1626" t="b">
        <v>0</v>
      </c>
      <c r="C1626" t="s">
        <v>43674</v>
      </c>
      <c r="D1626">
        <v>1037022454355</v>
      </c>
      <c r="E1626">
        <v>1</v>
      </c>
      <c r="F1626">
        <v>6141074579</v>
      </c>
      <c r="G1626">
        <v>1801000</v>
      </c>
      <c r="H1626" t="s">
        <v>40293</v>
      </c>
      <c r="I1626">
        <v>6635</v>
      </c>
      <c r="J1626">
        <v>25</v>
      </c>
      <c r="K1626">
        <v>25</v>
      </c>
    </row>
    <row r="1627" spans="1:11">
      <c r="A1627">
        <v>90</v>
      </c>
      <c r="B1627" t="b">
        <v>0</v>
      </c>
      <c r="C1627" t="s">
        <v>40652</v>
      </c>
      <c r="D1627">
        <v>1037022454355</v>
      </c>
      <c r="E1627">
        <v>1</v>
      </c>
      <c r="F1627">
        <v>6102949638</v>
      </c>
      <c r="G1627">
        <v>1000000</v>
      </c>
      <c r="H1627" t="s">
        <v>40293</v>
      </c>
      <c r="I1627">
        <v>6863</v>
      </c>
      <c r="J1627">
        <v>4</v>
      </c>
      <c r="K1627">
        <v>4</v>
      </c>
    </row>
    <row r="1628" spans="1:11">
      <c r="A1628">
        <v>90</v>
      </c>
      <c r="B1628" t="b">
        <v>0</v>
      </c>
      <c r="C1628" t="s">
        <v>43553</v>
      </c>
      <c r="D1628">
        <v>1037022454355</v>
      </c>
      <c r="E1628">
        <v>1</v>
      </c>
      <c r="F1628">
        <v>6073961316</v>
      </c>
      <c r="G1628">
        <v>750100</v>
      </c>
      <c r="H1628" t="s">
        <v>40293</v>
      </c>
      <c r="I1628">
        <v>6923</v>
      </c>
      <c r="J1628">
        <v>228</v>
      </c>
      <c r="K1628">
        <v>228</v>
      </c>
    </row>
    <row r="1629" spans="1:11">
      <c r="A1629">
        <v>90</v>
      </c>
      <c r="B1629" t="b">
        <v>0</v>
      </c>
      <c r="C1629" t="s">
        <v>43454</v>
      </c>
      <c r="D1629">
        <v>1037022454355</v>
      </c>
      <c r="E1629">
        <v>1</v>
      </c>
      <c r="F1629">
        <v>6140411404</v>
      </c>
      <c r="G1629">
        <v>750000</v>
      </c>
      <c r="H1629" t="s">
        <v>40293</v>
      </c>
      <c r="I1629">
        <v>6923</v>
      </c>
      <c r="J1629">
        <v>20</v>
      </c>
      <c r="K1629">
        <v>25</v>
      </c>
    </row>
    <row r="1630" spans="1:11">
      <c r="A1630">
        <v>90</v>
      </c>
      <c r="B1630" t="b">
        <v>0</v>
      </c>
      <c r="C1630" t="s">
        <v>40416</v>
      </c>
      <c r="D1630">
        <v>1037022454355</v>
      </c>
      <c r="E1630">
        <v>1</v>
      </c>
      <c r="F1630">
        <v>6070995865</v>
      </c>
      <c r="G1630">
        <v>1800000</v>
      </c>
      <c r="H1630" t="s">
        <v>40293</v>
      </c>
      <c r="I1630">
        <v>6925</v>
      </c>
      <c r="J1630">
        <v>35</v>
      </c>
      <c r="K1630">
        <v>35</v>
      </c>
    </row>
    <row r="1631" spans="1:11">
      <c r="A1631">
        <v>90</v>
      </c>
      <c r="B1631" t="b">
        <v>0</v>
      </c>
      <c r="C1631" t="s">
        <v>41149</v>
      </c>
      <c r="D1631">
        <v>1037022454355</v>
      </c>
      <c r="E1631">
        <v>1</v>
      </c>
      <c r="F1631">
        <v>6070996096</v>
      </c>
      <c r="G1631">
        <v>900000</v>
      </c>
      <c r="H1631" t="s">
        <v>40293</v>
      </c>
      <c r="I1631">
        <v>6961</v>
      </c>
      <c r="J1631">
        <v>53</v>
      </c>
      <c r="K1631">
        <v>55</v>
      </c>
    </row>
    <row r="1632" spans="1:11">
      <c r="A1632">
        <v>90</v>
      </c>
      <c r="B1632" t="b">
        <v>0</v>
      </c>
      <c r="C1632" t="s">
        <v>43540</v>
      </c>
      <c r="D1632">
        <v>1037022454355</v>
      </c>
      <c r="E1632">
        <v>1</v>
      </c>
      <c r="F1632">
        <v>6073960883</v>
      </c>
      <c r="G1632">
        <v>1001000</v>
      </c>
      <c r="H1632" t="s">
        <v>40293</v>
      </c>
      <c r="I1632">
        <v>6963</v>
      </c>
      <c r="J1632">
        <v>188</v>
      </c>
      <c r="K1632">
        <v>191</v>
      </c>
    </row>
    <row r="1633" spans="1:11">
      <c r="A1633">
        <v>90</v>
      </c>
      <c r="B1633" t="b">
        <v>0</v>
      </c>
      <c r="C1633" t="s">
        <v>43217</v>
      </c>
      <c r="D1633">
        <v>1037022454355</v>
      </c>
      <c r="E1633">
        <v>1</v>
      </c>
      <c r="F1633">
        <v>6143911686</v>
      </c>
      <c r="G1633">
        <v>666700</v>
      </c>
      <c r="H1633" t="s">
        <v>40293</v>
      </c>
      <c r="I1633">
        <v>7043</v>
      </c>
      <c r="J1633">
        <v>4</v>
      </c>
      <c r="K1633">
        <v>4</v>
      </c>
    </row>
    <row r="1634" spans="1:11">
      <c r="A1634">
        <v>90</v>
      </c>
      <c r="B1634" t="b">
        <v>0</v>
      </c>
      <c r="C1634" t="s">
        <v>43647</v>
      </c>
      <c r="D1634">
        <v>1037022454355</v>
      </c>
      <c r="E1634">
        <v>1</v>
      </c>
      <c r="F1634">
        <v>6144808791</v>
      </c>
      <c r="G1634">
        <v>666600</v>
      </c>
      <c r="H1634" t="s">
        <v>40293</v>
      </c>
      <c r="I1634">
        <v>7043</v>
      </c>
      <c r="J1634">
        <v>1</v>
      </c>
      <c r="K1634">
        <v>1</v>
      </c>
    </row>
    <row r="1635" spans="1:11">
      <c r="A1635">
        <v>90</v>
      </c>
      <c r="B1635" t="b">
        <v>0</v>
      </c>
      <c r="C1635" t="s">
        <v>41941</v>
      </c>
      <c r="D1635">
        <v>1037022454355</v>
      </c>
      <c r="E1635">
        <v>1</v>
      </c>
      <c r="F1635">
        <v>6128295386</v>
      </c>
      <c r="G1635">
        <v>699900</v>
      </c>
      <c r="H1635" t="s">
        <v>40293</v>
      </c>
      <c r="I1635">
        <v>7085</v>
      </c>
      <c r="J1635">
        <v>20</v>
      </c>
      <c r="K1635">
        <v>20</v>
      </c>
    </row>
    <row r="1636" spans="1:11">
      <c r="A1636">
        <v>90</v>
      </c>
      <c r="B1636" t="b">
        <v>0</v>
      </c>
      <c r="C1636" t="s">
        <v>40818</v>
      </c>
      <c r="D1636">
        <v>1037022454355</v>
      </c>
      <c r="E1636">
        <v>1</v>
      </c>
      <c r="F1636">
        <v>6099447344</v>
      </c>
      <c r="G1636">
        <v>999900</v>
      </c>
      <c r="H1636" t="s">
        <v>40293</v>
      </c>
      <c r="I1636">
        <v>7087</v>
      </c>
      <c r="J1636">
        <v>8</v>
      </c>
      <c r="K1636">
        <v>25</v>
      </c>
    </row>
    <row r="1637" spans="1:11">
      <c r="A1637">
        <v>90</v>
      </c>
      <c r="B1637" t="b">
        <v>0</v>
      </c>
      <c r="C1637" t="s">
        <v>43217</v>
      </c>
      <c r="D1637">
        <v>1037022454355</v>
      </c>
      <c r="E1637">
        <v>1</v>
      </c>
      <c r="F1637">
        <v>6143911657</v>
      </c>
      <c r="G1637">
        <v>333400</v>
      </c>
      <c r="H1637" t="s">
        <v>40293</v>
      </c>
      <c r="I1637">
        <v>7125</v>
      </c>
      <c r="J1637">
        <v>5</v>
      </c>
      <c r="K1637">
        <v>5</v>
      </c>
    </row>
    <row r="1638" spans="1:11">
      <c r="A1638">
        <v>90</v>
      </c>
      <c r="B1638" t="b">
        <v>0</v>
      </c>
      <c r="C1638" t="s">
        <v>43574</v>
      </c>
      <c r="D1638">
        <v>1037022454355</v>
      </c>
      <c r="E1638">
        <v>1</v>
      </c>
      <c r="F1638">
        <v>6073961968</v>
      </c>
      <c r="G1638">
        <v>650100</v>
      </c>
      <c r="H1638" t="s">
        <v>40293</v>
      </c>
      <c r="I1638">
        <v>7127</v>
      </c>
      <c r="J1638">
        <v>161</v>
      </c>
      <c r="K1638">
        <v>177</v>
      </c>
    </row>
    <row r="1639" spans="1:11">
      <c r="A1639">
        <v>90</v>
      </c>
      <c r="B1639" t="b">
        <v>0</v>
      </c>
      <c r="C1639" t="s">
        <v>43424</v>
      </c>
      <c r="D1639">
        <v>1037022454355</v>
      </c>
      <c r="E1639">
        <v>1</v>
      </c>
      <c r="F1639">
        <v>6143916812</v>
      </c>
      <c r="G1639">
        <v>333400</v>
      </c>
      <c r="H1639" t="s">
        <v>40293</v>
      </c>
      <c r="I1639">
        <v>7131</v>
      </c>
      <c r="J1639">
        <v>1</v>
      </c>
      <c r="K1639">
        <v>1</v>
      </c>
    </row>
    <row r="1640" spans="1:11">
      <c r="A1640">
        <v>30</v>
      </c>
      <c r="B1640" t="b">
        <v>0</v>
      </c>
      <c r="C1640" t="s">
        <v>45094</v>
      </c>
      <c r="D1640">
        <v>1037022454355</v>
      </c>
      <c r="E1640">
        <v>1</v>
      </c>
      <c r="F1640">
        <v>6152341775</v>
      </c>
      <c r="G1640">
        <v>720100</v>
      </c>
      <c r="H1640" t="s">
        <v>40293</v>
      </c>
      <c r="I1640">
        <v>7171</v>
      </c>
      <c r="J1640">
        <v>8</v>
      </c>
      <c r="K1640">
        <v>8</v>
      </c>
    </row>
    <row r="1641" spans="1:11">
      <c r="A1641">
        <v>90</v>
      </c>
      <c r="B1641" t="b">
        <v>0</v>
      </c>
      <c r="C1641" t="s">
        <v>43599</v>
      </c>
      <c r="D1641">
        <v>1037022454355</v>
      </c>
      <c r="E1641">
        <v>1</v>
      </c>
      <c r="F1641">
        <v>6073962624</v>
      </c>
      <c r="G1641">
        <v>720100</v>
      </c>
      <c r="H1641" t="s">
        <v>40293</v>
      </c>
      <c r="I1641">
        <v>7171</v>
      </c>
      <c r="J1641">
        <v>40</v>
      </c>
      <c r="K1641">
        <v>74</v>
      </c>
    </row>
    <row r="1642" spans="1:11">
      <c r="A1642">
        <v>90</v>
      </c>
      <c r="B1642" t="b">
        <v>0</v>
      </c>
      <c r="C1642" t="s">
        <v>41151</v>
      </c>
      <c r="D1642">
        <v>1037022454355</v>
      </c>
      <c r="E1642">
        <v>1</v>
      </c>
      <c r="F1642">
        <v>6104369972</v>
      </c>
      <c r="G1642">
        <v>900000</v>
      </c>
      <c r="H1642" t="s">
        <v>40293</v>
      </c>
      <c r="I1642">
        <v>7173</v>
      </c>
      <c r="J1642">
        <v>8</v>
      </c>
      <c r="K1642">
        <v>8</v>
      </c>
    </row>
    <row r="1643" spans="1:11">
      <c r="A1643">
        <v>90</v>
      </c>
      <c r="B1643" t="b">
        <v>0</v>
      </c>
      <c r="C1643" t="s">
        <v>43190</v>
      </c>
      <c r="D1643">
        <v>1037022454355</v>
      </c>
      <c r="E1643">
        <v>1</v>
      </c>
      <c r="F1643">
        <v>6140109528</v>
      </c>
      <c r="G1643">
        <v>650000</v>
      </c>
      <c r="H1643" t="s">
        <v>40293</v>
      </c>
      <c r="I1643">
        <v>7287</v>
      </c>
      <c r="J1643">
        <v>94</v>
      </c>
      <c r="K1643">
        <v>100</v>
      </c>
    </row>
    <row r="1644" spans="1:11">
      <c r="A1644">
        <v>90</v>
      </c>
      <c r="B1644" t="b">
        <v>0</v>
      </c>
      <c r="C1644" t="s">
        <v>43728</v>
      </c>
      <c r="D1644">
        <v>1037022454355</v>
      </c>
      <c r="E1644">
        <v>1</v>
      </c>
      <c r="F1644">
        <v>6073967320</v>
      </c>
      <c r="G1644">
        <v>450100</v>
      </c>
      <c r="H1644" t="s">
        <v>40293</v>
      </c>
      <c r="I1644">
        <v>7327</v>
      </c>
      <c r="J1644">
        <v>534</v>
      </c>
      <c r="K1644">
        <v>571</v>
      </c>
    </row>
    <row r="1645" spans="1:11">
      <c r="A1645">
        <v>90</v>
      </c>
      <c r="B1645" t="b">
        <v>0</v>
      </c>
      <c r="C1645" t="s">
        <v>42208</v>
      </c>
      <c r="D1645">
        <v>1037022454355</v>
      </c>
      <c r="E1645">
        <v>1</v>
      </c>
      <c r="F1645">
        <v>6130067073</v>
      </c>
      <c r="G1645">
        <v>490000</v>
      </c>
      <c r="H1645" t="s">
        <v>40293</v>
      </c>
      <c r="I1645">
        <v>7367</v>
      </c>
      <c r="J1645">
        <v>9</v>
      </c>
      <c r="K1645">
        <v>9</v>
      </c>
    </row>
    <row r="1646" spans="1:11">
      <c r="A1646">
        <v>90</v>
      </c>
      <c r="B1646" t="b">
        <v>0</v>
      </c>
      <c r="C1646" t="s">
        <v>44491</v>
      </c>
      <c r="D1646">
        <v>1037022454355</v>
      </c>
      <c r="E1646">
        <v>1</v>
      </c>
      <c r="F1646">
        <v>6090823967</v>
      </c>
      <c r="G1646">
        <v>469300</v>
      </c>
      <c r="H1646" t="s">
        <v>40293</v>
      </c>
      <c r="I1646">
        <v>7367</v>
      </c>
      <c r="J1646">
        <v>151</v>
      </c>
      <c r="K1646">
        <v>151</v>
      </c>
    </row>
    <row r="1647" spans="1:11">
      <c r="A1647">
        <v>90</v>
      </c>
      <c r="B1647" t="b">
        <v>0</v>
      </c>
      <c r="C1647" t="s">
        <v>41250</v>
      </c>
      <c r="D1647">
        <v>1037022454355</v>
      </c>
      <c r="E1647">
        <v>1</v>
      </c>
      <c r="F1647">
        <v>6087135726</v>
      </c>
      <c r="G1647">
        <v>468400</v>
      </c>
      <c r="H1647" t="s">
        <v>40293</v>
      </c>
      <c r="I1647">
        <v>7367</v>
      </c>
      <c r="J1647">
        <v>13</v>
      </c>
      <c r="K1647">
        <v>39</v>
      </c>
    </row>
    <row r="1648" spans="1:11">
      <c r="A1648">
        <v>90</v>
      </c>
      <c r="B1648" t="b">
        <v>0</v>
      </c>
      <c r="C1648" t="s">
        <v>41960</v>
      </c>
      <c r="D1648">
        <v>1037022454355</v>
      </c>
      <c r="E1648">
        <v>1</v>
      </c>
      <c r="F1648">
        <v>6126135776</v>
      </c>
      <c r="G1648">
        <v>468300</v>
      </c>
      <c r="H1648" t="s">
        <v>40293</v>
      </c>
      <c r="I1648">
        <v>7367</v>
      </c>
      <c r="J1648">
        <v>17</v>
      </c>
      <c r="K1648">
        <v>25</v>
      </c>
    </row>
    <row r="1649" spans="1:11">
      <c r="A1649">
        <v>90</v>
      </c>
      <c r="B1649" t="b">
        <v>0</v>
      </c>
      <c r="C1649" t="s">
        <v>44180</v>
      </c>
      <c r="D1649">
        <v>1037022454355</v>
      </c>
      <c r="E1649">
        <v>1</v>
      </c>
      <c r="F1649">
        <v>6154487743</v>
      </c>
      <c r="G1649">
        <v>400000</v>
      </c>
      <c r="H1649" t="s">
        <v>40293</v>
      </c>
      <c r="I1649">
        <v>7367</v>
      </c>
      <c r="J1649">
        <v>6</v>
      </c>
      <c r="K1649">
        <v>6</v>
      </c>
    </row>
    <row r="1650" spans="1:11">
      <c r="A1650">
        <v>30</v>
      </c>
      <c r="B1650" t="b">
        <v>0</v>
      </c>
      <c r="C1650" t="s">
        <v>43774</v>
      </c>
      <c r="D1650">
        <v>1037022454355</v>
      </c>
      <c r="E1650">
        <v>1</v>
      </c>
      <c r="F1650">
        <v>6144715022</v>
      </c>
      <c r="G1650">
        <v>249000</v>
      </c>
      <c r="H1650" t="s">
        <v>40293</v>
      </c>
      <c r="I1650">
        <v>7369</v>
      </c>
      <c r="J1650">
        <v>5</v>
      </c>
      <c r="K1650">
        <v>5</v>
      </c>
    </row>
    <row r="1651" spans="1:11">
      <c r="A1651">
        <v>90</v>
      </c>
      <c r="B1651" t="b">
        <v>0</v>
      </c>
      <c r="C1651" t="s">
        <v>42205</v>
      </c>
      <c r="D1651">
        <v>1037022454355</v>
      </c>
      <c r="E1651">
        <v>1</v>
      </c>
      <c r="F1651">
        <v>6130066781</v>
      </c>
      <c r="G1651">
        <v>130000</v>
      </c>
      <c r="H1651" t="s">
        <v>40293</v>
      </c>
      <c r="I1651">
        <v>7371</v>
      </c>
      <c r="J1651">
        <v>118</v>
      </c>
      <c r="K1651">
        <v>118</v>
      </c>
    </row>
    <row r="1652" spans="1:11">
      <c r="A1652">
        <v>90</v>
      </c>
      <c r="B1652" t="b">
        <v>0</v>
      </c>
      <c r="C1652" t="s">
        <v>45907</v>
      </c>
      <c r="D1652">
        <v>1037022454355</v>
      </c>
      <c r="E1652">
        <v>1</v>
      </c>
      <c r="F1652">
        <v>6155623848</v>
      </c>
      <c r="G1652">
        <v>100000</v>
      </c>
      <c r="H1652" t="s">
        <v>40293</v>
      </c>
      <c r="I1652">
        <v>7373</v>
      </c>
      <c r="J1652">
        <v>12</v>
      </c>
      <c r="K1652">
        <v>12</v>
      </c>
    </row>
    <row r="1653" spans="1:11">
      <c r="A1653">
        <v>90</v>
      </c>
      <c r="B1653" t="b">
        <v>0</v>
      </c>
      <c r="C1653" t="s">
        <v>43333</v>
      </c>
      <c r="D1653">
        <v>1037022454355</v>
      </c>
      <c r="E1653">
        <v>1</v>
      </c>
      <c r="F1653">
        <v>6142767482</v>
      </c>
      <c r="G1653">
        <v>74990</v>
      </c>
      <c r="H1653" t="s">
        <v>40293</v>
      </c>
      <c r="I1653">
        <v>7373</v>
      </c>
      <c r="J1653">
        <v>6</v>
      </c>
      <c r="K1653">
        <v>6</v>
      </c>
    </row>
    <row r="1654" spans="1:11">
      <c r="A1654">
        <v>90</v>
      </c>
      <c r="B1654" t="b">
        <v>0</v>
      </c>
      <c r="C1654" t="s">
        <v>40464</v>
      </c>
      <c r="D1654">
        <v>1037022454355</v>
      </c>
      <c r="E1654">
        <v>1</v>
      </c>
      <c r="F1654">
        <v>6087118695</v>
      </c>
      <c r="G1654">
        <v>1084000</v>
      </c>
      <c r="H1654" t="s">
        <v>40293</v>
      </c>
      <c r="I1654">
        <v>7447</v>
      </c>
      <c r="J1654">
        <v>62</v>
      </c>
      <c r="K1654">
        <v>65</v>
      </c>
    </row>
    <row r="1655" spans="1:11">
      <c r="A1655">
        <v>90</v>
      </c>
      <c r="B1655" t="b">
        <v>0</v>
      </c>
      <c r="C1655" t="s">
        <v>41093</v>
      </c>
      <c r="D1655">
        <v>1037022454355</v>
      </c>
      <c r="E1655">
        <v>1</v>
      </c>
      <c r="F1655">
        <v>6118067148</v>
      </c>
      <c r="G1655">
        <v>1083000</v>
      </c>
      <c r="H1655" t="s">
        <v>40293</v>
      </c>
      <c r="I1655">
        <v>7447</v>
      </c>
      <c r="J1655">
        <v>2</v>
      </c>
      <c r="K1655">
        <v>22</v>
      </c>
    </row>
    <row r="1656" spans="1:11">
      <c r="A1656">
        <v>90</v>
      </c>
      <c r="B1656" t="b">
        <v>0</v>
      </c>
      <c r="C1656" t="s">
        <v>42047</v>
      </c>
      <c r="D1656">
        <v>1037022454355</v>
      </c>
      <c r="E1656">
        <v>1</v>
      </c>
      <c r="F1656">
        <v>6130766861</v>
      </c>
      <c r="G1656">
        <v>1201000</v>
      </c>
      <c r="H1656" t="s">
        <v>40293</v>
      </c>
      <c r="I1656">
        <v>7579</v>
      </c>
      <c r="J1656">
        <v>20</v>
      </c>
      <c r="K1656">
        <v>20</v>
      </c>
    </row>
    <row r="1657" spans="1:11">
      <c r="A1657">
        <v>90</v>
      </c>
      <c r="B1657" t="b">
        <v>0</v>
      </c>
      <c r="C1657" t="s">
        <v>43763</v>
      </c>
      <c r="D1657">
        <v>1037022454355</v>
      </c>
      <c r="E1657">
        <v>1</v>
      </c>
      <c r="F1657">
        <v>6073968551</v>
      </c>
      <c r="G1657">
        <v>1201000</v>
      </c>
      <c r="H1657" t="s">
        <v>40293</v>
      </c>
      <c r="I1657">
        <v>7579</v>
      </c>
      <c r="J1657">
        <v>53</v>
      </c>
      <c r="K1657">
        <v>138</v>
      </c>
    </row>
    <row r="1658" spans="1:11">
      <c r="A1658">
        <v>90</v>
      </c>
      <c r="B1658" t="b">
        <v>0</v>
      </c>
      <c r="C1658" t="s">
        <v>42184</v>
      </c>
      <c r="D1658">
        <v>1037022454355</v>
      </c>
      <c r="E1658">
        <v>1</v>
      </c>
      <c r="F1658">
        <v>6130771039</v>
      </c>
      <c r="G1658">
        <v>190000</v>
      </c>
      <c r="H1658" t="s">
        <v>40293</v>
      </c>
      <c r="I1658">
        <v>7583</v>
      </c>
      <c r="J1658">
        <v>106</v>
      </c>
      <c r="K1658">
        <v>106</v>
      </c>
    </row>
    <row r="1659" spans="1:11">
      <c r="A1659">
        <v>90</v>
      </c>
      <c r="B1659" t="b">
        <v>0</v>
      </c>
      <c r="C1659" t="s">
        <v>43744</v>
      </c>
      <c r="D1659">
        <v>1037022454355</v>
      </c>
      <c r="E1659">
        <v>1</v>
      </c>
      <c r="F1659">
        <v>6073967864</v>
      </c>
      <c r="G1659">
        <v>840100</v>
      </c>
      <c r="H1659" t="s">
        <v>40293</v>
      </c>
      <c r="I1659">
        <v>7619</v>
      </c>
      <c r="J1659">
        <v>34</v>
      </c>
      <c r="K1659">
        <v>36</v>
      </c>
    </row>
    <row r="1660" spans="1:11">
      <c r="A1660">
        <v>90</v>
      </c>
      <c r="B1660" t="b">
        <v>0</v>
      </c>
      <c r="C1660" t="s">
        <v>43787</v>
      </c>
      <c r="D1660">
        <v>1037022454355</v>
      </c>
      <c r="E1660">
        <v>1</v>
      </c>
      <c r="F1660">
        <v>6073969240</v>
      </c>
      <c r="G1660">
        <v>800100</v>
      </c>
      <c r="H1660" t="s">
        <v>40293</v>
      </c>
      <c r="I1660">
        <v>7703</v>
      </c>
      <c r="J1660">
        <v>315</v>
      </c>
      <c r="K1660">
        <v>328</v>
      </c>
    </row>
    <row r="1661" spans="1:11">
      <c r="A1661">
        <v>90</v>
      </c>
      <c r="B1661" t="b">
        <v>0</v>
      </c>
      <c r="C1661" t="s">
        <v>46019</v>
      </c>
      <c r="D1661">
        <v>1037022454355</v>
      </c>
      <c r="E1661">
        <v>1</v>
      </c>
      <c r="F1661">
        <v>6154019590</v>
      </c>
      <c r="G1661">
        <v>788800</v>
      </c>
      <c r="H1661" t="s">
        <v>40293</v>
      </c>
      <c r="I1661">
        <v>7703</v>
      </c>
      <c r="J1661">
        <v>25</v>
      </c>
      <c r="K1661">
        <v>25</v>
      </c>
    </row>
    <row r="1662" spans="1:11">
      <c r="A1662">
        <v>90</v>
      </c>
      <c r="B1662" t="b">
        <v>0</v>
      </c>
      <c r="C1662" t="s">
        <v>44852</v>
      </c>
      <c r="D1662">
        <v>1037022454355</v>
      </c>
      <c r="E1662">
        <v>1</v>
      </c>
      <c r="F1662">
        <v>6151318176</v>
      </c>
      <c r="G1662">
        <v>788700</v>
      </c>
      <c r="H1662" t="s">
        <v>40293</v>
      </c>
      <c r="I1662">
        <v>7703</v>
      </c>
      <c r="J1662">
        <v>2</v>
      </c>
      <c r="K1662">
        <v>5</v>
      </c>
    </row>
    <row r="1663" spans="1:11">
      <c r="A1663">
        <v>90</v>
      </c>
      <c r="B1663" t="b">
        <v>0</v>
      </c>
      <c r="C1663" t="s">
        <v>42085</v>
      </c>
      <c r="D1663">
        <v>1037022454355</v>
      </c>
      <c r="E1663">
        <v>1</v>
      </c>
      <c r="F1663">
        <v>6130771620</v>
      </c>
      <c r="G1663">
        <v>140000</v>
      </c>
      <c r="H1663" t="s">
        <v>40293</v>
      </c>
      <c r="I1663">
        <v>7707</v>
      </c>
      <c r="J1663">
        <v>109</v>
      </c>
      <c r="K1663">
        <v>109</v>
      </c>
    </row>
    <row r="1664" spans="1:11">
      <c r="A1664">
        <v>90</v>
      </c>
      <c r="B1664" t="b">
        <v>0</v>
      </c>
      <c r="C1664" t="s">
        <v>43778</v>
      </c>
      <c r="D1664">
        <v>1037022454355</v>
      </c>
      <c r="E1664">
        <v>1</v>
      </c>
      <c r="F1664">
        <v>6073968992</v>
      </c>
      <c r="G1664">
        <v>720100</v>
      </c>
      <c r="H1664" t="s">
        <v>40293</v>
      </c>
      <c r="I1664">
        <v>7783</v>
      </c>
      <c r="J1664">
        <v>77</v>
      </c>
      <c r="K1664">
        <v>100</v>
      </c>
    </row>
    <row r="1665" spans="1:11">
      <c r="A1665">
        <v>90</v>
      </c>
      <c r="B1665" t="b">
        <v>0</v>
      </c>
      <c r="C1665" t="s">
        <v>41956</v>
      </c>
      <c r="D1665">
        <v>1037022454355</v>
      </c>
      <c r="E1665">
        <v>1</v>
      </c>
      <c r="F1665">
        <v>6126135332</v>
      </c>
      <c r="G1665">
        <v>719900</v>
      </c>
      <c r="H1665" t="s">
        <v>40293</v>
      </c>
      <c r="I1665">
        <v>7783</v>
      </c>
      <c r="J1665">
        <v>13</v>
      </c>
      <c r="K1665">
        <v>25</v>
      </c>
    </row>
    <row r="1666" spans="1:11">
      <c r="A1666">
        <v>90</v>
      </c>
      <c r="B1666" t="b">
        <v>0</v>
      </c>
      <c r="C1666" t="s">
        <v>41335</v>
      </c>
      <c r="D1666">
        <v>1037022454355</v>
      </c>
      <c r="E1666">
        <v>1</v>
      </c>
      <c r="F1666">
        <v>6104962849</v>
      </c>
      <c r="G1666">
        <v>1101000</v>
      </c>
      <c r="H1666" t="s">
        <v>40293</v>
      </c>
      <c r="I1666">
        <v>7827</v>
      </c>
      <c r="J1666">
        <v>6</v>
      </c>
      <c r="K1666">
        <v>6</v>
      </c>
    </row>
    <row r="1667" spans="1:11">
      <c r="A1667">
        <v>90</v>
      </c>
      <c r="B1667" t="b">
        <v>0</v>
      </c>
      <c r="C1667" t="s">
        <v>43139</v>
      </c>
      <c r="D1667">
        <v>1037022454355</v>
      </c>
      <c r="E1667">
        <v>1</v>
      </c>
      <c r="F1667">
        <v>6123494760</v>
      </c>
      <c r="G1667">
        <v>744600</v>
      </c>
      <c r="H1667" t="s">
        <v>40293</v>
      </c>
      <c r="I1667">
        <v>7997</v>
      </c>
      <c r="J1667">
        <v>12</v>
      </c>
      <c r="K1667">
        <v>22</v>
      </c>
    </row>
    <row r="1668" spans="1:11">
      <c r="A1668">
        <v>90</v>
      </c>
      <c r="B1668" t="b">
        <v>0</v>
      </c>
      <c r="C1668" t="s">
        <v>46056</v>
      </c>
      <c r="D1668">
        <v>1037022454355</v>
      </c>
      <c r="E1668">
        <v>1</v>
      </c>
      <c r="F1668">
        <v>6126134579</v>
      </c>
      <c r="G1668">
        <v>744500</v>
      </c>
      <c r="H1668" t="s">
        <v>40293</v>
      </c>
      <c r="I1668">
        <v>7997</v>
      </c>
      <c r="J1668">
        <v>10</v>
      </c>
      <c r="K1668">
        <v>25</v>
      </c>
    </row>
    <row r="1669" spans="1:11">
      <c r="A1669">
        <v>90</v>
      </c>
      <c r="B1669" t="b">
        <v>0</v>
      </c>
      <c r="C1669" t="s">
        <v>42511</v>
      </c>
      <c r="D1669">
        <v>1037022454355</v>
      </c>
      <c r="E1669">
        <v>1</v>
      </c>
      <c r="F1669">
        <v>6132610756</v>
      </c>
      <c r="G1669">
        <v>20580</v>
      </c>
      <c r="H1669" t="s">
        <v>40293</v>
      </c>
      <c r="I1669">
        <v>8001</v>
      </c>
      <c r="J1669">
        <v>1</v>
      </c>
      <c r="K1669">
        <v>1</v>
      </c>
    </row>
    <row r="1670" spans="1:11">
      <c r="A1670">
        <v>90</v>
      </c>
      <c r="B1670" t="b">
        <v>0</v>
      </c>
      <c r="C1670" t="s">
        <v>40801</v>
      </c>
      <c r="D1670">
        <v>1037022454355</v>
      </c>
      <c r="E1670">
        <v>1</v>
      </c>
      <c r="F1670">
        <v>6121041082</v>
      </c>
      <c r="G1670">
        <v>324000</v>
      </c>
      <c r="H1670" t="s">
        <v>40293</v>
      </c>
      <c r="I1670">
        <v>8007</v>
      </c>
      <c r="J1670">
        <v>509</v>
      </c>
      <c r="K1670">
        <v>533</v>
      </c>
    </row>
    <row r="1671" spans="1:11">
      <c r="A1671">
        <v>90</v>
      </c>
      <c r="B1671" t="b">
        <v>0</v>
      </c>
      <c r="C1671" t="s">
        <v>42099</v>
      </c>
      <c r="D1671">
        <v>1037022454355</v>
      </c>
      <c r="E1671">
        <v>1</v>
      </c>
      <c r="F1671">
        <v>6130773361</v>
      </c>
      <c r="G1671">
        <v>70000</v>
      </c>
      <c r="H1671" t="s">
        <v>40293</v>
      </c>
      <c r="I1671">
        <v>8023</v>
      </c>
      <c r="J1671">
        <v>100</v>
      </c>
      <c r="K1671">
        <v>109</v>
      </c>
    </row>
    <row r="1672" spans="1:11">
      <c r="A1672">
        <v>90</v>
      </c>
      <c r="B1672" t="b">
        <v>0</v>
      </c>
      <c r="C1672" t="s">
        <v>40582</v>
      </c>
      <c r="D1672">
        <v>1037022454355</v>
      </c>
      <c r="E1672">
        <v>1</v>
      </c>
      <c r="F1672">
        <v>6094625214</v>
      </c>
      <c r="G1672">
        <v>200000</v>
      </c>
      <c r="H1672" t="s">
        <v>40293</v>
      </c>
      <c r="I1672">
        <v>8025</v>
      </c>
      <c r="J1672">
        <v>10</v>
      </c>
      <c r="K1672">
        <v>45</v>
      </c>
    </row>
    <row r="1673" spans="1:11">
      <c r="A1673">
        <v>90</v>
      </c>
      <c r="B1673" t="b">
        <v>0</v>
      </c>
      <c r="C1673" t="s">
        <v>44447</v>
      </c>
      <c r="D1673">
        <v>1037022454355</v>
      </c>
      <c r="E1673">
        <v>1</v>
      </c>
      <c r="F1673">
        <v>6152296006</v>
      </c>
      <c r="G1673">
        <v>199900</v>
      </c>
      <c r="H1673" t="s">
        <v>40293</v>
      </c>
      <c r="I1673">
        <v>8025</v>
      </c>
      <c r="J1673">
        <v>8</v>
      </c>
      <c r="K1673">
        <v>8</v>
      </c>
    </row>
    <row r="1674" spans="1:11">
      <c r="A1674">
        <v>90</v>
      </c>
      <c r="B1674" t="b">
        <v>0</v>
      </c>
      <c r="C1674" t="s">
        <v>42068</v>
      </c>
      <c r="D1674">
        <v>1037022454355</v>
      </c>
      <c r="E1674">
        <v>1</v>
      </c>
      <c r="F1674">
        <v>6130769618</v>
      </c>
      <c r="G1674">
        <v>2501000</v>
      </c>
      <c r="H1674" t="s">
        <v>40293</v>
      </c>
      <c r="I1674">
        <v>8027</v>
      </c>
      <c r="J1674">
        <v>30</v>
      </c>
      <c r="K1674">
        <v>30</v>
      </c>
    </row>
    <row r="1675" spans="1:11">
      <c r="A1675">
        <v>90</v>
      </c>
      <c r="B1675" t="b">
        <v>0</v>
      </c>
      <c r="C1675" t="s">
        <v>42393</v>
      </c>
      <c r="D1675">
        <v>1037022454355</v>
      </c>
      <c r="E1675">
        <v>1</v>
      </c>
      <c r="F1675">
        <v>6132243384</v>
      </c>
      <c r="G1675">
        <v>2497000</v>
      </c>
      <c r="H1675" t="s">
        <v>40293</v>
      </c>
      <c r="I1675">
        <v>8027</v>
      </c>
      <c r="J1675">
        <v>4</v>
      </c>
      <c r="K1675">
        <v>4</v>
      </c>
    </row>
    <row r="1676" spans="1:11">
      <c r="A1676">
        <v>30</v>
      </c>
      <c r="B1676" t="b">
        <v>0</v>
      </c>
      <c r="C1676" t="s">
        <v>46437</v>
      </c>
      <c r="D1676">
        <v>1037022454355</v>
      </c>
      <c r="E1676">
        <v>1</v>
      </c>
      <c r="F1676">
        <v>6151305873</v>
      </c>
      <c r="G1676">
        <v>2201000</v>
      </c>
      <c r="H1676" t="s">
        <v>40293</v>
      </c>
      <c r="I1676">
        <v>8027</v>
      </c>
      <c r="J1676">
        <v>3</v>
      </c>
      <c r="K1676">
        <v>4</v>
      </c>
    </row>
    <row r="1677" spans="1:11">
      <c r="A1677">
        <v>90</v>
      </c>
      <c r="B1677" t="b">
        <v>0</v>
      </c>
      <c r="C1677" t="s">
        <v>41314</v>
      </c>
      <c r="D1677">
        <v>1037022454355</v>
      </c>
      <c r="E1677">
        <v>1</v>
      </c>
      <c r="F1677">
        <v>6122919448</v>
      </c>
      <c r="G1677">
        <v>790000</v>
      </c>
      <c r="H1677" t="s">
        <v>40293</v>
      </c>
      <c r="I1677">
        <v>8089</v>
      </c>
      <c r="J1677">
        <v>1</v>
      </c>
      <c r="K1677">
        <v>1</v>
      </c>
    </row>
    <row r="1678" spans="1:11">
      <c r="A1678">
        <v>90</v>
      </c>
      <c r="B1678" t="b">
        <v>0</v>
      </c>
      <c r="C1678" t="s">
        <v>41824</v>
      </c>
      <c r="D1678">
        <v>1037022454355</v>
      </c>
      <c r="E1678">
        <v>1</v>
      </c>
      <c r="F1678">
        <v>6098361391</v>
      </c>
      <c r="G1678">
        <v>549900</v>
      </c>
      <c r="H1678" t="s">
        <v>40293</v>
      </c>
      <c r="I1678">
        <v>8089</v>
      </c>
      <c r="J1678">
        <v>4</v>
      </c>
      <c r="K1678">
        <v>89</v>
      </c>
    </row>
    <row r="1679" spans="1:11">
      <c r="A1679">
        <v>90</v>
      </c>
      <c r="B1679" t="b">
        <v>0</v>
      </c>
      <c r="C1679" t="s">
        <v>42007</v>
      </c>
      <c r="D1679">
        <v>1037022454355</v>
      </c>
      <c r="E1679">
        <v>1</v>
      </c>
      <c r="F1679">
        <v>6130071361</v>
      </c>
      <c r="G1679">
        <v>490000</v>
      </c>
      <c r="H1679" t="s">
        <v>40293</v>
      </c>
      <c r="I1679">
        <v>8089</v>
      </c>
      <c r="J1679">
        <v>28</v>
      </c>
      <c r="K1679">
        <v>28</v>
      </c>
    </row>
    <row r="1680" spans="1:11">
      <c r="A1680">
        <v>90</v>
      </c>
      <c r="B1680" t="b">
        <v>0</v>
      </c>
      <c r="C1680" t="s">
        <v>42636</v>
      </c>
      <c r="D1680">
        <v>1037022454355</v>
      </c>
      <c r="E1680">
        <v>1</v>
      </c>
      <c r="F1680">
        <v>6134910435</v>
      </c>
      <c r="G1680">
        <v>300000</v>
      </c>
      <c r="H1680" t="s">
        <v>40293</v>
      </c>
      <c r="I1680">
        <v>8089</v>
      </c>
      <c r="J1680">
        <v>2</v>
      </c>
      <c r="K1680">
        <v>2</v>
      </c>
    </row>
    <row r="1681" spans="1:11">
      <c r="A1681">
        <v>90</v>
      </c>
      <c r="B1681" t="b">
        <v>0</v>
      </c>
      <c r="C1681" t="s">
        <v>43522</v>
      </c>
      <c r="D1681">
        <v>1037022454355</v>
      </c>
      <c r="E1681">
        <v>1</v>
      </c>
      <c r="F1681">
        <v>6138185529</v>
      </c>
      <c r="G1681">
        <v>296900</v>
      </c>
      <c r="H1681" t="s">
        <v>40293</v>
      </c>
      <c r="I1681">
        <v>8089</v>
      </c>
      <c r="J1681">
        <v>3</v>
      </c>
      <c r="K1681">
        <v>3</v>
      </c>
    </row>
    <row r="1682" spans="1:11">
      <c r="A1682">
        <v>90</v>
      </c>
      <c r="B1682" t="b">
        <v>0</v>
      </c>
      <c r="C1682" t="s">
        <v>43320</v>
      </c>
      <c r="D1682">
        <v>1037022454355</v>
      </c>
      <c r="E1682">
        <v>1</v>
      </c>
      <c r="F1682">
        <v>6126415932</v>
      </c>
      <c r="G1682">
        <v>295000</v>
      </c>
      <c r="H1682" t="s">
        <v>40293</v>
      </c>
      <c r="I1682">
        <v>8089</v>
      </c>
      <c r="J1682">
        <v>21</v>
      </c>
      <c r="K1682">
        <v>24</v>
      </c>
    </row>
    <row r="1683" spans="1:11">
      <c r="A1683">
        <v>90</v>
      </c>
      <c r="B1683" t="b">
        <v>0</v>
      </c>
      <c r="C1683" t="s">
        <v>42258</v>
      </c>
      <c r="D1683">
        <v>1037022454355</v>
      </c>
      <c r="E1683">
        <v>1</v>
      </c>
      <c r="F1683">
        <v>6130772268</v>
      </c>
      <c r="G1683">
        <v>150000</v>
      </c>
      <c r="H1683" t="s">
        <v>40293</v>
      </c>
      <c r="I1683">
        <v>8091</v>
      </c>
      <c r="J1683">
        <v>173</v>
      </c>
      <c r="K1683">
        <v>173</v>
      </c>
    </row>
    <row r="1684" spans="1:11">
      <c r="A1684">
        <v>90</v>
      </c>
      <c r="B1684" t="b">
        <v>0</v>
      </c>
      <c r="C1684" t="s">
        <v>42367</v>
      </c>
      <c r="D1684">
        <v>1037022454355</v>
      </c>
      <c r="E1684">
        <v>1</v>
      </c>
      <c r="F1684">
        <v>6128702865</v>
      </c>
      <c r="G1684">
        <v>148900</v>
      </c>
      <c r="H1684" t="s">
        <v>40293</v>
      </c>
      <c r="I1684">
        <v>8091</v>
      </c>
      <c r="J1684">
        <v>13</v>
      </c>
      <c r="K1684">
        <v>26</v>
      </c>
    </row>
    <row r="1685" spans="1:11">
      <c r="A1685">
        <v>90</v>
      </c>
      <c r="B1685" t="b">
        <v>0</v>
      </c>
      <c r="C1685" t="s">
        <v>42251</v>
      </c>
      <c r="D1685">
        <v>1037022454355</v>
      </c>
      <c r="E1685">
        <v>1</v>
      </c>
      <c r="F1685">
        <v>6130070984</v>
      </c>
      <c r="G1685">
        <v>90000</v>
      </c>
      <c r="H1685" t="s">
        <v>40293</v>
      </c>
      <c r="I1685">
        <v>8103</v>
      </c>
      <c r="J1685">
        <v>93</v>
      </c>
      <c r="K1685">
        <v>99</v>
      </c>
    </row>
    <row r="1686" spans="1:11">
      <c r="A1686">
        <v>90</v>
      </c>
      <c r="B1686" t="b">
        <v>0</v>
      </c>
      <c r="C1686" t="s">
        <v>40767</v>
      </c>
      <c r="D1686">
        <v>1037022454355</v>
      </c>
      <c r="E1686">
        <v>1</v>
      </c>
      <c r="F1686">
        <v>6121040306</v>
      </c>
      <c r="G1686">
        <v>2640000</v>
      </c>
      <c r="H1686" t="s">
        <v>40293</v>
      </c>
      <c r="I1686">
        <v>8105</v>
      </c>
      <c r="J1686">
        <v>121</v>
      </c>
      <c r="K1686">
        <v>193</v>
      </c>
    </row>
    <row r="1687" spans="1:11">
      <c r="A1687">
        <v>90</v>
      </c>
      <c r="B1687" t="b">
        <v>0</v>
      </c>
      <c r="C1687" t="s">
        <v>45281</v>
      </c>
      <c r="D1687">
        <v>1037022454355</v>
      </c>
      <c r="E1687">
        <v>1</v>
      </c>
      <c r="F1687">
        <v>6156763400</v>
      </c>
      <c r="G1687">
        <v>2540000</v>
      </c>
      <c r="H1687" t="s">
        <v>40293</v>
      </c>
      <c r="I1687">
        <v>8105</v>
      </c>
      <c r="J1687">
        <v>2</v>
      </c>
      <c r="K1687">
        <v>2</v>
      </c>
    </row>
    <row r="1688" spans="1:11">
      <c r="A1688">
        <v>90</v>
      </c>
      <c r="B1688" t="b">
        <v>0</v>
      </c>
      <c r="C1688" t="s">
        <v>45072</v>
      </c>
      <c r="D1688">
        <v>1037022454355</v>
      </c>
      <c r="E1688">
        <v>1</v>
      </c>
      <c r="F1688">
        <v>6157251903</v>
      </c>
      <c r="G1688">
        <v>2530000</v>
      </c>
      <c r="H1688" t="s">
        <v>40293</v>
      </c>
      <c r="I1688">
        <v>8105</v>
      </c>
      <c r="J1688">
        <v>5</v>
      </c>
      <c r="K1688">
        <v>5</v>
      </c>
    </row>
    <row r="1689" spans="1:11">
      <c r="A1689">
        <v>90</v>
      </c>
      <c r="B1689" t="b">
        <v>0</v>
      </c>
      <c r="C1689" t="s">
        <v>42100</v>
      </c>
      <c r="D1689">
        <v>1037022454355</v>
      </c>
      <c r="E1689">
        <v>1</v>
      </c>
      <c r="F1689">
        <v>6130773659</v>
      </c>
      <c r="G1689">
        <v>110000</v>
      </c>
      <c r="H1689" t="s">
        <v>40293</v>
      </c>
      <c r="I1689">
        <v>8113</v>
      </c>
      <c r="J1689">
        <v>109</v>
      </c>
      <c r="K1689">
        <v>109</v>
      </c>
    </row>
    <row r="1690" spans="1:11">
      <c r="A1690">
        <v>90</v>
      </c>
      <c r="B1690" t="b">
        <v>0</v>
      </c>
      <c r="C1690" t="s">
        <v>40331</v>
      </c>
      <c r="D1690">
        <v>1037022454355</v>
      </c>
      <c r="E1690">
        <v>1</v>
      </c>
      <c r="F1690">
        <v>6097568792</v>
      </c>
      <c r="G1690">
        <v>239000</v>
      </c>
      <c r="H1690" t="s">
        <v>40293</v>
      </c>
      <c r="I1690">
        <v>8117</v>
      </c>
      <c r="J1690">
        <v>39</v>
      </c>
      <c r="K1690">
        <v>39</v>
      </c>
    </row>
    <row r="1691" spans="1:11">
      <c r="A1691">
        <v>90</v>
      </c>
      <c r="B1691" t="b">
        <v>0</v>
      </c>
      <c r="C1691" t="s">
        <v>41352</v>
      </c>
      <c r="D1691">
        <v>1037022454355</v>
      </c>
      <c r="E1691">
        <v>1</v>
      </c>
      <c r="F1691">
        <v>6107674988</v>
      </c>
      <c r="G1691">
        <v>198900</v>
      </c>
      <c r="H1691" t="s">
        <v>40293</v>
      </c>
      <c r="I1691">
        <v>8117</v>
      </c>
      <c r="J1691">
        <v>2</v>
      </c>
      <c r="K1691">
        <v>2</v>
      </c>
    </row>
    <row r="1692" spans="1:11">
      <c r="A1692">
        <v>90</v>
      </c>
      <c r="B1692" t="b">
        <v>0</v>
      </c>
      <c r="C1692" t="s">
        <v>40545</v>
      </c>
      <c r="D1692">
        <v>1037022454355</v>
      </c>
      <c r="E1692">
        <v>1</v>
      </c>
      <c r="F1692">
        <v>6111762206</v>
      </c>
      <c r="G1692">
        <v>195000</v>
      </c>
      <c r="H1692" t="s">
        <v>40293</v>
      </c>
      <c r="I1692">
        <v>8117</v>
      </c>
      <c r="J1692">
        <v>12</v>
      </c>
      <c r="K1692">
        <v>12</v>
      </c>
    </row>
    <row r="1693" spans="1:11">
      <c r="A1693">
        <v>90</v>
      </c>
      <c r="B1693" t="b">
        <v>0</v>
      </c>
      <c r="C1693" t="s">
        <v>41691</v>
      </c>
      <c r="D1693">
        <v>1037022454355</v>
      </c>
      <c r="E1693">
        <v>1</v>
      </c>
      <c r="F1693">
        <v>6119356991</v>
      </c>
      <c r="G1693">
        <v>189800</v>
      </c>
      <c r="H1693" t="s">
        <v>40293</v>
      </c>
      <c r="I1693">
        <v>8117</v>
      </c>
      <c r="J1693">
        <v>7</v>
      </c>
      <c r="K1693">
        <v>22</v>
      </c>
    </row>
    <row r="1694" spans="1:11">
      <c r="A1694">
        <v>90</v>
      </c>
      <c r="B1694" t="b">
        <v>0</v>
      </c>
      <c r="C1694" t="s">
        <v>42072</v>
      </c>
      <c r="D1694">
        <v>1037022454355</v>
      </c>
      <c r="E1694">
        <v>1</v>
      </c>
      <c r="F1694">
        <v>6130770463</v>
      </c>
      <c r="G1694">
        <v>185000</v>
      </c>
      <c r="H1694" t="s">
        <v>40293</v>
      </c>
      <c r="I1694">
        <v>8117</v>
      </c>
      <c r="J1694">
        <v>32</v>
      </c>
      <c r="K1694">
        <v>105</v>
      </c>
    </row>
    <row r="1695" spans="1:11">
      <c r="A1695">
        <v>90</v>
      </c>
      <c r="B1695" t="b">
        <v>0</v>
      </c>
      <c r="C1695" t="s">
        <v>42669</v>
      </c>
      <c r="D1695">
        <v>1037022454355</v>
      </c>
      <c r="E1695">
        <v>1</v>
      </c>
      <c r="F1695">
        <v>6134191024</v>
      </c>
      <c r="G1695">
        <v>75000</v>
      </c>
      <c r="H1695" t="s">
        <v>40293</v>
      </c>
      <c r="I1695">
        <v>8133</v>
      </c>
      <c r="J1695">
        <v>347</v>
      </c>
      <c r="K1695">
        <v>347</v>
      </c>
    </row>
    <row r="1696" spans="1:11">
      <c r="A1696">
        <v>90</v>
      </c>
      <c r="B1696" t="b">
        <v>0</v>
      </c>
      <c r="C1696" t="s">
        <v>42690</v>
      </c>
      <c r="D1696">
        <v>1037022454355</v>
      </c>
      <c r="E1696">
        <v>1</v>
      </c>
      <c r="F1696">
        <v>6135765661</v>
      </c>
      <c r="G1696">
        <v>40000</v>
      </c>
      <c r="H1696" t="s">
        <v>40293</v>
      </c>
      <c r="I1696">
        <v>8133</v>
      </c>
      <c r="J1696">
        <v>176</v>
      </c>
      <c r="K1696">
        <v>176</v>
      </c>
    </row>
    <row r="1697" spans="1:11">
      <c r="A1697">
        <v>90</v>
      </c>
      <c r="B1697" t="b">
        <v>0</v>
      </c>
      <c r="C1697" t="s">
        <v>42569</v>
      </c>
      <c r="D1697">
        <v>1037022454355</v>
      </c>
      <c r="E1697">
        <v>1</v>
      </c>
      <c r="F1697">
        <v>6137463250</v>
      </c>
      <c r="G1697">
        <v>39990</v>
      </c>
      <c r="H1697" t="s">
        <v>40293</v>
      </c>
      <c r="I1697">
        <v>8133</v>
      </c>
      <c r="J1697">
        <v>5</v>
      </c>
      <c r="K1697">
        <v>17</v>
      </c>
    </row>
    <row r="1698" spans="1:11">
      <c r="A1698">
        <v>90</v>
      </c>
      <c r="B1698" t="b">
        <v>0</v>
      </c>
      <c r="C1698" t="s">
        <v>42866</v>
      </c>
      <c r="D1698">
        <v>1037022454355</v>
      </c>
      <c r="E1698">
        <v>1</v>
      </c>
      <c r="F1698">
        <v>6135774910</v>
      </c>
      <c r="G1698">
        <v>90000</v>
      </c>
      <c r="H1698" t="s">
        <v>40293</v>
      </c>
      <c r="I1698">
        <v>8135</v>
      </c>
      <c r="J1698">
        <v>112</v>
      </c>
      <c r="K1698">
        <v>112</v>
      </c>
    </row>
    <row r="1699" spans="1:11">
      <c r="A1699">
        <v>90</v>
      </c>
      <c r="B1699" t="b">
        <v>0</v>
      </c>
      <c r="C1699" t="s">
        <v>42574</v>
      </c>
      <c r="D1699">
        <v>1037022454355</v>
      </c>
      <c r="E1699">
        <v>1</v>
      </c>
      <c r="F1699">
        <v>6137463470</v>
      </c>
      <c r="G1699">
        <v>89000</v>
      </c>
      <c r="H1699" t="s">
        <v>40293</v>
      </c>
      <c r="I1699">
        <v>8135</v>
      </c>
      <c r="J1699">
        <v>3</v>
      </c>
      <c r="K1699">
        <v>7</v>
      </c>
    </row>
    <row r="1700" spans="1:11">
      <c r="A1700">
        <v>90</v>
      </c>
      <c r="B1700" t="b">
        <v>0</v>
      </c>
      <c r="C1700" t="s">
        <v>40308</v>
      </c>
      <c r="D1700">
        <v>1037022454355</v>
      </c>
      <c r="E1700">
        <v>1</v>
      </c>
      <c r="F1700">
        <v>6110642568</v>
      </c>
      <c r="G1700">
        <v>100000</v>
      </c>
      <c r="H1700" t="s">
        <v>40293</v>
      </c>
      <c r="I1700">
        <v>8175</v>
      </c>
      <c r="J1700">
        <v>492</v>
      </c>
      <c r="K1700">
        <v>492</v>
      </c>
    </row>
    <row r="1701" spans="1:11">
      <c r="A1701">
        <v>90</v>
      </c>
      <c r="B1701" t="b">
        <v>0</v>
      </c>
      <c r="C1701" t="s">
        <v>42872</v>
      </c>
      <c r="D1701">
        <v>1037022454355</v>
      </c>
      <c r="E1701">
        <v>1</v>
      </c>
      <c r="F1701">
        <v>6135775198</v>
      </c>
      <c r="G1701">
        <v>50010</v>
      </c>
      <c r="H1701" t="s">
        <v>40293</v>
      </c>
      <c r="I1701">
        <v>8175</v>
      </c>
      <c r="J1701">
        <v>112</v>
      </c>
      <c r="K1701">
        <v>112</v>
      </c>
    </row>
    <row r="1702" spans="1:11">
      <c r="A1702">
        <v>90</v>
      </c>
      <c r="B1702" t="b">
        <v>0</v>
      </c>
      <c r="C1702" t="s">
        <v>41899</v>
      </c>
      <c r="D1702">
        <v>1037022454355</v>
      </c>
      <c r="E1702">
        <v>1</v>
      </c>
      <c r="F1702">
        <v>6127044630</v>
      </c>
      <c r="G1702">
        <v>50000</v>
      </c>
      <c r="H1702" t="s">
        <v>40293</v>
      </c>
      <c r="I1702">
        <v>8175</v>
      </c>
      <c r="J1702">
        <v>34</v>
      </c>
      <c r="K1702">
        <v>39</v>
      </c>
    </row>
    <row r="1703" spans="1:11">
      <c r="A1703">
        <v>90</v>
      </c>
      <c r="B1703" t="b">
        <v>0</v>
      </c>
      <c r="C1703" t="s">
        <v>42584</v>
      </c>
      <c r="D1703">
        <v>1037022454355</v>
      </c>
      <c r="E1703">
        <v>1</v>
      </c>
      <c r="F1703">
        <v>6137463919</v>
      </c>
      <c r="G1703">
        <v>49000</v>
      </c>
      <c r="H1703" t="s">
        <v>40293</v>
      </c>
      <c r="I1703">
        <v>8175</v>
      </c>
      <c r="J1703">
        <v>25</v>
      </c>
      <c r="K1703">
        <v>30</v>
      </c>
    </row>
    <row r="1704" spans="1:11">
      <c r="A1704">
        <v>90</v>
      </c>
      <c r="B1704" t="b">
        <v>0</v>
      </c>
      <c r="C1704" t="s">
        <v>42673</v>
      </c>
      <c r="D1704">
        <v>1037022454355</v>
      </c>
      <c r="E1704">
        <v>1</v>
      </c>
      <c r="F1704">
        <v>6134191269</v>
      </c>
      <c r="G1704">
        <v>50000</v>
      </c>
      <c r="H1704" t="s">
        <v>40293</v>
      </c>
      <c r="I1704">
        <v>8177</v>
      </c>
      <c r="J1704">
        <v>586</v>
      </c>
      <c r="K1704">
        <v>586</v>
      </c>
    </row>
    <row r="1705" spans="1:11">
      <c r="A1705">
        <v>90</v>
      </c>
      <c r="B1705" t="b">
        <v>0</v>
      </c>
      <c r="C1705" t="s">
        <v>42696</v>
      </c>
      <c r="D1705">
        <v>1037022454355</v>
      </c>
      <c r="E1705">
        <v>1</v>
      </c>
      <c r="F1705">
        <v>6135765933</v>
      </c>
      <c r="G1705">
        <v>40000</v>
      </c>
      <c r="H1705" t="s">
        <v>40293</v>
      </c>
      <c r="I1705">
        <v>8177</v>
      </c>
      <c r="J1705">
        <v>176</v>
      </c>
      <c r="K1705">
        <v>176</v>
      </c>
    </row>
    <row r="1706" spans="1:11">
      <c r="A1706">
        <v>90</v>
      </c>
      <c r="B1706" t="b">
        <v>0</v>
      </c>
      <c r="C1706" t="s">
        <v>42317</v>
      </c>
      <c r="D1706">
        <v>1037022454355</v>
      </c>
      <c r="E1706">
        <v>1</v>
      </c>
      <c r="F1706">
        <v>6133941945</v>
      </c>
      <c r="G1706">
        <v>39990</v>
      </c>
      <c r="H1706" t="s">
        <v>40293</v>
      </c>
      <c r="I1706">
        <v>8177</v>
      </c>
      <c r="J1706">
        <v>6</v>
      </c>
      <c r="K1706">
        <v>6</v>
      </c>
    </row>
    <row r="1707" spans="1:11">
      <c r="A1707">
        <v>90</v>
      </c>
      <c r="B1707" t="b">
        <v>0</v>
      </c>
      <c r="C1707" t="s">
        <v>42578</v>
      </c>
      <c r="D1707">
        <v>1037022454355</v>
      </c>
      <c r="E1707">
        <v>1</v>
      </c>
      <c r="F1707">
        <v>6137463740</v>
      </c>
      <c r="G1707">
        <v>39900</v>
      </c>
      <c r="H1707" t="s">
        <v>40293</v>
      </c>
      <c r="I1707">
        <v>8177</v>
      </c>
      <c r="J1707">
        <v>8</v>
      </c>
      <c r="K1707">
        <v>25</v>
      </c>
    </row>
    <row r="1708" spans="1:11">
      <c r="A1708">
        <v>90</v>
      </c>
      <c r="B1708" t="b">
        <v>0</v>
      </c>
      <c r="C1708" t="s">
        <v>40376</v>
      </c>
      <c r="D1708">
        <v>1037022454355</v>
      </c>
      <c r="E1708">
        <v>1</v>
      </c>
      <c r="F1708">
        <v>6067849199</v>
      </c>
      <c r="G1708">
        <v>154500</v>
      </c>
      <c r="H1708" t="s">
        <v>40293</v>
      </c>
      <c r="I1708">
        <v>8225</v>
      </c>
      <c r="J1708">
        <v>317</v>
      </c>
      <c r="K1708">
        <v>347</v>
      </c>
    </row>
    <row r="1709" spans="1:11">
      <c r="A1709">
        <v>90</v>
      </c>
      <c r="B1709" t="b">
        <v>0</v>
      </c>
      <c r="C1709" t="s">
        <v>41971</v>
      </c>
      <c r="D1709">
        <v>1037022454355</v>
      </c>
      <c r="E1709">
        <v>1</v>
      </c>
      <c r="F1709">
        <v>6126138740</v>
      </c>
      <c r="G1709">
        <v>149900</v>
      </c>
      <c r="H1709" t="s">
        <v>40293</v>
      </c>
      <c r="I1709">
        <v>8225</v>
      </c>
      <c r="J1709">
        <v>22</v>
      </c>
      <c r="K1709">
        <v>25</v>
      </c>
    </row>
    <row r="1710" spans="1:11">
      <c r="A1710">
        <v>90</v>
      </c>
      <c r="B1710" t="b">
        <v>0</v>
      </c>
      <c r="C1710" t="s">
        <v>42699</v>
      </c>
      <c r="D1710">
        <v>1037022454355</v>
      </c>
      <c r="E1710">
        <v>1</v>
      </c>
      <c r="F1710">
        <v>6135766116</v>
      </c>
      <c r="G1710">
        <v>60000</v>
      </c>
      <c r="H1710" t="s">
        <v>40293</v>
      </c>
      <c r="I1710">
        <v>8225</v>
      </c>
      <c r="J1710">
        <v>115</v>
      </c>
      <c r="K1710">
        <v>115</v>
      </c>
    </row>
    <row r="1711" spans="1:11">
      <c r="A1711">
        <v>90</v>
      </c>
      <c r="B1711" t="b">
        <v>0</v>
      </c>
      <c r="C1711" t="s">
        <v>41885</v>
      </c>
      <c r="D1711">
        <v>1037022454355</v>
      </c>
      <c r="E1711">
        <v>1</v>
      </c>
      <c r="F1711">
        <v>6127043434</v>
      </c>
      <c r="G1711">
        <v>50000</v>
      </c>
      <c r="H1711" t="s">
        <v>40293</v>
      </c>
      <c r="I1711">
        <v>8225</v>
      </c>
      <c r="J1711">
        <v>40</v>
      </c>
      <c r="K1711">
        <v>50</v>
      </c>
    </row>
    <row r="1712" spans="1:11">
      <c r="A1712">
        <v>90</v>
      </c>
      <c r="B1712" t="b">
        <v>0</v>
      </c>
      <c r="C1712" t="s">
        <v>42688</v>
      </c>
      <c r="D1712">
        <v>1037022454355</v>
      </c>
      <c r="E1712">
        <v>1</v>
      </c>
      <c r="F1712">
        <v>6126072000</v>
      </c>
      <c r="G1712">
        <v>49900</v>
      </c>
      <c r="H1712" t="s">
        <v>40293</v>
      </c>
      <c r="I1712">
        <v>8225</v>
      </c>
      <c r="J1712">
        <v>22</v>
      </c>
      <c r="K1712">
        <v>62</v>
      </c>
    </row>
    <row r="1713" spans="1:11">
      <c r="A1713">
        <v>90</v>
      </c>
      <c r="B1713" t="b">
        <v>0</v>
      </c>
      <c r="C1713" t="s">
        <v>46471</v>
      </c>
      <c r="D1713">
        <v>1037022454355</v>
      </c>
      <c r="E1713">
        <v>1</v>
      </c>
      <c r="F1713">
        <v>6153632806</v>
      </c>
      <c r="G1713">
        <v>49880</v>
      </c>
      <c r="H1713" t="s">
        <v>40293</v>
      </c>
      <c r="I1713">
        <v>8225</v>
      </c>
      <c r="J1713">
        <v>7</v>
      </c>
      <c r="K1713">
        <v>15</v>
      </c>
    </row>
    <row r="1714" spans="1:11">
      <c r="A1714">
        <v>90</v>
      </c>
      <c r="B1714" t="b">
        <v>0</v>
      </c>
      <c r="C1714" t="s">
        <v>42701</v>
      </c>
      <c r="D1714">
        <v>1037022454355</v>
      </c>
      <c r="E1714">
        <v>1</v>
      </c>
      <c r="F1714">
        <v>6135766330</v>
      </c>
      <c r="G1714">
        <v>80000</v>
      </c>
      <c r="H1714" t="s">
        <v>40293</v>
      </c>
      <c r="I1714">
        <v>8263</v>
      </c>
      <c r="J1714">
        <v>112</v>
      </c>
      <c r="K1714">
        <v>112</v>
      </c>
    </row>
    <row r="1715" spans="1:11">
      <c r="A1715">
        <v>90</v>
      </c>
      <c r="B1715" t="b">
        <v>0</v>
      </c>
      <c r="C1715" t="s">
        <v>41671</v>
      </c>
      <c r="D1715">
        <v>1037022454355</v>
      </c>
      <c r="E1715">
        <v>1</v>
      </c>
      <c r="F1715">
        <v>6114863422</v>
      </c>
      <c r="G1715">
        <v>75000</v>
      </c>
      <c r="H1715" t="s">
        <v>40293</v>
      </c>
      <c r="I1715">
        <v>8263</v>
      </c>
      <c r="J1715">
        <v>748</v>
      </c>
      <c r="K1715">
        <v>850</v>
      </c>
    </row>
    <row r="1716" spans="1:11">
      <c r="A1716">
        <v>90</v>
      </c>
      <c r="B1716" t="b">
        <v>0</v>
      </c>
      <c r="C1716" t="s">
        <v>42691</v>
      </c>
      <c r="D1716">
        <v>1037022454355</v>
      </c>
      <c r="E1716">
        <v>1</v>
      </c>
      <c r="F1716">
        <v>6134192824</v>
      </c>
      <c r="G1716">
        <v>50000</v>
      </c>
      <c r="H1716" t="s">
        <v>40293</v>
      </c>
      <c r="I1716">
        <v>8297</v>
      </c>
      <c r="J1716">
        <v>194</v>
      </c>
      <c r="K1716">
        <v>194</v>
      </c>
    </row>
    <row r="1717" spans="1:11">
      <c r="A1717">
        <v>90</v>
      </c>
      <c r="B1717" t="b">
        <v>0</v>
      </c>
      <c r="C1717" t="s">
        <v>42552</v>
      </c>
      <c r="D1717">
        <v>1037022454355</v>
      </c>
      <c r="E1717">
        <v>1</v>
      </c>
      <c r="F1717">
        <v>6134194100</v>
      </c>
      <c r="G1717">
        <v>50000</v>
      </c>
      <c r="H1717" t="s">
        <v>40293</v>
      </c>
      <c r="I1717">
        <v>8337</v>
      </c>
      <c r="J1717">
        <v>218</v>
      </c>
      <c r="K1717">
        <v>218</v>
      </c>
    </row>
    <row r="1718" spans="1:11">
      <c r="A1718">
        <v>90</v>
      </c>
      <c r="B1718" t="b">
        <v>0</v>
      </c>
      <c r="C1718" t="s">
        <v>42059</v>
      </c>
      <c r="D1718">
        <v>1037022454355</v>
      </c>
      <c r="E1718">
        <v>1</v>
      </c>
      <c r="F1718">
        <v>6130703022</v>
      </c>
      <c r="G1718">
        <v>90000</v>
      </c>
      <c r="H1718" t="s">
        <v>40293</v>
      </c>
      <c r="I1718">
        <v>8419</v>
      </c>
      <c r="J1718">
        <v>22</v>
      </c>
      <c r="K1718">
        <v>22</v>
      </c>
    </row>
    <row r="1719" spans="1:11">
      <c r="A1719">
        <v>90</v>
      </c>
      <c r="B1719" t="b">
        <v>0</v>
      </c>
      <c r="C1719" t="s">
        <v>40457</v>
      </c>
      <c r="D1719">
        <v>1037022454355</v>
      </c>
      <c r="E1719">
        <v>1</v>
      </c>
      <c r="F1719">
        <v>6116576949</v>
      </c>
      <c r="G1719">
        <v>75000</v>
      </c>
      <c r="H1719" t="s">
        <v>40293</v>
      </c>
      <c r="I1719">
        <v>8419</v>
      </c>
      <c r="J1719">
        <v>81</v>
      </c>
      <c r="K1719">
        <v>100</v>
      </c>
    </row>
    <row r="1720" spans="1:11">
      <c r="A1720">
        <v>90</v>
      </c>
      <c r="B1720" t="b">
        <v>0</v>
      </c>
      <c r="C1720" t="s">
        <v>41917</v>
      </c>
      <c r="D1720">
        <v>1037022454355</v>
      </c>
      <c r="E1720">
        <v>1</v>
      </c>
      <c r="F1720">
        <v>6119804361</v>
      </c>
      <c r="G1720">
        <v>74990</v>
      </c>
      <c r="H1720" t="s">
        <v>40293</v>
      </c>
      <c r="I1720">
        <v>8419</v>
      </c>
      <c r="J1720">
        <v>97</v>
      </c>
      <c r="K1720">
        <v>102</v>
      </c>
    </row>
    <row r="1721" spans="1:11">
      <c r="A1721">
        <v>90</v>
      </c>
      <c r="B1721" t="b">
        <v>0</v>
      </c>
      <c r="C1721" t="s">
        <v>46434</v>
      </c>
      <c r="D1721">
        <v>1037022454355</v>
      </c>
      <c r="E1721">
        <v>1</v>
      </c>
      <c r="F1721">
        <v>6150552192</v>
      </c>
      <c r="G1721">
        <v>74900</v>
      </c>
      <c r="H1721" t="s">
        <v>40293</v>
      </c>
      <c r="I1721">
        <v>8419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42183</v>
      </c>
      <c r="D1722">
        <v>1037022454355</v>
      </c>
      <c r="E1722">
        <v>1</v>
      </c>
      <c r="F1722">
        <v>6130784828</v>
      </c>
      <c r="G1722">
        <v>160000</v>
      </c>
      <c r="H1722" t="s">
        <v>40293</v>
      </c>
      <c r="I1722">
        <v>8427</v>
      </c>
      <c r="J1722">
        <v>106</v>
      </c>
      <c r="K1722">
        <v>106</v>
      </c>
    </row>
    <row r="1723" spans="1:11">
      <c r="A1723">
        <v>90</v>
      </c>
      <c r="B1723" t="b">
        <v>0</v>
      </c>
      <c r="C1723" t="s">
        <v>40410</v>
      </c>
      <c r="D1723">
        <v>1037022454355</v>
      </c>
      <c r="E1723">
        <v>1</v>
      </c>
      <c r="F1723">
        <v>6108515073</v>
      </c>
      <c r="G1723">
        <v>130000</v>
      </c>
      <c r="H1723" t="s">
        <v>40293</v>
      </c>
      <c r="I1723">
        <v>8427</v>
      </c>
      <c r="J1723">
        <v>125</v>
      </c>
      <c r="K1723">
        <v>171</v>
      </c>
    </row>
    <row r="1724" spans="1:11">
      <c r="A1724">
        <v>90</v>
      </c>
      <c r="B1724" t="b">
        <v>0</v>
      </c>
      <c r="C1724" t="s">
        <v>42348</v>
      </c>
      <c r="D1724">
        <v>1037022454355</v>
      </c>
      <c r="E1724">
        <v>1</v>
      </c>
      <c r="F1724">
        <v>6137951595</v>
      </c>
      <c r="G1724">
        <v>1740000</v>
      </c>
      <c r="H1724" t="s">
        <v>40293</v>
      </c>
      <c r="I1724">
        <v>8433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43396</v>
      </c>
      <c r="D1725">
        <v>1037022454355</v>
      </c>
      <c r="E1725">
        <v>1</v>
      </c>
      <c r="F1725">
        <v>6138247147</v>
      </c>
      <c r="G1725">
        <v>1600000</v>
      </c>
      <c r="H1725" t="s">
        <v>40293</v>
      </c>
      <c r="I1725">
        <v>8433</v>
      </c>
      <c r="J1725">
        <v>54</v>
      </c>
      <c r="K1725">
        <v>77</v>
      </c>
    </row>
    <row r="1726" spans="1:11">
      <c r="A1726">
        <v>90</v>
      </c>
      <c r="B1726" t="b">
        <v>0</v>
      </c>
      <c r="C1726" t="s">
        <v>46331</v>
      </c>
      <c r="D1726">
        <v>1037022454355</v>
      </c>
      <c r="E1726">
        <v>1</v>
      </c>
      <c r="F1726">
        <v>6156776530</v>
      </c>
      <c r="G1726">
        <v>1599000</v>
      </c>
      <c r="H1726" t="s">
        <v>40293</v>
      </c>
      <c r="I1726">
        <v>8433</v>
      </c>
      <c r="J1726">
        <v>2</v>
      </c>
      <c r="K1726">
        <v>2</v>
      </c>
    </row>
    <row r="1727" spans="1:11">
      <c r="A1727">
        <v>90</v>
      </c>
      <c r="B1727" t="b">
        <v>0</v>
      </c>
      <c r="C1727" t="s">
        <v>46341</v>
      </c>
      <c r="D1727">
        <v>1037022454355</v>
      </c>
      <c r="E1727">
        <v>1</v>
      </c>
      <c r="F1727">
        <v>6156842193</v>
      </c>
      <c r="G1727">
        <v>1500000</v>
      </c>
      <c r="H1727" t="s">
        <v>40293</v>
      </c>
      <c r="I1727">
        <v>8433</v>
      </c>
      <c r="J1727">
        <v>1</v>
      </c>
      <c r="K1727">
        <v>1</v>
      </c>
    </row>
    <row r="1728" spans="1:11">
      <c r="A1728">
        <v>90</v>
      </c>
      <c r="B1728" t="b">
        <v>0</v>
      </c>
      <c r="C1728" t="s">
        <v>40885</v>
      </c>
      <c r="D1728">
        <v>1037022454355</v>
      </c>
      <c r="E1728">
        <v>1</v>
      </c>
      <c r="F1728">
        <v>6105478507</v>
      </c>
      <c r="G1728">
        <v>6376000</v>
      </c>
      <c r="H1728" t="s">
        <v>40293</v>
      </c>
      <c r="I1728">
        <v>8517</v>
      </c>
      <c r="J1728">
        <v>10</v>
      </c>
      <c r="K1728">
        <v>10</v>
      </c>
    </row>
    <row r="1729" spans="1:11">
      <c r="A1729">
        <v>90</v>
      </c>
      <c r="B1729" t="b">
        <v>0</v>
      </c>
      <c r="C1729" t="s">
        <v>40389</v>
      </c>
      <c r="D1729">
        <v>1037022454355</v>
      </c>
      <c r="E1729">
        <v>1</v>
      </c>
      <c r="F1729">
        <v>6108711226</v>
      </c>
      <c r="G1729">
        <v>5643000</v>
      </c>
      <c r="H1729" t="s">
        <v>40293</v>
      </c>
      <c r="I1729">
        <v>8517</v>
      </c>
      <c r="J1729">
        <v>1</v>
      </c>
      <c r="K1729">
        <v>1</v>
      </c>
    </row>
    <row r="1730" spans="1:11">
      <c r="A1730">
        <v>90</v>
      </c>
      <c r="B1730" t="b">
        <v>0</v>
      </c>
      <c r="C1730" t="s">
        <v>41095</v>
      </c>
      <c r="D1730">
        <v>1037022454355</v>
      </c>
      <c r="E1730">
        <v>1</v>
      </c>
      <c r="F1730">
        <v>6106040036</v>
      </c>
      <c r="G1730">
        <v>5300000</v>
      </c>
      <c r="H1730" t="s">
        <v>40293</v>
      </c>
      <c r="I1730">
        <v>8517</v>
      </c>
      <c r="J1730">
        <v>287</v>
      </c>
      <c r="K1730">
        <v>347</v>
      </c>
    </row>
    <row r="1731" spans="1:11">
      <c r="A1731">
        <v>90</v>
      </c>
      <c r="B1731" t="b">
        <v>0</v>
      </c>
      <c r="C1731" t="s">
        <v>45728</v>
      </c>
      <c r="D1731">
        <v>1037022454355</v>
      </c>
      <c r="E1731">
        <v>1</v>
      </c>
      <c r="F1731">
        <v>6152738379</v>
      </c>
      <c r="G1731">
        <v>5290000</v>
      </c>
      <c r="H1731" t="s">
        <v>40293</v>
      </c>
      <c r="I1731">
        <v>8517</v>
      </c>
      <c r="J1731">
        <v>2</v>
      </c>
      <c r="K1731">
        <v>10</v>
      </c>
    </row>
    <row r="1732" spans="1:11">
      <c r="A1732">
        <v>90</v>
      </c>
      <c r="B1732" t="b">
        <v>0</v>
      </c>
      <c r="C1732" t="s">
        <v>46170</v>
      </c>
      <c r="D1732">
        <v>1037022454355</v>
      </c>
      <c r="E1732">
        <v>1</v>
      </c>
      <c r="F1732">
        <v>6157593626</v>
      </c>
      <c r="G1732">
        <v>5289000</v>
      </c>
      <c r="H1732" t="s">
        <v>40293</v>
      </c>
      <c r="I1732">
        <v>8517</v>
      </c>
      <c r="J1732">
        <v>6</v>
      </c>
      <c r="K1732">
        <v>6</v>
      </c>
    </row>
    <row r="1733" spans="1:11">
      <c r="A1733">
        <v>90</v>
      </c>
      <c r="B1733" t="b">
        <v>0</v>
      </c>
      <c r="C1733" t="s">
        <v>42092</v>
      </c>
      <c r="D1733">
        <v>1037022454355</v>
      </c>
      <c r="E1733">
        <v>1</v>
      </c>
      <c r="F1733">
        <v>6131231046</v>
      </c>
      <c r="G1733">
        <v>642100</v>
      </c>
      <c r="H1733" t="s">
        <v>40293</v>
      </c>
      <c r="I1733">
        <v>8521</v>
      </c>
      <c r="J1733">
        <v>101</v>
      </c>
      <c r="K1733">
        <v>101</v>
      </c>
    </row>
    <row r="1734" spans="1:11">
      <c r="A1734">
        <v>90</v>
      </c>
      <c r="B1734" t="b">
        <v>0</v>
      </c>
      <c r="C1734" t="s">
        <v>41714</v>
      </c>
      <c r="D1734">
        <v>1037022454355</v>
      </c>
      <c r="E1734">
        <v>1</v>
      </c>
      <c r="F1734">
        <v>6095272905</v>
      </c>
      <c r="G1734">
        <v>642000</v>
      </c>
      <c r="H1734" t="s">
        <v>40293</v>
      </c>
      <c r="I1734">
        <v>8521</v>
      </c>
      <c r="J1734">
        <v>221</v>
      </c>
      <c r="K1734">
        <v>311</v>
      </c>
    </row>
    <row r="1735" spans="1:11">
      <c r="A1735">
        <v>90</v>
      </c>
      <c r="B1735" t="b">
        <v>0</v>
      </c>
      <c r="C1735" t="s">
        <v>42190</v>
      </c>
      <c r="D1735">
        <v>1037022454355</v>
      </c>
      <c r="E1735">
        <v>1</v>
      </c>
      <c r="F1735">
        <v>6130752843</v>
      </c>
      <c r="G1735">
        <v>250000</v>
      </c>
      <c r="H1735" t="s">
        <v>40293</v>
      </c>
      <c r="I1735">
        <v>8529</v>
      </c>
      <c r="J1735">
        <v>9</v>
      </c>
      <c r="K1735">
        <v>9</v>
      </c>
    </row>
    <row r="1736" spans="1:11">
      <c r="A1736">
        <v>90</v>
      </c>
      <c r="B1736" t="b">
        <v>0</v>
      </c>
      <c r="C1736" t="s">
        <v>43379</v>
      </c>
      <c r="D1736">
        <v>1037022454355</v>
      </c>
      <c r="E1736">
        <v>1</v>
      </c>
      <c r="F1736">
        <v>6073857464</v>
      </c>
      <c r="G1736">
        <v>225700</v>
      </c>
      <c r="H1736" t="s">
        <v>40293</v>
      </c>
      <c r="I1736">
        <v>8529</v>
      </c>
      <c r="J1736">
        <v>217</v>
      </c>
      <c r="K1736">
        <v>305</v>
      </c>
    </row>
    <row r="1737" spans="1:11">
      <c r="A1737">
        <v>90</v>
      </c>
      <c r="B1737" t="b">
        <v>0</v>
      </c>
      <c r="C1737" t="s">
        <v>45987</v>
      </c>
      <c r="D1737">
        <v>1037022454355</v>
      </c>
      <c r="E1737">
        <v>1</v>
      </c>
      <c r="F1737">
        <v>6154019223</v>
      </c>
      <c r="G1737">
        <v>225600</v>
      </c>
      <c r="H1737" t="s">
        <v>40293</v>
      </c>
      <c r="I1737">
        <v>8529</v>
      </c>
      <c r="J1737">
        <v>7</v>
      </c>
      <c r="K1737">
        <v>25</v>
      </c>
    </row>
    <row r="1738" spans="1:11">
      <c r="A1738">
        <v>90</v>
      </c>
      <c r="B1738" t="b">
        <v>0</v>
      </c>
      <c r="C1738" t="s">
        <v>42095</v>
      </c>
      <c r="D1738">
        <v>1037022454355</v>
      </c>
      <c r="E1738">
        <v>1</v>
      </c>
      <c r="F1738">
        <v>6131231809</v>
      </c>
      <c r="G1738">
        <v>90000</v>
      </c>
      <c r="H1738" t="s">
        <v>40293</v>
      </c>
      <c r="I1738">
        <v>8531</v>
      </c>
      <c r="J1738">
        <v>100</v>
      </c>
      <c r="K1738">
        <v>100</v>
      </c>
    </row>
    <row r="1739" spans="1:11">
      <c r="A1739">
        <v>90</v>
      </c>
      <c r="B1739" t="b">
        <v>0</v>
      </c>
      <c r="C1739" t="s">
        <v>42181</v>
      </c>
      <c r="D1739">
        <v>1037022454355</v>
      </c>
      <c r="E1739">
        <v>1</v>
      </c>
      <c r="F1739">
        <v>6130784531</v>
      </c>
      <c r="G1739">
        <v>80000</v>
      </c>
      <c r="H1739" t="s">
        <v>40293</v>
      </c>
      <c r="I1739">
        <v>8535</v>
      </c>
      <c r="J1739">
        <v>196</v>
      </c>
      <c r="K1739">
        <v>196</v>
      </c>
    </row>
    <row r="1740" spans="1:11">
      <c r="A1740">
        <v>90</v>
      </c>
      <c r="B1740" t="b">
        <v>0</v>
      </c>
      <c r="C1740" t="s">
        <v>43384</v>
      </c>
      <c r="D1740">
        <v>1037022454355</v>
      </c>
      <c r="E1740">
        <v>1</v>
      </c>
      <c r="F1740">
        <v>6142456753</v>
      </c>
      <c r="G1740">
        <v>56700</v>
      </c>
      <c r="H1740" t="s">
        <v>40293</v>
      </c>
      <c r="I1740">
        <v>8535</v>
      </c>
      <c r="J1740">
        <v>1</v>
      </c>
      <c r="K1740">
        <v>3</v>
      </c>
    </row>
    <row r="1741" spans="1:11">
      <c r="A1741">
        <v>90</v>
      </c>
      <c r="B1741" t="b">
        <v>0</v>
      </c>
      <c r="C1741" t="s">
        <v>42122</v>
      </c>
      <c r="D1741">
        <v>1037022454355</v>
      </c>
      <c r="E1741">
        <v>1</v>
      </c>
      <c r="F1741">
        <v>6131235667</v>
      </c>
      <c r="G1741">
        <v>90000</v>
      </c>
      <c r="H1741" t="s">
        <v>40293</v>
      </c>
      <c r="I1741">
        <v>8537</v>
      </c>
      <c r="J1741">
        <v>266</v>
      </c>
      <c r="K1741">
        <v>269</v>
      </c>
    </row>
    <row r="1742" spans="1:11">
      <c r="A1742">
        <v>90</v>
      </c>
      <c r="B1742" t="b">
        <v>0</v>
      </c>
      <c r="C1742" t="s">
        <v>43217</v>
      </c>
      <c r="D1742">
        <v>1037022454355</v>
      </c>
      <c r="E1742">
        <v>1</v>
      </c>
      <c r="F1742">
        <v>6143911703</v>
      </c>
      <c r="G1742">
        <v>76940</v>
      </c>
      <c r="H1742" t="s">
        <v>40293</v>
      </c>
      <c r="I1742">
        <v>8537</v>
      </c>
      <c r="J1742">
        <v>14</v>
      </c>
      <c r="K1742">
        <v>14</v>
      </c>
    </row>
    <row r="1743" spans="1:11">
      <c r="A1743">
        <v>90</v>
      </c>
      <c r="B1743" t="b">
        <v>0</v>
      </c>
      <c r="C1743" t="s">
        <v>45067</v>
      </c>
      <c r="D1743">
        <v>1037022454355</v>
      </c>
      <c r="E1743">
        <v>1</v>
      </c>
      <c r="F1743">
        <v>6139295012</v>
      </c>
      <c r="G1743">
        <v>76930</v>
      </c>
      <c r="H1743" t="s">
        <v>40293</v>
      </c>
      <c r="I1743">
        <v>8537</v>
      </c>
      <c r="J1743">
        <v>10</v>
      </c>
      <c r="K1743">
        <v>10</v>
      </c>
    </row>
    <row r="1744" spans="1:11">
      <c r="A1744">
        <v>90</v>
      </c>
      <c r="B1744" t="b">
        <v>0</v>
      </c>
      <c r="C1744" t="s">
        <v>41060</v>
      </c>
      <c r="D1744">
        <v>1037022454355</v>
      </c>
      <c r="E1744">
        <v>1</v>
      </c>
      <c r="F1744">
        <v>6093194156</v>
      </c>
      <c r="G1744">
        <v>794000</v>
      </c>
      <c r="H1744" t="s">
        <v>40293</v>
      </c>
      <c r="I1744">
        <v>8579</v>
      </c>
      <c r="J1744">
        <v>2</v>
      </c>
      <c r="K1744">
        <v>9</v>
      </c>
    </row>
    <row r="1745" spans="1:11">
      <c r="A1745">
        <v>90</v>
      </c>
      <c r="B1745" t="b">
        <v>0</v>
      </c>
      <c r="C1745" t="s">
        <v>41717</v>
      </c>
      <c r="D1745">
        <v>1037022454355</v>
      </c>
      <c r="E1745">
        <v>1</v>
      </c>
      <c r="F1745">
        <v>6116851542</v>
      </c>
      <c r="G1745">
        <v>790000</v>
      </c>
      <c r="H1745" t="s">
        <v>40293</v>
      </c>
      <c r="I1745">
        <v>8579</v>
      </c>
      <c r="J1745">
        <v>128</v>
      </c>
      <c r="K1745">
        <v>128</v>
      </c>
    </row>
    <row r="1746" spans="1:11">
      <c r="A1746">
        <v>90</v>
      </c>
      <c r="B1746" t="b">
        <v>0</v>
      </c>
      <c r="C1746" t="s">
        <v>42309</v>
      </c>
      <c r="D1746">
        <v>1037022454355</v>
      </c>
      <c r="E1746">
        <v>1</v>
      </c>
      <c r="F1746">
        <v>6109463898</v>
      </c>
      <c r="G1746">
        <v>789900</v>
      </c>
      <c r="H1746" t="s">
        <v>40293</v>
      </c>
      <c r="I1746">
        <v>8579</v>
      </c>
      <c r="J1746">
        <v>17</v>
      </c>
      <c r="K1746">
        <v>25</v>
      </c>
    </row>
    <row r="1747" spans="1:11">
      <c r="A1747">
        <v>90</v>
      </c>
      <c r="B1747" t="b">
        <v>0</v>
      </c>
      <c r="C1747" t="s">
        <v>44948</v>
      </c>
      <c r="D1747">
        <v>1037022454355</v>
      </c>
      <c r="E1747">
        <v>1</v>
      </c>
      <c r="F1747">
        <v>6151987065</v>
      </c>
      <c r="G1747">
        <v>90000</v>
      </c>
      <c r="H1747" t="s">
        <v>40293</v>
      </c>
      <c r="I1747">
        <v>8579</v>
      </c>
      <c r="J1747">
        <v>468</v>
      </c>
      <c r="K1747">
        <v>478</v>
      </c>
    </row>
    <row r="1748" spans="1:11">
      <c r="A1748">
        <v>90</v>
      </c>
      <c r="B1748" t="b">
        <v>0</v>
      </c>
      <c r="C1748" t="s">
        <v>41533</v>
      </c>
      <c r="D1748">
        <v>1037022454355</v>
      </c>
      <c r="E1748">
        <v>1</v>
      </c>
      <c r="F1748">
        <v>6075804402</v>
      </c>
      <c r="G1748">
        <v>844000</v>
      </c>
      <c r="H1748" t="s">
        <v>40293</v>
      </c>
      <c r="I1748">
        <v>8583</v>
      </c>
      <c r="J1748">
        <v>2</v>
      </c>
      <c r="K1748">
        <v>50</v>
      </c>
    </row>
    <row r="1749" spans="1:11">
      <c r="A1749">
        <v>90</v>
      </c>
      <c r="B1749" t="b">
        <v>0</v>
      </c>
      <c r="C1749" t="s">
        <v>42000</v>
      </c>
      <c r="D1749">
        <v>1037022454355</v>
      </c>
      <c r="E1749">
        <v>1</v>
      </c>
      <c r="F1749">
        <v>6130762393</v>
      </c>
      <c r="G1749">
        <v>90000</v>
      </c>
      <c r="H1749" t="s">
        <v>40293</v>
      </c>
      <c r="I1749">
        <v>8583</v>
      </c>
      <c r="J1749">
        <v>100</v>
      </c>
      <c r="K1749">
        <v>102</v>
      </c>
    </row>
    <row r="1750" spans="1:11">
      <c r="A1750">
        <v>90</v>
      </c>
      <c r="B1750" t="b">
        <v>0</v>
      </c>
      <c r="C1750" t="s">
        <v>44449</v>
      </c>
      <c r="D1750">
        <v>1037022454355</v>
      </c>
      <c r="E1750">
        <v>1</v>
      </c>
      <c r="F1750">
        <v>6147675741</v>
      </c>
      <c r="G1750">
        <v>89990</v>
      </c>
      <c r="H1750" t="s">
        <v>40293</v>
      </c>
      <c r="I1750">
        <v>8583</v>
      </c>
      <c r="J1750">
        <v>41</v>
      </c>
      <c r="K1750">
        <v>52</v>
      </c>
    </row>
    <row r="1751" spans="1:11">
      <c r="A1751">
        <v>90</v>
      </c>
      <c r="B1751" t="b">
        <v>0</v>
      </c>
      <c r="C1751" t="s">
        <v>42217</v>
      </c>
      <c r="D1751">
        <v>1037022454355</v>
      </c>
      <c r="E1751">
        <v>1</v>
      </c>
      <c r="F1751">
        <v>6130766260</v>
      </c>
      <c r="G1751">
        <v>110000</v>
      </c>
      <c r="H1751" t="s">
        <v>40293</v>
      </c>
      <c r="I1751">
        <v>8585</v>
      </c>
      <c r="J1751">
        <v>91</v>
      </c>
      <c r="K1751">
        <v>100</v>
      </c>
    </row>
    <row r="1752" spans="1:11">
      <c r="A1752">
        <v>14</v>
      </c>
      <c r="B1752" t="b">
        <v>0</v>
      </c>
      <c r="C1752" t="s">
        <v>45605</v>
      </c>
      <c r="D1752">
        <v>1037022454355</v>
      </c>
      <c r="E1752">
        <v>1</v>
      </c>
      <c r="F1752">
        <v>6153064534</v>
      </c>
      <c r="G1752">
        <v>100100</v>
      </c>
      <c r="H1752" t="s">
        <v>40293</v>
      </c>
      <c r="I1752">
        <v>8585</v>
      </c>
      <c r="J1752">
        <v>1</v>
      </c>
      <c r="K1752">
        <v>1</v>
      </c>
    </row>
    <row r="1753" spans="1:11">
      <c r="A1753">
        <v>90</v>
      </c>
      <c r="B1753" t="b">
        <v>0</v>
      </c>
      <c r="C1753" t="s">
        <v>44364</v>
      </c>
      <c r="D1753">
        <v>1037022454355</v>
      </c>
      <c r="E1753">
        <v>1</v>
      </c>
      <c r="F1753">
        <v>6153212420</v>
      </c>
      <c r="G1753">
        <v>560000</v>
      </c>
      <c r="H1753" t="s">
        <v>40293</v>
      </c>
      <c r="I1753">
        <v>8635</v>
      </c>
      <c r="J1753">
        <v>177</v>
      </c>
      <c r="K1753">
        <v>177</v>
      </c>
    </row>
    <row r="1754" spans="1:11">
      <c r="A1754">
        <v>90</v>
      </c>
      <c r="B1754" t="b">
        <v>0</v>
      </c>
      <c r="C1754" t="s">
        <v>42121</v>
      </c>
      <c r="D1754">
        <v>1037022454355</v>
      </c>
      <c r="E1754">
        <v>1</v>
      </c>
      <c r="F1754">
        <v>6130753286</v>
      </c>
      <c r="G1754">
        <v>560000</v>
      </c>
      <c r="H1754" t="s">
        <v>40293</v>
      </c>
      <c r="I1754">
        <v>8635</v>
      </c>
      <c r="J1754">
        <v>2</v>
      </c>
      <c r="K1754">
        <v>6</v>
      </c>
    </row>
    <row r="1755" spans="1:11">
      <c r="A1755">
        <v>90</v>
      </c>
      <c r="B1755" t="b">
        <v>0</v>
      </c>
      <c r="C1755" t="s">
        <v>42185</v>
      </c>
      <c r="D1755">
        <v>1037022454355</v>
      </c>
      <c r="E1755">
        <v>1</v>
      </c>
      <c r="F1755">
        <v>6130555502</v>
      </c>
      <c r="G1755">
        <v>560000</v>
      </c>
      <c r="H1755" t="s">
        <v>40293</v>
      </c>
      <c r="I1755">
        <v>8639</v>
      </c>
      <c r="J1755">
        <v>10</v>
      </c>
      <c r="K1755">
        <v>10</v>
      </c>
    </row>
    <row r="1756" spans="1:11">
      <c r="A1756">
        <v>90</v>
      </c>
      <c r="B1756" t="b">
        <v>0</v>
      </c>
      <c r="C1756" t="s">
        <v>42197</v>
      </c>
      <c r="D1756">
        <v>1037022454355</v>
      </c>
      <c r="E1756">
        <v>1</v>
      </c>
      <c r="F1756">
        <v>6130753792</v>
      </c>
      <c r="G1756">
        <v>590000</v>
      </c>
      <c r="H1756" t="s">
        <v>40293</v>
      </c>
      <c r="I1756">
        <v>8641</v>
      </c>
      <c r="J1756">
        <v>29</v>
      </c>
      <c r="K1756">
        <v>32</v>
      </c>
    </row>
    <row r="1757" spans="1:11">
      <c r="A1757">
        <v>90</v>
      </c>
      <c r="B1757" t="b">
        <v>0</v>
      </c>
      <c r="C1757" t="s">
        <v>43977</v>
      </c>
      <c r="D1757">
        <v>1037022454355</v>
      </c>
      <c r="E1757">
        <v>1</v>
      </c>
      <c r="F1757">
        <v>6142066506</v>
      </c>
      <c r="G1757">
        <v>589900</v>
      </c>
      <c r="H1757" t="s">
        <v>40293</v>
      </c>
      <c r="I1757">
        <v>8641</v>
      </c>
      <c r="J1757">
        <v>12</v>
      </c>
      <c r="K1757">
        <v>25</v>
      </c>
    </row>
    <row r="1758" spans="1:11">
      <c r="A1758">
        <v>90</v>
      </c>
      <c r="B1758" t="b">
        <v>0</v>
      </c>
      <c r="C1758" t="s">
        <v>42796</v>
      </c>
      <c r="D1758">
        <v>1037022454355</v>
      </c>
      <c r="E1758">
        <v>1</v>
      </c>
      <c r="F1758">
        <v>6135771161</v>
      </c>
      <c r="G1758">
        <v>80000</v>
      </c>
      <c r="H1758" t="s">
        <v>40293</v>
      </c>
      <c r="I1758">
        <v>8748</v>
      </c>
      <c r="J1758">
        <v>144</v>
      </c>
      <c r="K1758">
        <v>156</v>
      </c>
    </row>
    <row r="1759" spans="1:11">
      <c r="A1759">
        <v>90</v>
      </c>
      <c r="B1759" t="b">
        <v>0</v>
      </c>
      <c r="C1759" t="s">
        <v>42102</v>
      </c>
      <c r="D1759">
        <v>1037022454355</v>
      </c>
      <c r="E1759">
        <v>1</v>
      </c>
      <c r="F1759">
        <v>6130052984</v>
      </c>
      <c r="G1759">
        <v>5600000</v>
      </c>
      <c r="H1759" t="s">
        <v>40293</v>
      </c>
      <c r="I1759">
        <v>8759</v>
      </c>
      <c r="J1759">
        <v>18</v>
      </c>
      <c r="K1759">
        <v>19</v>
      </c>
    </row>
    <row r="1760" spans="1:11">
      <c r="A1760">
        <v>90</v>
      </c>
      <c r="B1760" t="b">
        <v>0</v>
      </c>
      <c r="C1760" t="s">
        <v>44394</v>
      </c>
      <c r="D1760">
        <v>1037022454355</v>
      </c>
      <c r="E1760">
        <v>1</v>
      </c>
      <c r="F1760">
        <v>6153409340</v>
      </c>
      <c r="G1760">
        <v>5500000</v>
      </c>
      <c r="H1760" t="s">
        <v>40293</v>
      </c>
      <c r="I1760">
        <v>8759</v>
      </c>
      <c r="J1760">
        <v>2</v>
      </c>
      <c r="K1760">
        <v>2</v>
      </c>
    </row>
    <row r="1761" spans="1:11">
      <c r="A1761">
        <v>90</v>
      </c>
      <c r="B1761" t="b">
        <v>0</v>
      </c>
      <c r="C1761" t="s">
        <v>42097</v>
      </c>
      <c r="D1761">
        <v>1037022454355</v>
      </c>
      <c r="E1761">
        <v>1</v>
      </c>
      <c r="F1761">
        <v>6130052252</v>
      </c>
      <c r="G1761">
        <v>310000</v>
      </c>
      <c r="H1761" t="s">
        <v>40293</v>
      </c>
      <c r="I1761">
        <v>8785</v>
      </c>
      <c r="J1761">
        <v>14</v>
      </c>
      <c r="K1761">
        <v>28</v>
      </c>
    </row>
    <row r="1762" spans="1:11">
      <c r="A1762">
        <v>90</v>
      </c>
      <c r="B1762" t="b">
        <v>0</v>
      </c>
      <c r="C1762" t="s">
        <v>42087</v>
      </c>
      <c r="D1762">
        <v>1037022454355</v>
      </c>
      <c r="E1762">
        <v>1</v>
      </c>
      <c r="F1762">
        <v>6130050853</v>
      </c>
      <c r="G1762">
        <v>350000</v>
      </c>
      <c r="H1762" t="s">
        <v>40293</v>
      </c>
      <c r="I1762">
        <v>8787</v>
      </c>
      <c r="J1762">
        <v>38</v>
      </c>
      <c r="K1762">
        <v>41</v>
      </c>
    </row>
    <row r="1763" spans="1:11">
      <c r="A1763">
        <v>90</v>
      </c>
      <c r="B1763" t="b">
        <v>0</v>
      </c>
      <c r="C1763" t="s">
        <v>43814</v>
      </c>
      <c r="D1763">
        <v>1037022454355</v>
      </c>
      <c r="E1763">
        <v>1</v>
      </c>
      <c r="F1763">
        <v>6074068301</v>
      </c>
      <c r="G1763">
        <v>650100</v>
      </c>
      <c r="H1763" t="s">
        <v>40293</v>
      </c>
      <c r="I1763">
        <v>8815</v>
      </c>
      <c r="J1763">
        <v>511</v>
      </c>
      <c r="K1763">
        <v>571</v>
      </c>
    </row>
    <row r="1764" spans="1:11">
      <c r="A1764">
        <v>90</v>
      </c>
      <c r="B1764" t="b">
        <v>0</v>
      </c>
      <c r="C1764" t="s">
        <v>45083</v>
      </c>
      <c r="D1764">
        <v>1037022454355</v>
      </c>
      <c r="E1764">
        <v>1</v>
      </c>
      <c r="F1764">
        <v>6151977299</v>
      </c>
      <c r="G1764">
        <v>310000</v>
      </c>
      <c r="H1764" t="s">
        <v>40293</v>
      </c>
      <c r="I1764">
        <v>8815</v>
      </c>
      <c r="J1764">
        <v>101</v>
      </c>
      <c r="K1764">
        <v>101</v>
      </c>
    </row>
    <row r="1765" spans="1:11">
      <c r="A1765">
        <v>90</v>
      </c>
      <c r="B1765" t="b">
        <v>0</v>
      </c>
      <c r="C1765" t="s">
        <v>42192</v>
      </c>
      <c r="D1765">
        <v>1037022454355</v>
      </c>
      <c r="E1765">
        <v>1</v>
      </c>
      <c r="F1765">
        <v>6130061203</v>
      </c>
      <c r="G1765">
        <v>40000</v>
      </c>
      <c r="H1765" t="s">
        <v>40293</v>
      </c>
      <c r="I1765">
        <v>8819</v>
      </c>
      <c r="J1765">
        <v>16</v>
      </c>
      <c r="K1765">
        <v>17</v>
      </c>
    </row>
    <row r="1766" spans="1:11">
      <c r="A1766">
        <v>90</v>
      </c>
      <c r="B1766" t="b">
        <v>0</v>
      </c>
      <c r="C1766" t="s">
        <v>42158</v>
      </c>
      <c r="D1766">
        <v>1037022454355</v>
      </c>
      <c r="E1766">
        <v>1</v>
      </c>
      <c r="F1766">
        <v>6130061560</v>
      </c>
      <c r="G1766">
        <v>80000</v>
      </c>
      <c r="H1766" t="s">
        <v>40293</v>
      </c>
      <c r="I1766">
        <v>8821</v>
      </c>
      <c r="J1766">
        <v>6</v>
      </c>
      <c r="K1766">
        <v>6</v>
      </c>
    </row>
    <row r="1767" spans="1:11">
      <c r="A1767">
        <v>90</v>
      </c>
      <c r="B1767" t="b">
        <v>0</v>
      </c>
      <c r="C1767" t="s">
        <v>42166</v>
      </c>
      <c r="D1767">
        <v>1037022454355</v>
      </c>
      <c r="E1767">
        <v>1</v>
      </c>
      <c r="F1767">
        <v>6130062304</v>
      </c>
      <c r="G1767">
        <v>1100000</v>
      </c>
      <c r="H1767" t="s">
        <v>40293</v>
      </c>
      <c r="I1767">
        <v>8863</v>
      </c>
      <c r="J1767">
        <v>14</v>
      </c>
      <c r="K1767">
        <v>14</v>
      </c>
    </row>
    <row r="1768" spans="1:11">
      <c r="A1768">
        <v>90</v>
      </c>
      <c r="B1768" t="b">
        <v>0</v>
      </c>
      <c r="C1768" t="s">
        <v>40958</v>
      </c>
      <c r="D1768">
        <v>1037022454355</v>
      </c>
      <c r="E1768">
        <v>1</v>
      </c>
      <c r="F1768">
        <v>6102432637</v>
      </c>
      <c r="G1768">
        <v>750000</v>
      </c>
      <c r="H1768" t="s">
        <v>40293</v>
      </c>
      <c r="I1768">
        <v>8863</v>
      </c>
      <c r="J1768">
        <v>119</v>
      </c>
      <c r="K1768">
        <v>184</v>
      </c>
    </row>
    <row r="1769" spans="1:11">
      <c r="A1769">
        <v>90</v>
      </c>
      <c r="B1769" t="b">
        <v>0</v>
      </c>
      <c r="C1769" t="s">
        <v>45212</v>
      </c>
      <c r="D1769">
        <v>1037022454355</v>
      </c>
      <c r="E1769">
        <v>1</v>
      </c>
      <c r="F1769">
        <v>6151978240</v>
      </c>
      <c r="G1769">
        <v>60000</v>
      </c>
      <c r="H1769" t="s">
        <v>40293</v>
      </c>
      <c r="I1769">
        <v>8865</v>
      </c>
      <c r="J1769">
        <v>351</v>
      </c>
      <c r="K1769">
        <v>351</v>
      </c>
    </row>
    <row r="1770" spans="1:11">
      <c r="A1770">
        <v>90</v>
      </c>
      <c r="B1770" t="b">
        <v>0</v>
      </c>
      <c r="C1770" t="s">
        <v>41155</v>
      </c>
      <c r="D1770">
        <v>1037022454355</v>
      </c>
      <c r="E1770">
        <v>1</v>
      </c>
      <c r="F1770">
        <v>6121048949</v>
      </c>
      <c r="G1770">
        <v>816000</v>
      </c>
      <c r="H1770" t="s">
        <v>40293</v>
      </c>
      <c r="I1770">
        <v>8903</v>
      </c>
      <c r="J1770">
        <v>784</v>
      </c>
      <c r="K1770">
        <v>787</v>
      </c>
    </row>
    <row r="1771" spans="1:11">
      <c r="A1771">
        <v>90</v>
      </c>
      <c r="B1771" t="b">
        <v>0</v>
      </c>
      <c r="C1771" t="s">
        <v>43217</v>
      </c>
      <c r="D1771">
        <v>1037022454355</v>
      </c>
      <c r="E1771">
        <v>1</v>
      </c>
      <c r="F1771">
        <v>6143911682</v>
      </c>
      <c r="G1771">
        <v>465200</v>
      </c>
      <c r="H1771" t="s">
        <v>40293</v>
      </c>
      <c r="I1771">
        <v>8909</v>
      </c>
      <c r="J1771">
        <v>2</v>
      </c>
      <c r="K1771">
        <v>2</v>
      </c>
    </row>
    <row r="1772" spans="1:11">
      <c r="A1772">
        <v>90</v>
      </c>
      <c r="B1772" t="b">
        <v>0</v>
      </c>
      <c r="C1772" t="s">
        <v>43791</v>
      </c>
      <c r="D1772">
        <v>1037022454355</v>
      </c>
      <c r="E1772">
        <v>1</v>
      </c>
      <c r="F1772">
        <v>6074067674</v>
      </c>
      <c r="G1772">
        <v>420100</v>
      </c>
      <c r="H1772" t="s">
        <v>40293</v>
      </c>
      <c r="I1772">
        <v>9071</v>
      </c>
      <c r="J1772">
        <v>64</v>
      </c>
      <c r="K1772">
        <v>100</v>
      </c>
    </row>
    <row r="1773" spans="1:11">
      <c r="A1773">
        <v>90</v>
      </c>
      <c r="B1773" t="b">
        <v>0</v>
      </c>
      <c r="C1773" t="s">
        <v>41581</v>
      </c>
      <c r="D1773">
        <v>1037022454355</v>
      </c>
      <c r="E1773">
        <v>1</v>
      </c>
      <c r="F1773">
        <v>6089306075</v>
      </c>
      <c r="G1773">
        <v>419900</v>
      </c>
      <c r="H1773" t="s">
        <v>40293</v>
      </c>
      <c r="I1773">
        <v>9071</v>
      </c>
      <c r="J1773">
        <v>22</v>
      </c>
      <c r="K1773">
        <v>46</v>
      </c>
    </row>
    <row r="1774" spans="1:11">
      <c r="A1774">
        <v>90</v>
      </c>
      <c r="B1774" t="b">
        <v>0</v>
      </c>
      <c r="C1774" t="s">
        <v>42196</v>
      </c>
      <c r="D1774">
        <v>1037022454355</v>
      </c>
      <c r="E1774">
        <v>1</v>
      </c>
      <c r="F1774">
        <v>6130065323</v>
      </c>
      <c r="G1774">
        <v>1400000</v>
      </c>
      <c r="H1774" t="s">
        <v>40293</v>
      </c>
      <c r="I1774">
        <v>9127</v>
      </c>
      <c r="J1774">
        <v>18</v>
      </c>
      <c r="K1774">
        <v>22</v>
      </c>
    </row>
    <row r="1775" spans="1:11">
      <c r="A1775">
        <v>90</v>
      </c>
      <c r="B1775" t="b">
        <v>0</v>
      </c>
      <c r="C1775" t="s">
        <v>42200</v>
      </c>
      <c r="D1775">
        <v>1037022454355</v>
      </c>
      <c r="E1775">
        <v>1</v>
      </c>
      <c r="F1775">
        <v>6130066189</v>
      </c>
      <c r="G1775">
        <v>110000</v>
      </c>
      <c r="H1775" t="s">
        <v>40293</v>
      </c>
      <c r="I1775">
        <v>9131</v>
      </c>
      <c r="J1775">
        <v>55</v>
      </c>
      <c r="K1775">
        <v>55</v>
      </c>
    </row>
    <row r="1776" spans="1:11">
      <c r="A1776">
        <v>90</v>
      </c>
      <c r="B1776" t="b">
        <v>0</v>
      </c>
      <c r="C1776" t="s">
        <v>42234</v>
      </c>
      <c r="D1776">
        <v>1037022454355</v>
      </c>
      <c r="E1776">
        <v>1</v>
      </c>
      <c r="F1776">
        <v>6131937321</v>
      </c>
      <c r="G1776">
        <v>360000</v>
      </c>
      <c r="H1776" t="s">
        <v>40293</v>
      </c>
      <c r="I1776">
        <v>9133</v>
      </c>
      <c r="J1776">
        <v>89</v>
      </c>
      <c r="K1776">
        <v>93</v>
      </c>
    </row>
    <row r="1777" spans="1:11">
      <c r="A1777">
        <v>90</v>
      </c>
      <c r="B1777" t="b">
        <v>0</v>
      </c>
      <c r="C1777" t="s">
        <v>42182</v>
      </c>
      <c r="D1777">
        <v>1037022454355</v>
      </c>
      <c r="E1777">
        <v>1</v>
      </c>
      <c r="F1777">
        <v>6131177989</v>
      </c>
      <c r="G1777">
        <v>850000</v>
      </c>
      <c r="H1777" t="s">
        <v>40293</v>
      </c>
      <c r="I1777">
        <v>9135</v>
      </c>
      <c r="J1777">
        <v>4</v>
      </c>
      <c r="K1777">
        <v>4</v>
      </c>
    </row>
    <row r="1778" spans="1:11">
      <c r="A1778">
        <v>90</v>
      </c>
      <c r="B1778" t="b">
        <v>0</v>
      </c>
      <c r="C1778" t="s">
        <v>41948</v>
      </c>
      <c r="D1778">
        <v>1037022454355</v>
      </c>
      <c r="E1778">
        <v>1</v>
      </c>
      <c r="F1778">
        <v>6126133681</v>
      </c>
      <c r="G1778">
        <v>849900</v>
      </c>
      <c r="H1778" t="s">
        <v>40293</v>
      </c>
      <c r="I1778">
        <v>9135</v>
      </c>
      <c r="J1778">
        <v>18</v>
      </c>
      <c r="K1778">
        <v>25</v>
      </c>
    </row>
    <row r="1779" spans="1:11">
      <c r="A1779">
        <v>90</v>
      </c>
      <c r="B1779" t="b">
        <v>0</v>
      </c>
      <c r="C1779" t="s">
        <v>42213</v>
      </c>
      <c r="D1779">
        <v>1037022454355</v>
      </c>
      <c r="E1779">
        <v>1</v>
      </c>
      <c r="F1779">
        <v>6130067511</v>
      </c>
      <c r="G1779">
        <v>600000</v>
      </c>
      <c r="H1779" t="s">
        <v>40293</v>
      </c>
      <c r="I1779">
        <v>9135</v>
      </c>
      <c r="J1779">
        <v>23</v>
      </c>
      <c r="K1779">
        <v>29</v>
      </c>
    </row>
    <row r="1780" spans="1:11">
      <c r="A1780">
        <v>90</v>
      </c>
      <c r="B1780" t="b">
        <v>0</v>
      </c>
      <c r="C1780" t="s">
        <v>46320</v>
      </c>
      <c r="D1780">
        <v>1037022454355</v>
      </c>
      <c r="E1780">
        <v>1</v>
      </c>
      <c r="F1780">
        <v>6157398895</v>
      </c>
      <c r="G1780">
        <v>597000</v>
      </c>
      <c r="H1780" t="s">
        <v>40293</v>
      </c>
      <c r="I1780">
        <v>9135</v>
      </c>
      <c r="J1780">
        <v>1</v>
      </c>
      <c r="K1780">
        <v>1</v>
      </c>
    </row>
    <row r="1781" spans="1:11">
      <c r="A1781">
        <v>90</v>
      </c>
      <c r="B1781" t="b">
        <v>0</v>
      </c>
      <c r="C1781" t="s">
        <v>42013</v>
      </c>
      <c r="D1781">
        <v>1037022454355</v>
      </c>
      <c r="E1781">
        <v>1</v>
      </c>
      <c r="F1781">
        <v>6130068113</v>
      </c>
      <c r="G1781">
        <v>180000</v>
      </c>
      <c r="H1781" t="s">
        <v>40293</v>
      </c>
      <c r="I1781">
        <v>9141</v>
      </c>
      <c r="J1781">
        <v>122</v>
      </c>
      <c r="K1781">
        <v>122</v>
      </c>
    </row>
    <row r="1782" spans="1:11">
      <c r="A1782">
        <v>90</v>
      </c>
      <c r="B1782" t="b">
        <v>0</v>
      </c>
      <c r="C1782" t="s">
        <v>42107</v>
      </c>
      <c r="D1782">
        <v>1037022454355</v>
      </c>
      <c r="E1782">
        <v>1</v>
      </c>
      <c r="F1782">
        <v>6130557289</v>
      </c>
      <c r="G1782">
        <v>179000</v>
      </c>
      <c r="H1782" t="s">
        <v>40293</v>
      </c>
      <c r="I1782">
        <v>9141</v>
      </c>
      <c r="J1782">
        <v>13</v>
      </c>
      <c r="K1782">
        <v>13</v>
      </c>
    </row>
    <row r="1783" spans="1:11">
      <c r="A1783">
        <v>90</v>
      </c>
      <c r="B1783" t="b">
        <v>0</v>
      </c>
      <c r="C1783" t="s">
        <v>42462</v>
      </c>
      <c r="D1783">
        <v>1037022454355</v>
      </c>
      <c r="E1783">
        <v>1</v>
      </c>
      <c r="F1783">
        <v>6136900323</v>
      </c>
      <c r="G1783">
        <v>499000</v>
      </c>
      <c r="H1783" t="s">
        <v>40293</v>
      </c>
      <c r="I1783">
        <v>9207</v>
      </c>
      <c r="J1783">
        <v>1</v>
      </c>
      <c r="K1783">
        <v>2</v>
      </c>
    </row>
    <row r="1784" spans="1:11">
      <c r="A1784">
        <v>90</v>
      </c>
      <c r="B1784" t="b">
        <v>0</v>
      </c>
      <c r="C1784" t="s">
        <v>42465</v>
      </c>
      <c r="D1784">
        <v>1037022454355</v>
      </c>
      <c r="E1784">
        <v>1</v>
      </c>
      <c r="F1784">
        <v>6136900393</v>
      </c>
      <c r="G1784">
        <v>499000</v>
      </c>
      <c r="H1784" t="s">
        <v>40293</v>
      </c>
      <c r="I1784">
        <v>9211</v>
      </c>
      <c r="J1784">
        <v>1</v>
      </c>
      <c r="K1784">
        <v>1</v>
      </c>
    </row>
    <row r="1785" spans="1:11">
      <c r="A1785">
        <v>90</v>
      </c>
      <c r="B1785" t="b">
        <v>0</v>
      </c>
      <c r="C1785" t="s">
        <v>43100</v>
      </c>
      <c r="D1785">
        <v>1037022454355</v>
      </c>
      <c r="E1785">
        <v>1</v>
      </c>
      <c r="F1785">
        <v>6074063828</v>
      </c>
      <c r="G1785">
        <v>563900</v>
      </c>
      <c r="H1785" t="s">
        <v>40293</v>
      </c>
      <c r="I1785">
        <v>9327</v>
      </c>
      <c r="J1785">
        <v>130</v>
      </c>
      <c r="K1785">
        <v>137</v>
      </c>
    </row>
    <row r="1786" spans="1:11">
      <c r="A1786">
        <v>90</v>
      </c>
      <c r="B1786" t="b">
        <v>0</v>
      </c>
      <c r="C1786" t="s">
        <v>43188</v>
      </c>
      <c r="D1786">
        <v>1037022454355</v>
      </c>
      <c r="E1786">
        <v>1</v>
      </c>
      <c r="F1786">
        <v>6143690181</v>
      </c>
      <c r="G1786">
        <v>563800</v>
      </c>
      <c r="H1786" t="s">
        <v>40293</v>
      </c>
      <c r="I1786">
        <v>9327</v>
      </c>
      <c r="J1786">
        <v>20</v>
      </c>
      <c r="K1786">
        <v>25</v>
      </c>
    </row>
    <row r="1787" spans="1:11">
      <c r="A1787">
        <v>90</v>
      </c>
      <c r="B1787" t="b">
        <v>0</v>
      </c>
      <c r="C1787" t="s">
        <v>43902</v>
      </c>
      <c r="D1787">
        <v>1037022454355</v>
      </c>
      <c r="E1787">
        <v>1</v>
      </c>
      <c r="F1787">
        <v>6074061780</v>
      </c>
      <c r="G1787">
        <v>707100</v>
      </c>
      <c r="H1787" t="s">
        <v>40293</v>
      </c>
      <c r="I1787">
        <v>9367</v>
      </c>
      <c r="J1787">
        <v>95</v>
      </c>
      <c r="K1787">
        <v>104</v>
      </c>
    </row>
    <row r="1788" spans="1:11">
      <c r="A1788">
        <v>90</v>
      </c>
      <c r="B1788" t="b">
        <v>0</v>
      </c>
      <c r="C1788" t="s">
        <v>42992</v>
      </c>
      <c r="D1788">
        <v>1037022454355</v>
      </c>
      <c r="E1788">
        <v>1</v>
      </c>
      <c r="F1788">
        <v>6074062791</v>
      </c>
      <c r="G1788">
        <v>1141000</v>
      </c>
      <c r="H1788" t="s">
        <v>40293</v>
      </c>
      <c r="I1788">
        <v>9451</v>
      </c>
      <c r="J1788">
        <v>151</v>
      </c>
      <c r="K1788">
        <v>151</v>
      </c>
    </row>
    <row r="1789" spans="1:11">
      <c r="A1789">
        <v>90</v>
      </c>
      <c r="B1789" t="b">
        <v>0</v>
      </c>
      <c r="C1789" t="s">
        <v>42089</v>
      </c>
      <c r="D1789">
        <v>1037022454355</v>
      </c>
      <c r="E1789">
        <v>1</v>
      </c>
      <c r="F1789">
        <v>6130575295</v>
      </c>
      <c r="G1789">
        <v>999900</v>
      </c>
      <c r="H1789" t="s">
        <v>40293</v>
      </c>
      <c r="I1789">
        <v>9451</v>
      </c>
      <c r="J1789">
        <v>18</v>
      </c>
      <c r="K1789">
        <v>25</v>
      </c>
    </row>
    <row r="1790" spans="1:11">
      <c r="A1790">
        <v>90</v>
      </c>
      <c r="B1790" t="b">
        <v>0</v>
      </c>
      <c r="C1790" t="s">
        <v>45259</v>
      </c>
      <c r="D1790">
        <v>1037022454355</v>
      </c>
      <c r="E1790">
        <v>1</v>
      </c>
      <c r="F1790">
        <v>6151978956</v>
      </c>
      <c r="G1790">
        <v>750000</v>
      </c>
      <c r="H1790" t="s">
        <v>40293</v>
      </c>
      <c r="I1790">
        <v>9451</v>
      </c>
      <c r="J1790">
        <v>34</v>
      </c>
      <c r="K1790">
        <v>74</v>
      </c>
    </row>
    <row r="1791" spans="1:11">
      <c r="A1791">
        <v>90</v>
      </c>
      <c r="B1791" t="b">
        <v>0</v>
      </c>
      <c r="C1791" t="s">
        <v>42239</v>
      </c>
      <c r="D1791">
        <v>1037022454355</v>
      </c>
      <c r="E1791">
        <v>1</v>
      </c>
      <c r="F1791">
        <v>6130069948</v>
      </c>
      <c r="G1791">
        <v>150000</v>
      </c>
      <c r="H1791" t="s">
        <v>40293</v>
      </c>
      <c r="I1791">
        <v>9453</v>
      </c>
      <c r="J1791">
        <v>122</v>
      </c>
      <c r="K1791">
        <v>128</v>
      </c>
    </row>
    <row r="1792" spans="1:11">
      <c r="A1792">
        <v>90</v>
      </c>
      <c r="B1792" t="b">
        <v>0</v>
      </c>
      <c r="C1792" t="s">
        <v>40340</v>
      </c>
      <c r="D1792">
        <v>1037022454355</v>
      </c>
      <c r="E1792">
        <v>1</v>
      </c>
      <c r="F1792">
        <v>6122870304</v>
      </c>
      <c r="G1792">
        <v>800000</v>
      </c>
      <c r="H1792" t="s">
        <v>40293</v>
      </c>
      <c r="I1792">
        <v>9457</v>
      </c>
      <c r="J1792">
        <v>5</v>
      </c>
      <c r="K1792">
        <v>9</v>
      </c>
    </row>
    <row r="1793" spans="1:11">
      <c r="A1793">
        <v>90</v>
      </c>
      <c r="B1793" t="b">
        <v>0</v>
      </c>
      <c r="C1793" t="s">
        <v>41983</v>
      </c>
      <c r="D1793">
        <v>1037022454355</v>
      </c>
      <c r="E1793">
        <v>1</v>
      </c>
      <c r="F1793">
        <v>6128170466</v>
      </c>
      <c r="G1793">
        <v>800000</v>
      </c>
      <c r="H1793" t="s">
        <v>40293</v>
      </c>
      <c r="I1793">
        <v>9457</v>
      </c>
      <c r="J1793">
        <v>5</v>
      </c>
      <c r="K1793">
        <v>5</v>
      </c>
    </row>
    <row r="1794" spans="1:11">
      <c r="A1794">
        <v>90</v>
      </c>
      <c r="B1794" t="b">
        <v>0</v>
      </c>
      <c r="C1794" t="s">
        <v>43183</v>
      </c>
      <c r="D1794">
        <v>1037022454355</v>
      </c>
      <c r="E1794">
        <v>1</v>
      </c>
      <c r="F1794">
        <v>6142829057</v>
      </c>
      <c r="G1794">
        <v>799900</v>
      </c>
      <c r="H1794" t="s">
        <v>40293</v>
      </c>
      <c r="I1794">
        <v>9457</v>
      </c>
      <c r="J1794">
        <v>19</v>
      </c>
      <c r="K1794">
        <v>25</v>
      </c>
    </row>
    <row r="1795" spans="1:11">
      <c r="A1795">
        <v>90</v>
      </c>
      <c r="B1795" t="b">
        <v>0</v>
      </c>
      <c r="C1795" t="s">
        <v>45887</v>
      </c>
      <c r="D1795">
        <v>1037022454355</v>
      </c>
      <c r="E1795">
        <v>1</v>
      </c>
      <c r="F1795">
        <v>6152608953</v>
      </c>
      <c r="G1795">
        <v>799800</v>
      </c>
      <c r="H1795" t="s">
        <v>40293</v>
      </c>
      <c r="I1795">
        <v>9457</v>
      </c>
      <c r="J1795">
        <v>29</v>
      </c>
      <c r="K1795">
        <v>29</v>
      </c>
    </row>
    <row r="1796" spans="1:11">
      <c r="A1796">
        <v>90</v>
      </c>
      <c r="B1796" t="b">
        <v>0</v>
      </c>
      <c r="C1796" t="s">
        <v>43633</v>
      </c>
      <c r="D1796">
        <v>1037022454355</v>
      </c>
      <c r="E1796">
        <v>1</v>
      </c>
      <c r="F1796">
        <v>6074062261</v>
      </c>
      <c r="G1796">
        <v>3745000</v>
      </c>
      <c r="H1796" t="s">
        <v>40293</v>
      </c>
      <c r="I1796">
        <v>9491</v>
      </c>
      <c r="J1796">
        <v>138</v>
      </c>
      <c r="K1796">
        <v>138</v>
      </c>
    </row>
    <row r="1797" spans="1:11">
      <c r="A1797">
        <v>90</v>
      </c>
      <c r="B1797" t="b">
        <v>0</v>
      </c>
      <c r="C1797" t="s">
        <v>41673</v>
      </c>
      <c r="D1797">
        <v>1037022454355</v>
      </c>
      <c r="E1797">
        <v>1</v>
      </c>
      <c r="F1797">
        <v>6067877801</v>
      </c>
      <c r="G1797">
        <v>3197000</v>
      </c>
      <c r="H1797" t="s">
        <v>40293</v>
      </c>
      <c r="I1797">
        <v>9491</v>
      </c>
      <c r="J1797">
        <v>14</v>
      </c>
      <c r="K1797">
        <v>16</v>
      </c>
    </row>
    <row r="1798" spans="1:11">
      <c r="A1798">
        <v>90</v>
      </c>
      <c r="B1798" t="b">
        <v>0</v>
      </c>
      <c r="C1798" t="s">
        <v>43119</v>
      </c>
      <c r="D1798">
        <v>1037022454355</v>
      </c>
      <c r="E1798">
        <v>1</v>
      </c>
      <c r="F1798">
        <v>6147054430</v>
      </c>
      <c r="G1798">
        <v>3196000</v>
      </c>
      <c r="H1798" t="s">
        <v>40293</v>
      </c>
      <c r="I1798">
        <v>9491</v>
      </c>
      <c r="J1798">
        <v>21</v>
      </c>
      <c r="K1798">
        <v>24</v>
      </c>
    </row>
    <row r="1799" spans="1:11">
      <c r="A1799">
        <v>90</v>
      </c>
      <c r="B1799" t="b">
        <v>0</v>
      </c>
      <c r="C1799" t="s">
        <v>42093</v>
      </c>
      <c r="D1799">
        <v>1037022454355</v>
      </c>
      <c r="E1799">
        <v>1</v>
      </c>
      <c r="F1799">
        <v>6073363038</v>
      </c>
      <c r="G1799">
        <v>1251000</v>
      </c>
      <c r="H1799" t="s">
        <v>40293</v>
      </c>
      <c r="I1799">
        <v>9497</v>
      </c>
      <c r="J1799">
        <v>10</v>
      </c>
      <c r="K1799">
        <v>25</v>
      </c>
    </row>
    <row r="1800" spans="1:11">
      <c r="A1800">
        <v>90</v>
      </c>
      <c r="B1800" t="b">
        <v>0</v>
      </c>
      <c r="C1800" t="s">
        <v>41185</v>
      </c>
      <c r="D1800">
        <v>1037022454355</v>
      </c>
      <c r="E1800">
        <v>1</v>
      </c>
      <c r="F1800">
        <v>6093688135</v>
      </c>
      <c r="G1800">
        <v>440000</v>
      </c>
      <c r="H1800" t="s">
        <v>40293</v>
      </c>
      <c r="I1800">
        <v>9556</v>
      </c>
      <c r="J1800">
        <v>3</v>
      </c>
      <c r="K1800">
        <v>3</v>
      </c>
    </row>
    <row r="1801" spans="1:11">
      <c r="A1801">
        <v>90</v>
      </c>
      <c r="B1801" t="b">
        <v>0</v>
      </c>
      <c r="C1801" t="s">
        <v>42273</v>
      </c>
      <c r="D1801">
        <v>1037022454355</v>
      </c>
      <c r="E1801">
        <v>1</v>
      </c>
      <c r="F1801">
        <v>6130072560</v>
      </c>
      <c r="G1801">
        <v>80000</v>
      </c>
      <c r="H1801" t="s">
        <v>40293</v>
      </c>
      <c r="I1801">
        <v>9556</v>
      </c>
      <c r="J1801">
        <v>94</v>
      </c>
      <c r="K1801">
        <v>94</v>
      </c>
    </row>
    <row r="1802" spans="1:11">
      <c r="A1802">
        <v>90</v>
      </c>
      <c r="B1802" t="b">
        <v>0</v>
      </c>
      <c r="C1802" t="s">
        <v>42052</v>
      </c>
      <c r="D1802">
        <v>1037022454355</v>
      </c>
      <c r="E1802">
        <v>1</v>
      </c>
      <c r="F1802">
        <v>6081844980</v>
      </c>
      <c r="G1802">
        <v>79990</v>
      </c>
      <c r="H1802" t="s">
        <v>40293</v>
      </c>
      <c r="I1802">
        <v>9556</v>
      </c>
      <c r="J1802">
        <v>5</v>
      </c>
      <c r="K1802">
        <v>10</v>
      </c>
    </row>
    <row r="1803" spans="1:11">
      <c r="A1803">
        <v>90</v>
      </c>
      <c r="B1803" t="b">
        <v>0</v>
      </c>
      <c r="C1803" t="s">
        <v>42039</v>
      </c>
      <c r="D1803">
        <v>1037022454355</v>
      </c>
      <c r="E1803">
        <v>1</v>
      </c>
      <c r="F1803">
        <v>6130077657</v>
      </c>
      <c r="G1803">
        <v>50010</v>
      </c>
      <c r="H1803" t="s">
        <v>40293</v>
      </c>
      <c r="I1803">
        <v>9568</v>
      </c>
      <c r="J1803">
        <v>60</v>
      </c>
      <c r="K1803">
        <v>64</v>
      </c>
    </row>
    <row r="1804" spans="1:11">
      <c r="A1804">
        <v>90</v>
      </c>
      <c r="B1804" t="b">
        <v>0</v>
      </c>
      <c r="C1804" t="s">
        <v>41610</v>
      </c>
      <c r="D1804">
        <v>1037022454355</v>
      </c>
      <c r="E1804">
        <v>1</v>
      </c>
      <c r="F1804">
        <v>6095270366</v>
      </c>
      <c r="G1804">
        <v>1000000</v>
      </c>
      <c r="H1804" t="s">
        <v>40293</v>
      </c>
      <c r="I1804">
        <v>9580</v>
      </c>
      <c r="J1804">
        <v>10</v>
      </c>
      <c r="K1804">
        <v>60</v>
      </c>
    </row>
    <row r="1805" spans="1:11">
      <c r="A1805">
        <v>90</v>
      </c>
      <c r="B1805" t="b">
        <v>0</v>
      </c>
      <c r="C1805" t="s">
        <v>42268</v>
      </c>
      <c r="D1805">
        <v>1037022454355</v>
      </c>
      <c r="E1805">
        <v>1</v>
      </c>
      <c r="F1805">
        <v>6130072057</v>
      </c>
      <c r="G1805">
        <v>310000</v>
      </c>
      <c r="H1805" t="s">
        <v>40293</v>
      </c>
      <c r="I1805">
        <v>9580</v>
      </c>
      <c r="J1805">
        <v>56</v>
      </c>
      <c r="K1805">
        <v>63</v>
      </c>
    </row>
    <row r="1806" spans="1:11">
      <c r="A1806">
        <v>90</v>
      </c>
      <c r="B1806" t="b">
        <v>0</v>
      </c>
      <c r="C1806" t="s">
        <v>46084</v>
      </c>
      <c r="D1806">
        <v>1037022454355</v>
      </c>
      <c r="E1806">
        <v>1</v>
      </c>
      <c r="F1806">
        <v>6149105465</v>
      </c>
      <c r="G1806">
        <v>309900</v>
      </c>
      <c r="H1806" t="s">
        <v>40293</v>
      </c>
      <c r="I1806">
        <v>9580</v>
      </c>
      <c r="J1806">
        <v>3</v>
      </c>
      <c r="K1806">
        <v>30</v>
      </c>
    </row>
    <row r="1807" spans="1:11">
      <c r="A1807">
        <v>90</v>
      </c>
      <c r="B1807" t="b">
        <v>0</v>
      </c>
      <c r="C1807" t="s">
        <v>41189</v>
      </c>
      <c r="D1807">
        <v>1037022454355</v>
      </c>
      <c r="E1807">
        <v>1</v>
      </c>
      <c r="F1807">
        <v>6093688316</v>
      </c>
      <c r="G1807">
        <v>300000</v>
      </c>
      <c r="H1807" t="s">
        <v>40293</v>
      </c>
      <c r="I1807">
        <v>9582</v>
      </c>
      <c r="J1807">
        <v>1</v>
      </c>
      <c r="K1807">
        <v>2</v>
      </c>
    </row>
    <row r="1808" spans="1:11">
      <c r="A1808">
        <v>90</v>
      </c>
      <c r="B1808" t="b">
        <v>0</v>
      </c>
      <c r="C1808" t="s">
        <v>41998</v>
      </c>
      <c r="D1808">
        <v>1037022454355</v>
      </c>
      <c r="E1808">
        <v>1</v>
      </c>
      <c r="F1808">
        <v>6130074048</v>
      </c>
      <c r="G1808">
        <v>90000</v>
      </c>
      <c r="H1808" t="s">
        <v>40293</v>
      </c>
      <c r="I1808">
        <v>9582</v>
      </c>
      <c r="J1808">
        <v>75</v>
      </c>
      <c r="K1808">
        <v>81</v>
      </c>
    </row>
    <row r="1809" spans="1:11">
      <c r="A1809">
        <v>90</v>
      </c>
      <c r="B1809" t="b">
        <v>0</v>
      </c>
      <c r="C1809" t="s">
        <v>42003</v>
      </c>
      <c r="D1809">
        <v>1037022454355</v>
      </c>
      <c r="E1809">
        <v>1</v>
      </c>
      <c r="F1809">
        <v>6130074508</v>
      </c>
      <c r="G1809">
        <v>50000</v>
      </c>
      <c r="H1809" t="s">
        <v>40293</v>
      </c>
      <c r="I1809">
        <v>9608</v>
      </c>
      <c r="J1809">
        <v>73</v>
      </c>
      <c r="K1809">
        <v>73</v>
      </c>
    </row>
    <row r="1810" spans="1:11">
      <c r="A1810">
        <v>90</v>
      </c>
      <c r="B1810" t="b">
        <v>0</v>
      </c>
      <c r="C1810" t="s">
        <v>40389</v>
      </c>
      <c r="D1810">
        <v>1037022454355</v>
      </c>
      <c r="E1810">
        <v>1</v>
      </c>
      <c r="F1810">
        <v>6108711236</v>
      </c>
      <c r="G1810">
        <v>416700</v>
      </c>
      <c r="H1810" t="s">
        <v>40293</v>
      </c>
      <c r="I1810">
        <v>9622</v>
      </c>
      <c r="J1810">
        <v>4</v>
      </c>
      <c r="K1810">
        <v>4</v>
      </c>
    </row>
    <row r="1811" spans="1:11">
      <c r="A1811">
        <v>90</v>
      </c>
      <c r="B1811" t="b">
        <v>0</v>
      </c>
      <c r="C1811" t="s">
        <v>42160</v>
      </c>
      <c r="D1811">
        <v>1037022454355</v>
      </c>
      <c r="E1811">
        <v>1</v>
      </c>
      <c r="F1811">
        <v>6129930660</v>
      </c>
      <c r="G1811">
        <v>75010</v>
      </c>
      <c r="H1811" t="s">
        <v>40293</v>
      </c>
      <c r="I1811">
        <v>9622</v>
      </c>
      <c r="J1811">
        <v>154</v>
      </c>
      <c r="K1811">
        <v>154</v>
      </c>
    </row>
    <row r="1812" spans="1:11">
      <c r="A1812">
        <v>90</v>
      </c>
      <c r="B1812" t="b">
        <v>0</v>
      </c>
      <c r="C1812" t="s">
        <v>41142</v>
      </c>
      <c r="D1812">
        <v>1037022454355</v>
      </c>
      <c r="E1812">
        <v>1</v>
      </c>
      <c r="F1812">
        <v>6116576355</v>
      </c>
      <c r="G1812">
        <v>75000</v>
      </c>
      <c r="H1812" t="s">
        <v>40293</v>
      </c>
      <c r="I1812">
        <v>9622</v>
      </c>
      <c r="J1812">
        <v>64</v>
      </c>
      <c r="K1812">
        <v>100</v>
      </c>
    </row>
    <row r="1813" spans="1:11">
      <c r="A1813">
        <v>90</v>
      </c>
      <c r="B1813" t="b">
        <v>0</v>
      </c>
      <c r="C1813" t="s">
        <v>42247</v>
      </c>
      <c r="D1813">
        <v>1037022454355</v>
      </c>
      <c r="E1813">
        <v>1</v>
      </c>
      <c r="F1813">
        <v>6129906643</v>
      </c>
      <c r="G1813">
        <v>74000</v>
      </c>
      <c r="H1813" t="s">
        <v>40293</v>
      </c>
      <c r="I1813">
        <v>9622</v>
      </c>
      <c r="J1813">
        <v>11</v>
      </c>
      <c r="K1813">
        <v>12</v>
      </c>
    </row>
    <row r="1814" spans="1:11">
      <c r="A1814">
        <v>90</v>
      </c>
      <c r="B1814" t="b">
        <v>0</v>
      </c>
      <c r="C1814" t="s">
        <v>43876</v>
      </c>
      <c r="D1814">
        <v>1037022454355</v>
      </c>
      <c r="E1814">
        <v>1</v>
      </c>
      <c r="F1814">
        <v>6142457012</v>
      </c>
      <c r="G1814">
        <v>73990</v>
      </c>
      <c r="H1814" t="s">
        <v>40293</v>
      </c>
      <c r="I1814">
        <v>9622</v>
      </c>
      <c r="J1814">
        <v>6</v>
      </c>
      <c r="K1814">
        <v>13</v>
      </c>
    </row>
    <row r="1815" spans="1:11">
      <c r="A1815">
        <v>90</v>
      </c>
      <c r="B1815" t="b">
        <v>0</v>
      </c>
      <c r="C1815" t="s">
        <v>42033</v>
      </c>
      <c r="D1815">
        <v>1037022454355</v>
      </c>
      <c r="E1815">
        <v>1</v>
      </c>
      <c r="F1815">
        <v>6130077413</v>
      </c>
      <c r="G1815">
        <v>250000</v>
      </c>
      <c r="H1815" t="s">
        <v>40293</v>
      </c>
      <c r="I1815">
        <v>9632</v>
      </c>
      <c r="J1815">
        <v>104</v>
      </c>
      <c r="K1815">
        <v>104</v>
      </c>
    </row>
    <row r="1816" spans="1:11">
      <c r="A1816">
        <v>90</v>
      </c>
      <c r="B1816" t="b">
        <v>0</v>
      </c>
      <c r="C1816" t="s">
        <v>41228</v>
      </c>
      <c r="D1816">
        <v>1037022454355</v>
      </c>
      <c r="E1816">
        <v>1</v>
      </c>
      <c r="F1816">
        <v>6106828948</v>
      </c>
      <c r="G1816">
        <v>175000</v>
      </c>
      <c r="H1816" t="s">
        <v>40293</v>
      </c>
      <c r="I1816">
        <v>9632</v>
      </c>
      <c r="J1816">
        <v>11</v>
      </c>
      <c r="K1816">
        <v>25</v>
      </c>
    </row>
    <row r="1817" spans="1:11">
      <c r="A1817">
        <v>90</v>
      </c>
      <c r="B1817" t="b">
        <v>0</v>
      </c>
      <c r="C1817" t="s">
        <v>46420</v>
      </c>
      <c r="D1817">
        <v>1037022454355</v>
      </c>
      <c r="E1817">
        <v>1</v>
      </c>
      <c r="F1817">
        <v>6156843454</v>
      </c>
      <c r="G1817">
        <v>174900</v>
      </c>
      <c r="H1817" t="s">
        <v>40293</v>
      </c>
      <c r="I1817">
        <v>9632</v>
      </c>
      <c r="J1817">
        <v>8</v>
      </c>
      <c r="K1817">
        <v>10</v>
      </c>
    </row>
    <row r="1818" spans="1:11">
      <c r="A1818">
        <v>90</v>
      </c>
      <c r="B1818" t="b">
        <v>0</v>
      </c>
      <c r="C1818" t="s">
        <v>42266</v>
      </c>
      <c r="D1818">
        <v>1037022454355</v>
      </c>
      <c r="E1818">
        <v>1</v>
      </c>
      <c r="F1818">
        <v>6130073307</v>
      </c>
      <c r="G1818">
        <v>70000</v>
      </c>
      <c r="H1818" t="s">
        <v>40293</v>
      </c>
      <c r="I1818">
        <v>9646</v>
      </c>
      <c r="J1818">
        <v>102</v>
      </c>
      <c r="K1818">
        <v>104</v>
      </c>
    </row>
    <row r="1819" spans="1:11">
      <c r="A1819">
        <v>90</v>
      </c>
      <c r="B1819" t="b">
        <v>0</v>
      </c>
      <c r="C1819" t="s">
        <v>46374</v>
      </c>
      <c r="D1819">
        <v>1037022454355</v>
      </c>
      <c r="E1819">
        <v>1</v>
      </c>
      <c r="F1819">
        <v>6152582947</v>
      </c>
      <c r="G1819">
        <v>69900</v>
      </c>
      <c r="H1819" t="s">
        <v>40293</v>
      </c>
      <c r="I1819">
        <v>9646</v>
      </c>
      <c r="J1819">
        <v>32</v>
      </c>
      <c r="K1819">
        <v>36</v>
      </c>
    </row>
    <row r="1820" spans="1:11">
      <c r="A1820">
        <v>90</v>
      </c>
      <c r="B1820" t="b">
        <v>0</v>
      </c>
      <c r="C1820" t="s">
        <v>40773</v>
      </c>
      <c r="D1820">
        <v>1037022454355</v>
      </c>
      <c r="E1820">
        <v>1</v>
      </c>
      <c r="F1820">
        <v>6095270080</v>
      </c>
      <c r="G1820">
        <v>1100000</v>
      </c>
      <c r="H1820" t="s">
        <v>40293</v>
      </c>
      <c r="I1820">
        <v>9660</v>
      </c>
      <c r="J1820">
        <v>38</v>
      </c>
      <c r="K1820">
        <v>38</v>
      </c>
    </row>
    <row r="1821" spans="1:11">
      <c r="A1821">
        <v>90</v>
      </c>
      <c r="B1821" t="b">
        <v>0</v>
      </c>
      <c r="C1821" t="s">
        <v>41564</v>
      </c>
      <c r="D1821">
        <v>1037022454355</v>
      </c>
      <c r="E1821">
        <v>1</v>
      </c>
      <c r="F1821">
        <v>6095269395</v>
      </c>
      <c r="G1821">
        <v>1000000</v>
      </c>
      <c r="H1821" t="s">
        <v>40293</v>
      </c>
      <c r="I1821">
        <v>9660</v>
      </c>
      <c r="J1821">
        <v>21</v>
      </c>
      <c r="K1821">
        <v>22</v>
      </c>
    </row>
    <row r="1822" spans="1:11">
      <c r="A1822">
        <v>90</v>
      </c>
      <c r="B1822" t="b">
        <v>0</v>
      </c>
      <c r="C1822" t="s">
        <v>42041</v>
      </c>
      <c r="D1822">
        <v>1037022454355</v>
      </c>
      <c r="E1822">
        <v>1</v>
      </c>
      <c r="F1822">
        <v>6130077979</v>
      </c>
      <c r="G1822">
        <v>75010</v>
      </c>
      <c r="H1822" t="s">
        <v>40293</v>
      </c>
      <c r="I1822">
        <v>9660</v>
      </c>
      <c r="J1822">
        <v>99</v>
      </c>
      <c r="K1822">
        <v>99</v>
      </c>
    </row>
    <row r="1823" spans="1:11">
      <c r="A1823">
        <v>90</v>
      </c>
      <c r="B1823" t="b">
        <v>0</v>
      </c>
      <c r="C1823" t="s">
        <v>40434</v>
      </c>
      <c r="D1823">
        <v>1037022454355</v>
      </c>
      <c r="E1823">
        <v>1</v>
      </c>
      <c r="F1823">
        <v>6116576707</v>
      </c>
      <c r="G1823">
        <v>75000</v>
      </c>
      <c r="H1823" t="s">
        <v>40293</v>
      </c>
      <c r="I1823">
        <v>9660</v>
      </c>
      <c r="J1823">
        <v>44</v>
      </c>
      <c r="K1823">
        <v>75</v>
      </c>
    </row>
    <row r="1824" spans="1:11">
      <c r="A1824">
        <v>90</v>
      </c>
      <c r="B1824" t="b">
        <v>0</v>
      </c>
      <c r="C1824" t="s">
        <v>41976</v>
      </c>
      <c r="D1824">
        <v>1037022454355</v>
      </c>
      <c r="E1824">
        <v>1</v>
      </c>
      <c r="F1824">
        <v>6127350221</v>
      </c>
      <c r="G1824">
        <v>799000</v>
      </c>
      <c r="H1824" t="s">
        <v>40293</v>
      </c>
      <c r="I1824">
        <v>9668</v>
      </c>
      <c r="J1824">
        <v>10</v>
      </c>
      <c r="K1824">
        <v>12</v>
      </c>
    </row>
    <row r="1825" spans="1:11">
      <c r="A1825">
        <v>90</v>
      </c>
      <c r="B1825" t="b">
        <v>0</v>
      </c>
      <c r="C1825" t="s">
        <v>40541</v>
      </c>
      <c r="D1825">
        <v>1037022454355</v>
      </c>
      <c r="E1825">
        <v>1</v>
      </c>
      <c r="F1825">
        <v>6081844981</v>
      </c>
      <c r="G1825">
        <v>999900</v>
      </c>
      <c r="H1825" t="s">
        <v>40293</v>
      </c>
      <c r="I1825">
        <v>9670</v>
      </c>
      <c r="J1825">
        <v>7</v>
      </c>
      <c r="K1825">
        <v>10</v>
      </c>
    </row>
    <row r="1826" spans="1:11">
      <c r="A1826">
        <v>90</v>
      </c>
      <c r="B1826" t="b">
        <v>0</v>
      </c>
      <c r="C1826" t="s">
        <v>41939</v>
      </c>
      <c r="D1826">
        <v>1037022454355</v>
      </c>
      <c r="E1826">
        <v>1</v>
      </c>
      <c r="F1826">
        <v>6067510407</v>
      </c>
      <c r="G1826">
        <v>746900</v>
      </c>
      <c r="H1826" t="s">
        <v>40293</v>
      </c>
      <c r="I1826">
        <v>9772</v>
      </c>
      <c r="J1826">
        <v>12</v>
      </c>
      <c r="K1826">
        <v>29</v>
      </c>
    </row>
    <row r="1827" spans="1:11">
      <c r="A1827">
        <v>90</v>
      </c>
      <c r="B1827" t="b">
        <v>0</v>
      </c>
      <c r="C1827" t="s">
        <v>42417</v>
      </c>
      <c r="D1827">
        <v>1037022454355</v>
      </c>
      <c r="E1827">
        <v>1</v>
      </c>
      <c r="F1827">
        <v>6132801969</v>
      </c>
      <c r="G1827">
        <v>746000</v>
      </c>
      <c r="H1827" t="s">
        <v>40293</v>
      </c>
      <c r="I1827">
        <v>9772</v>
      </c>
      <c r="J1827">
        <v>67</v>
      </c>
      <c r="K1827">
        <v>80</v>
      </c>
    </row>
    <row r="1828" spans="1:11">
      <c r="A1828">
        <v>90</v>
      </c>
      <c r="B1828" t="b">
        <v>0</v>
      </c>
      <c r="C1828" t="s">
        <v>40935</v>
      </c>
      <c r="D1828">
        <v>1037022454355</v>
      </c>
      <c r="E1828">
        <v>1</v>
      </c>
      <c r="F1828">
        <v>6105151830</v>
      </c>
      <c r="G1828">
        <v>798600</v>
      </c>
      <c r="H1828" t="s">
        <v>40293</v>
      </c>
      <c r="I1828">
        <v>9784</v>
      </c>
      <c r="J1828">
        <v>2</v>
      </c>
      <c r="K1828">
        <v>3</v>
      </c>
    </row>
    <row r="1829" spans="1:11">
      <c r="A1829">
        <v>30</v>
      </c>
      <c r="B1829" t="b">
        <v>0</v>
      </c>
      <c r="C1829" t="s">
        <v>45482</v>
      </c>
      <c r="D1829">
        <v>1037022454355</v>
      </c>
      <c r="E1829">
        <v>1</v>
      </c>
      <c r="F1829">
        <v>6155816072</v>
      </c>
      <c r="G1829">
        <v>360</v>
      </c>
      <c r="H1829" t="s">
        <v>40293</v>
      </c>
      <c r="I1829">
        <v>9826</v>
      </c>
      <c r="J1829">
        <v>159</v>
      </c>
      <c r="K1829">
        <v>159</v>
      </c>
    </row>
    <row r="1830" spans="1:11">
      <c r="A1830">
        <v>90</v>
      </c>
      <c r="B1830" t="b">
        <v>0</v>
      </c>
      <c r="C1830" t="s">
        <v>46443</v>
      </c>
      <c r="D1830">
        <v>1037022454355</v>
      </c>
      <c r="E1830">
        <v>1</v>
      </c>
      <c r="F1830">
        <v>6153632456</v>
      </c>
      <c r="G1830">
        <v>573</v>
      </c>
      <c r="H1830" t="s">
        <v>40293</v>
      </c>
      <c r="I1830">
        <v>9828</v>
      </c>
      <c r="J1830">
        <v>40490</v>
      </c>
      <c r="K1830">
        <v>40490</v>
      </c>
    </row>
    <row r="1831" spans="1:11">
      <c r="A1831">
        <v>90</v>
      </c>
      <c r="B1831" t="b">
        <v>0</v>
      </c>
      <c r="C1831" t="s">
        <v>45020</v>
      </c>
      <c r="D1831">
        <v>1037022454355</v>
      </c>
      <c r="E1831">
        <v>1</v>
      </c>
      <c r="F1831">
        <v>6146568819</v>
      </c>
      <c r="G1831">
        <v>500</v>
      </c>
      <c r="H1831" t="s">
        <v>40293</v>
      </c>
      <c r="I1831">
        <v>9828</v>
      </c>
      <c r="J1831">
        <v>191625</v>
      </c>
      <c r="K1831">
        <v>191625</v>
      </c>
    </row>
    <row r="1832" spans="1:11">
      <c r="A1832">
        <v>90</v>
      </c>
      <c r="B1832" t="b">
        <v>0</v>
      </c>
      <c r="C1832" t="s">
        <v>46002</v>
      </c>
      <c r="D1832">
        <v>1037022454355</v>
      </c>
      <c r="E1832">
        <v>1</v>
      </c>
      <c r="F1832">
        <v>6144614979</v>
      </c>
      <c r="G1832">
        <v>300</v>
      </c>
      <c r="H1832" t="s">
        <v>40293</v>
      </c>
      <c r="I1832">
        <v>9828</v>
      </c>
      <c r="J1832">
        <v>47110</v>
      </c>
      <c r="K1832">
        <v>147110</v>
      </c>
    </row>
    <row r="1833" spans="1:11">
      <c r="A1833">
        <v>90</v>
      </c>
      <c r="B1833" t="b">
        <v>0</v>
      </c>
      <c r="C1833" t="s">
        <v>41025</v>
      </c>
      <c r="D1833">
        <v>1037022454355</v>
      </c>
      <c r="E1833">
        <v>1</v>
      </c>
      <c r="F1833">
        <v>6101451031</v>
      </c>
      <c r="G1833">
        <v>10000</v>
      </c>
      <c r="H1833" t="s">
        <v>40293</v>
      </c>
      <c r="I1833">
        <v>9830</v>
      </c>
      <c r="J1833">
        <v>3404</v>
      </c>
      <c r="K1833">
        <v>4755</v>
      </c>
    </row>
    <row r="1834" spans="1:11">
      <c r="A1834">
        <v>90</v>
      </c>
      <c r="B1834" t="b">
        <v>0</v>
      </c>
      <c r="C1834" t="s">
        <v>42116</v>
      </c>
      <c r="D1834">
        <v>1037022454355</v>
      </c>
      <c r="E1834">
        <v>1</v>
      </c>
      <c r="F1834">
        <v>6129694634</v>
      </c>
      <c r="G1834">
        <v>8500</v>
      </c>
      <c r="H1834" t="s">
        <v>40293</v>
      </c>
      <c r="I1834">
        <v>9830</v>
      </c>
      <c r="J1834">
        <v>1421</v>
      </c>
      <c r="K1834">
        <v>1421</v>
      </c>
    </row>
    <row r="1835" spans="1:11">
      <c r="A1835">
        <v>90</v>
      </c>
      <c r="B1835" t="b">
        <v>0</v>
      </c>
      <c r="C1835" t="s">
        <v>42548</v>
      </c>
      <c r="D1835">
        <v>1037022454355</v>
      </c>
      <c r="E1835">
        <v>1</v>
      </c>
      <c r="F1835">
        <v>6137331166</v>
      </c>
      <c r="G1835">
        <v>8000</v>
      </c>
      <c r="H1835" t="s">
        <v>40293</v>
      </c>
      <c r="I1835">
        <v>9830</v>
      </c>
      <c r="J1835">
        <v>5804</v>
      </c>
      <c r="K1835">
        <v>10610</v>
      </c>
    </row>
    <row r="1836" spans="1:11">
      <c r="A1836">
        <v>7</v>
      </c>
      <c r="B1836" t="b">
        <v>0</v>
      </c>
      <c r="C1836" t="s">
        <v>45277</v>
      </c>
      <c r="D1836">
        <v>1037022454355</v>
      </c>
      <c r="E1836">
        <v>1</v>
      </c>
      <c r="F1836">
        <v>6152798413</v>
      </c>
      <c r="G1836">
        <v>8000</v>
      </c>
      <c r="H1836" t="s">
        <v>40293</v>
      </c>
      <c r="I1836">
        <v>9830</v>
      </c>
      <c r="J1836">
        <v>535</v>
      </c>
      <c r="K1836">
        <v>535</v>
      </c>
    </row>
    <row r="1837" spans="1:11">
      <c r="A1837">
        <v>90</v>
      </c>
      <c r="B1837" t="b">
        <v>0</v>
      </c>
      <c r="C1837" t="s">
        <v>45525</v>
      </c>
      <c r="D1837">
        <v>1037022454355</v>
      </c>
      <c r="E1837">
        <v>1</v>
      </c>
      <c r="F1837">
        <v>6155488375</v>
      </c>
      <c r="G1837">
        <v>12960</v>
      </c>
      <c r="H1837" t="s">
        <v>40293</v>
      </c>
      <c r="I1837">
        <v>9832</v>
      </c>
      <c r="J1837">
        <v>5698</v>
      </c>
      <c r="K1837">
        <v>6500</v>
      </c>
    </row>
    <row r="1838" spans="1:11">
      <c r="A1838">
        <v>90</v>
      </c>
      <c r="B1838" t="b">
        <v>0</v>
      </c>
      <c r="C1838" t="s">
        <v>45258</v>
      </c>
      <c r="D1838">
        <v>1037022454355</v>
      </c>
      <c r="E1838">
        <v>1</v>
      </c>
      <c r="F1838">
        <v>6155222969</v>
      </c>
      <c r="G1838">
        <v>12950</v>
      </c>
      <c r="H1838" t="s">
        <v>40293</v>
      </c>
      <c r="I1838">
        <v>9832</v>
      </c>
      <c r="J1838">
        <v>20000</v>
      </c>
      <c r="K1838">
        <v>20000</v>
      </c>
    </row>
    <row r="1839" spans="1:11">
      <c r="A1839">
        <v>90</v>
      </c>
      <c r="B1839" t="b">
        <v>0</v>
      </c>
      <c r="C1839" t="s">
        <v>45114</v>
      </c>
      <c r="D1839">
        <v>1037022454355</v>
      </c>
      <c r="E1839">
        <v>1</v>
      </c>
      <c r="F1839">
        <v>6157317936</v>
      </c>
      <c r="G1839">
        <v>10000</v>
      </c>
      <c r="H1839" t="s">
        <v>40293</v>
      </c>
      <c r="I1839">
        <v>9832</v>
      </c>
      <c r="J1839">
        <v>1585</v>
      </c>
      <c r="K1839">
        <v>1810</v>
      </c>
    </row>
    <row r="1840" spans="1:11">
      <c r="A1840">
        <v>90</v>
      </c>
      <c r="B1840" t="b">
        <v>0</v>
      </c>
      <c r="C1840" t="s">
        <v>44119</v>
      </c>
      <c r="D1840">
        <v>1037022454355</v>
      </c>
      <c r="E1840">
        <v>1</v>
      </c>
      <c r="F1840">
        <v>6157337622</v>
      </c>
      <c r="G1840">
        <v>9900</v>
      </c>
      <c r="H1840" t="s">
        <v>40293</v>
      </c>
      <c r="I1840">
        <v>9832</v>
      </c>
      <c r="J1840">
        <v>600</v>
      </c>
      <c r="K1840">
        <v>600</v>
      </c>
    </row>
    <row r="1841" spans="1:11">
      <c r="A1841">
        <v>90</v>
      </c>
      <c r="B1841" t="b">
        <v>0</v>
      </c>
      <c r="C1841" t="s">
        <v>41631</v>
      </c>
      <c r="D1841">
        <v>1037022454355</v>
      </c>
      <c r="E1841">
        <v>1</v>
      </c>
      <c r="F1841">
        <v>6104183918</v>
      </c>
      <c r="G1841">
        <v>89940</v>
      </c>
      <c r="H1841" t="s">
        <v>40293</v>
      </c>
      <c r="I1841">
        <v>9834</v>
      </c>
      <c r="J1841">
        <v>2226</v>
      </c>
      <c r="K1841">
        <v>2226</v>
      </c>
    </row>
    <row r="1842" spans="1:11">
      <c r="A1842">
        <v>90</v>
      </c>
      <c r="B1842" t="b">
        <v>0</v>
      </c>
      <c r="C1842" t="s">
        <v>42331</v>
      </c>
      <c r="D1842">
        <v>1037022454355</v>
      </c>
      <c r="E1842">
        <v>1</v>
      </c>
      <c r="F1842">
        <v>6132632314</v>
      </c>
      <c r="G1842">
        <v>89880</v>
      </c>
      <c r="H1842" t="s">
        <v>40293</v>
      </c>
      <c r="I1842">
        <v>9834</v>
      </c>
      <c r="J1842">
        <v>15404</v>
      </c>
      <c r="K1842">
        <v>15404</v>
      </c>
    </row>
    <row r="1843" spans="1:11">
      <c r="A1843">
        <v>90</v>
      </c>
      <c r="B1843" t="b">
        <v>0</v>
      </c>
      <c r="C1843" t="s">
        <v>46119</v>
      </c>
      <c r="D1843">
        <v>1037022454355</v>
      </c>
      <c r="E1843">
        <v>1</v>
      </c>
      <c r="F1843">
        <v>6147729699</v>
      </c>
      <c r="G1843">
        <v>86000</v>
      </c>
      <c r="H1843" t="s">
        <v>40293</v>
      </c>
      <c r="I1843">
        <v>9834</v>
      </c>
      <c r="J1843">
        <v>370</v>
      </c>
      <c r="K1843">
        <v>420</v>
      </c>
    </row>
    <row r="1844" spans="1:11">
      <c r="A1844">
        <v>90</v>
      </c>
      <c r="B1844" t="b">
        <v>0</v>
      </c>
      <c r="C1844" t="s">
        <v>44347</v>
      </c>
      <c r="D1844">
        <v>1037022454355</v>
      </c>
      <c r="E1844">
        <v>1</v>
      </c>
      <c r="F1844">
        <v>6115692792</v>
      </c>
      <c r="G1844">
        <v>85990</v>
      </c>
      <c r="H1844" t="s">
        <v>40293</v>
      </c>
      <c r="I1844">
        <v>9834</v>
      </c>
      <c r="J1844">
        <v>391</v>
      </c>
      <c r="K1844">
        <v>5000</v>
      </c>
    </row>
    <row r="1845" spans="1:11">
      <c r="A1845">
        <v>90</v>
      </c>
      <c r="B1845" t="b">
        <v>0</v>
      </c>
      <c r="C1845" t="s">
        <v>44585</v>
      </c>
      <c r="D1845">
        <v>1037022454355</v>
      </c>
      <c r="E1845">
        <v>1</v>
      </c>
      <c r="F1845">
        <v>6153739830</v>
      </c>
      <c r="G1845">
        <v>85980</v>
      </c>
      <c r="H1845" t="s">
        <v>40293</v>
      </c>
      <c r="I1845">
        <v>9834</v>
      </c>
      <c r="J1845">
        <v>1441</v>
      </c>
      <c r="K1845">
        <v>1500</v>
      </c>
    </row>
    <row r="1846" spans="1:11">
      <c r="A1846">
        <v>90</v>
      </c>
      <c r="B1846" t="b">
        <v>0</v>
      </c>
      <c r="C1846" t="s">
        <v>45360</v>
      </c>
      <c r="D1846">
        <v>1037022454355</v>
      </c>
      <c r="E1846">
        <v>1</v>
      </c>
      <c r="F1846">
        <v>6154024477</v>
      </c>
      <c r="G1846">
        <v>85970</v>
      </c>
      <c r="H1846" t="s">
        <v>40293</v>
      </c>
      <c r="I1846">
        <v>9834</v>
      </c>
      <c r="J1846">
        <v>1000</v>
      </c>
      <c r="K1846">
        <v>1000</v>
      </c>
    </row>
    <row r="1847" spans="1:11">
      <c r="A1847">
        <v>90</v>
      </c>
      <c r="B1847" t="b">
        <v>0</v>
      </c>
      <c r="C1847" t="s">
        <v>42140</v>
      </c>
      <c r="D1847">
        <v>1037022454355</v>
      </c>
      <c r="E1847">
        <v>1</v>
      </c>
      <c r="F1847">
        <v>6129206366</v>
      </c>
      <c r="G1847">
        <v>10000</v>
      </c>
      <c r="H1847" t="s">
        <v>40293</v>
      </c>
      <c r="I1847">
        <v>9836</v>
      </c>
      <c r="J1847">
        <v>49858</v>
      </c>
      <c r="K1847">
        <v>78648</v>
      </c>
    </row>
    <row r="1848" spans="1:11">
      <c r="A1848">
        <v>7</v>
      </c>
      <c r="B1848" t="b">
        <v>0</v>
      </c>
      <c r="C1848" t="s">
        <v>46034</v>
      </c>
      <c r="D1848">
        <v>1037022454355</v>
      </c>
      <c r="E1848">
        <v>1</v>
      </c>
      <c r="F1848">
        <v>6152807436</v>
      </c>
      <c r="G1848">
        <v>9933</v>
      </c>
      <c r="H1848" t="s">
        <v>40293</v>
      </c>
      <c r="I1848">
        <v>9836</v>
      </c>
      <c r="J1848">
        <v>385</v>
      </c>
      <c r="K1848">
        <v>385</v>
      </c>
    </row>
    <row r="1849" spans="1:11">
      <c r="A1849">
        <v>90</v>
      </c>
      <c r="B1849" t="b">
        <v>0</v>
      </c>
      <c r="C1849" t="s">
        <v>45826</v>
      </c>
      <c r="D1849">
        <v>1037022454355</v>
      </c>
      <c r="E1849">
        <v>1</v>
      </c>
      <c r="F1849">
        <v>6153951891</v>
      </c>
      <c r="G1849">
        <v>9900</v>
      </c>
      <c r="H1849" t="s">
        <v>40293</v>
      </c>
      <c r="I1849">
        <v>9836</v>
      </c>
      <c r="J1849">
        <v>732</v>
      </c>
      <c r="K1849">
        <v>732</v>
      </c>
    </row>
    <row r="1850" spans="1:11">
      <c r="A1850">
        <v>90</v>
      </c>
      <c r="B1850" t="b">
        <v>0</v>
      </c>
      <c r="C1850" t="s">
        <v>44811</v>
      </c>
      <c r="D1850">
        <v>1037022454355</v>
      </c>
      <c r="E1850">
        <v>1</v>
      </c>
      <c r="F1850">
        <v>6154201172</v>
      </c>
      <c r="G1850">
        <v>9895</v>
      </c>
      <c r="H1850" t="s">
        <v>40293</v>
      </c>
      <c r="I1850">
        <v>9836</v>
      </c>
      <c r="J1850">
        <v>43620</v>
      </c>
      <c r="K1850">
        <v>45620</v>
      </c>
    </row>
    <row r="1851" spans="1:11">
      <c r="A1851">
        <v>90</v>
      </c>
      <c r="B1851" t="b">
        <v>0</v>
      </c>
      <c r="C1851" t="s">
        <v>45708</v>
      </c>
      <c r="D1851">
        <v>1037022454355</v>
      </c>
      <c r="E1851">
        <v>1</v>
      </c>
      <c r="F1851">
        <v>6149100933</v>
      </c>
      <c r="G1851">
        <v>9000</v>
      </c>
      <c r="H1851" t="s">
        <v>40293</v>
      </c>
      <c r="I1851">
        <v>9838</v>
      </c>
      <c r="J1851">
        <v>2940</v>
      </c>
      <c r="K1851">
        <v>2940</v>
      </c>
    </row>
    <row r="1852" spans="1:11">
      <c r="A1852">
        <v>90</v>
      </c>
      <c r="B1852" t="b">
        <v>0</v>
      </c>
      <c r="C1852" t="s">
        <v>42852</v>
      </c>
      <c r="D1852">
        <v>1037022454355</v>
      </c>
      <c r="E1852">
        <v>1</v>
      </c>
      <c r="F1852">
        <v>6132628548</v>
      </c>
      <c r="G1852">
        <v>9000</v>
      </c>
      <c r="H1852" t="s">
        <v>40293</v>
      </c>
      <c r="I1852">
        <v>9838</v>
      </c>
      <c r="J1852">
        <v>397</v>
      </c>
      <c r="K1852">
        <v>3005</v>
      </c>
    </row>
    <row r="1853" spans="1:11">
      <c r="A1853">
        <v>90</v>
      </c>
      <c r="B1853" t="b">
        <v>0</v>
      </c>
      <c r="C1853" t="s">
        <v>44823</v>
      </c>
      <c r="D1853">
        <v>1037022454355</v>
      </c>
      <c r="E1853">
        <v>1</v>
      </c>
      <c r="F1853">
        <v>6154201354</v>
      </c>
      <c r="G1853">
        <v>6665</v>
      </c>
      <c r="H1853" t="s">
        <v>40293</v>
      </c>
      <c r="I1853">
        <v>9838</v>
      </c>
      <c r="J1853">
        <v>15347</v>
      </c>
      <c r="K1853">
        <v>15465</v>
      </c>
    </row>
    <row r="1854" spans="1:11">
      <c r="A1854">
        <v>90</v>
      </c>
      <c r="B1854" t="b">
        <v>0</v>
      </c>
      <c r="C1854" t="s">
        <v>43510</v>
      </c>
      <c r="D1854">
        <v>1037022454355</v>
      </c>
      <c r="E1854">
        <v>1</v>
      </c>
      <c r="F1854">
        <v>6112560510</v>
      </c>
      <c r="G1854">
        <v>10900</v>
      </c>
      <c r="H1854" t="s">
        <v>40293</v>
      </c>
      <c r="I1854">
        <v>9840</v>
      </c>
      <c r="J1854">
        <v>4680</v>
      </c>
      <c r="K1854">
        <v>4963</v>
      </c>
    </row>
    <row r="1855" spans="1:11">
      <c r="A1855">
        <v>90</v>
      </c>
      <c r="B1855" t="b">
        <v>0</v>
      </c>
      <c r="C1855" t="s">
        <v>46327</v>
      </c>
      <c r="D1855">
        <v>1037022454355</v>
      </c>
      <c r="E1855">
        <v>1</v>
      </c>
      <c r="F1855">
        <v>6147732443</v>
      </c>
      <c r="G1855">
        <v>8800</v>
      </c>
      <c r="H1855" t="s">
        <v>40293</v>
      </c>
      <c r="I1855">
        <v>9840</v>
      </c>
      <c r="J1855">
        <v>14540</v>
      </c>
      <c r="K1855">
        <v>15040</v>
      </c>
    </row>
    <row r="1856" spans="1:11">
      <c r="A1856">
        <v>90</v>
      </c>
      <c r="B1856" t="b">
        <v>0</v>
      </c>
      <c r="C1856" t="s">
        <v>44360</v>
      </c>
      <c r="D1856">
        <v>1037022454355</v>
      </c>
      <c r="E1856">
        <v>1</v>
      </c>
      <c r="F1856">
        <v>6153507258</v>
      </c>
      <c r="G1856">
        <v>8799</v>
      </c>
      <c r="H1856" t="s">
        <v>40293</v>
      </c>
      <c r="I1856">
        <v>9840</v>
      </c>
      <c r="J1856">
        <v>831</v>
      </c>
      <c r="K1856">
        <v>831</v>
      </c>
    </row>
    <row r="1857" spans="1:11">
      <c r="A1857">
        <v>90</v>
      </c>
      <c r="B1857" t="b">
        <v>0</v>
      </c>
      <c r="C1857" t="s">
        <v>40615</v>
      </c>
      <c r="D1857">
        <v>1037022454355</v>
      </c>
      <c r="E1857">
        <v>1</v>
      </c>
      <c r="F1857">
        <v>6117317140</v>
      </c>
      <c r="G1857">
        <v>8499</v>
      </c>
      <c r="H1857" t="s">
        <v>40293</v>
      </c>
      <c r="I1857">
        <v>9842</v>
      </c>
      <c r="J1857">
        <v>4094</v>
      </c>
      <c r="K1857">
        <v>6666</v>
      </c>
    </row>
    <row r="1858" spans="1:11">
      <c r="A1858">
        <v>90</v>
      </c>
      <c r="B1858" t="b">
        <v>0</v>
      </c>
      <c r="C1858" t="s">
        <v>45177</v>
      </c>
      <c r="D1858">
        <v>1037022454355</v>
      </c>
      <c r="E1858">
        <v>1</v>
      </c>
      <c r="F1858">
        <v>6150568653</v>
      </c>
      <c r="G1858">
        <v>8450</v>
      </c>
      <c r="H1858" t="s">
        <v>40293</v>
      </c>
      <c r="I1858">
        <v>9842</v>
      </c>
      <c r="J1858">
        <v>3258</v>
      </c>
      <c r="K1858">
        <v>3600</v>
      </c>
    </row>
    <row r="1859" spans="1:11">
      <c r="A1859">
        <v>90</v>
      </c>
      <c r="B1859" t="b">
        <v>0</v>
      </c>
      <c r="C1859" t="s">
        <v>42869</v>
      </c>
      <c r="D1859">
        <v>1037022454355</v>
      </c>
      <c r="E1859">
        <v>1</v>
      </c>
      <c r="F1859">
        <v>6132629228</v>
      </c>
      <c r="G1859">
        <v>84500</v>
      </c>
      <c r="H1859" t="s">
        <v>40293</v>
      </c>
      <c r="I1859">
        <v>9846</v>
      </c>
      <c r="J1859">
        <v>1401</v>
      </c>
      <c r="K1859">
        <v>1401</v>
      </c>
    </row>
    <row r="1860" spans="1:11">
      <c r="A1860">
        <v>90</v>
      </c>
      <c r="B1860" t="b">
        <v>0</v>
      </c>
      <c r="C1860" t="s">
        <v>44049</v>
      </c>
      <c r="D1860">
        <v>1037022454355</v>
      </c>
      <c r="E1860">
        <v>1</v>
      </c>
      <c r="F1860">
        <v>6157336802</v>
      </c>
      <c r="G1860">
        <v>84400</v>
      </c>
      <c r="H1860" t="s">
        <v>40293</v>
      </c>
      <c r="I1860">
        <v>9846</v>
      </c>
      <c r="J1860">
        <v>87</v>
      </c>
      <c r="K1860">
        <v>87</v>
      </c>
    </row>
    <row r="1861" spans="1:11">
      <c r="A1861">
        <v>90</v>
      </c>
      <c r="B1861" t="b">
        <v>0</v>
      </c>
      <c r="C1861" t="s">
        <v>40393</v>
      </c>
      <c r="D1861">
        <v>1037022454355</v>
      </c>
      <c r="E1861">
        <v>1</v>
      </c>
      <c r="F1861">
        <v>6098880867</v>
      </c>
      <c r="G1861">
        <v>63000</v>
      </c>
      <c r="H1861" t="s">
        <v>40293</v>
      </c>
      <c r="I1861">
        <v>9848</v>
      </c>
      <c r="J1861">
        <v>5800</v>
      </c>
      <c r="K1861">
        <v>8812</v>
      </c>
    </row>
    <row r="1862" spans="1:11">
      <c r="A1862">
        <v>30</v>
      </c>
      <c r="B1862" t="b">
        <v>0</v>
      </c>
      <c r="C1862" t="s">
        <v>44408</v>
      </c>
      <c r="D1862">
        <v>1037022454355</v>
      </c>
      <c r="E1862">
        <v>1</v>
      </c>
      <c r="F1862">
        <v>6157276230</v>
      </c>
      <c r="G1862">
        <v>63000</v>
      </c>
      <c r="H1862" t="s">
        <v>40293</v>
      </c>
      <c r="I1862">
        <v>9848</v>
      </c>
      <c r="J1862">
        <v>1652</v>
      </c>
      <c r="K1862">
        <v>1652</v>
      </c>
    </row>
    <row r="1863" spans="1:11">
      <c r="A1863">
        <v>90</v>
      </c>
      <c r="B1863" t="b">
        <v>0</v>
      </c>
      <c r="C1863" t="s">
        <v>44044</v>
      </c>
      <c r="D1863">
        <v>1037022454355</v>
      </c>
      <c r="E1863">
        <v>1</v>
      </c>
      <c r="F1863">
        <v>6157336704</v>
      </c>
      <c r="G1863">
        <v>62000</v>
      </c>
      <c r="H1863" t="s">
        <v>40293</v>
      </c>
      <c r="I1863">
        <v>9848</v>
      </c>
      <c r="J1863">
        <v>402</v>
      </c>
      <c r="K1863">
        <v>402</v>
      </c>
    </row>
    <row r="1864" spans="1:11">
      <c r="A1864">
        <v>90</v>
      </c>
      <c r="B1864" t="b">
        <v>0</v>
      </c>
      <c r="C1864" t="s">
        <v>42940</v>
      </c>
      <c r="D1864">
        <v>1037022454355</v>
      </c>
      <c r="E1864">
        <v>1</v>
      </c>
      <c r="F1864">
        <v>6139315742</v>
      </c>
      <c r="G1864">
        <v>100000</v>
      </c>
      <c r="H1864" t="s">
        <v>40293</v>
      </c>
      <c r="I1864">
        <v>9852</v>
      </c>
      <c r="J1864">
        <v>50</v>
      </c>
      <c r="K1864">
        <v>53</v>
      </c>
    </row>
    <row r="1865" spans="1:11">
      <c r="A1865">
        <v>90</v>
      </c>
      <c r="B1865" t="b">
        <v>0</v>
      </c>
      <c r="C1865" t="s">
        <v>41736</v>
      </c>
      <c r="D1865">
        <v>1037022454355</v>
      </c>
      <c r="E1865">
        <v>1</v>
      </c>
      <c r="F1865">
        <v>6121034984</v>
      </c>
      <c r="G1865">
        <v>10340000</v>
      </c>
      <c r="H1865" t="s">
        <v>40293</v>
      </c>
      <c r="I1865">
        <v>9899</v>
      </c>
      <c r="J1865">
        <v>49</v>
      </c>
      <c r="K1865">
        <v>97</v>
      </c>
    </row>
    <row r="1866" spans="1:11">
      <c r="A1866">
        <v>90</v>
      </c>
      <c r="B1866" t="b">
        <v>0</v>
      </c>
      <c r="C1866" t="s">
        <v>42903</v>
      </c>
      <c r="D1866">
        <v>1037022454355</v>
      </c>
      <c r="E1866">
        <v>1</v>
      </c>
      <c r="F1866">
        <v>6140101249</v>
      </c>
      <c r="G1866">
        <v>10000000</v>
      </c>
      <c r="H1866" t="s">
        <v>40293</v>
      </c>
      <c r="I1866">
        <v>9941</v>
      </c>
      <c r="J1866">
        <v>52</v>
      </c>
      <c r="K1866">
        <v>87</v>
      </c>
    </row>
    <row r="1867" spans="1:11">
      <c r="A1867">
        <v>90</v>
      </c>
      <c r="B1867" t="b">
        <v>0</v>
      </c>
      <c r="C1867" t="s">
        <v>43776</v>
      </c>
      <c r="D1867">
        <v>1037022454355</v>
      </c>
      <c r="E1867">
        <v>1</v>
      </c>
      <c r="F1867">
        <v>6145763628</v>
      </c>
      <c r="G1867">
        <v>10700000</v>
      </c>
      <c r="H1867" t="s">
        <v>40293</v>
      </c>
      <c r="I1867">
        <v>9942</v>
      </c>
      <c r="J1867">
        <v>64</v>
      </c>
      <c r="K1867">
        <v>101</v>
      </c>
    </row>
    <row r="1868" spans="1:11">
      <c r="A1868">
        <v>90</v>
      </c>
      <c r="B1868" t="b">
        <v>0</v>
      </c>
      <c r="C1868" t="s">
        <v>42900</v>
      </c>
      <c r="D1868">
        <v>1037022454355</v>
      </c>
      <c r="E1868">
        <v>1</v>
      </c>
      <c r="F1868">
        <v>6140101224</v>
      </c>
      <c r="G1868">
        <v>10000000</v>
      </c>
      <c r="H1868" t="s">
        <v>40293</v>
      </c>
      <c r="I1868">
        <v>9943</v>
      </c>
      <c r="J1868">
        <v>5</v>
      </c>
      <c r="K1868">
        <v>48</v>
      </c>
    </row>
    <row r="1869" spans="1:11">
      <c r="A1869">
        <v>90</v>
      </c>
      <c r="B1869" t="b">
        <v>0</v>
      </c>
      <c r="C1869" t="s">
        <v>40442</v>
      </c>
      <c r="D1869">
        <v>1037022454355</v>
      </c>
      <c r="E1869">
        <v>1</v>
      </c>
      <c r="F1869">
        <v>6123589218</v>
      </c>
      <c r="G1869">
        <v>9997000</v>
      </c>
      <c r="H1869" t="s">
        <v>40293</v>
      </c>
      <c r="I1869">
        <v>9956</v>
      </c>
      <c r="J1869">
        <v>9</v>
      </c>
      <c r="K1869">
        <v>32</v>
      </c>
    </row>
    <row r="1870" spans="1:11">
      <c r="A1870">
        <v>90</v>
      </c>
      <c r="B1870" t="b">
        <v>0</v>
      </c>
      <c r="C1870" t="s">
        <v>41300</v>
      </c>
      <c r="D1870">
        <v>1037022454355</v>
      </c>
      <c r="E1870">
        <v>1</v>
      </c>
      <c r="F1870">
        <v>6106830136</v>
      </c>
      <c r="G1870">
        <v>28000000</v>
      </c>
      <c r="H1870" t="s">
        <v>40293</v>
      </c>
      <c r="I1870">
        <v>9957</v>
      </c>
      <c r="J1870">
        <v>6</v>
      </c>
      <c r="K1870">
        <v>10</v>
      </c>
    </row>
    <row r="1871" spans="1:11">
      <c r="A1871">
        <v>90</v>
      </c>
      <c r="B1871" t="b">
        <v>0</v>
      </c>
      <c r="C1871" t="s">
        <v>40444</v>
      </c>
      <c r="D1871">
        <v>1037022454355</v>
      </c>
      <c r="E1871">
        <v>1</v>
      </c>
      <c r="F1871">
        <v>6112611956</v>
      </c>
      <c r="G1871">
        <v>27960000</v>
      </c>
      <c r="H1871" t="s">
        <v>40293</v>
      </c>
      <c r="I1871">
        <v>9957</v>
      </c>
      <c r="J1871">
        <v>4</v>
      </c>
      <c r="K1871">
        <v>15</v>
      </c>
    </row>
    <row r="1872" spans="1:11">
      <c r="A1872">
        <v>30</v>
      </c>
      <c r="B1872" t="b">
        <v>0</v>
      </c>
      <c r="C1872" t="s">
        <v>44312</v>
      </c>
      <c r="D1872">
        <v>1037022454355</v>
      </c>
      <c r="E1872">
        <v>1</v>
      </c>
      <c r="F1872">
        <v>6148460351</v>
      </c>
      <c r="G1872">
        <v>22920000</v>
      </c>
      <c r="H1872" t="s">
        <v>40293</v>
      </c>
      <c r="I1872">
        <v>10152</v>
      </c>
      <c r="J1872">
        <v>4</v>
      </c>
      <c r="K1872">
        <v>10</v>
      </c>
    </row>
    <row r="1873" spans="1:11">
      <c r="A1873">
        <v>90</v>
      </c>
      <c r="B1873" t="b">
        <v>0</v>
      </c>
      <c r="C1873" t="s">
        <v>41855</v>
      </c>
      <c r="D1873">
        <v>1037022454355</v>
      </c>
      <c r="E1873">
        <v>1</v>
      </c>
      <c r="F1873">
        <v>6127459700</v>
      </c>
      <c r="G1873">
        <v>9868000</v>
      </c>
      <c r="H1873" t="s">
        <v>40293</v>
      </c>
      <c r="I1873">
        <v>10155</v>
      </c>
      <c r="J1873">
        <v>5</v>
      </c>
      <c r="K1873">
        <v>7</v>
      </c>
    </row>
    <row r="1874" spans="1:11">
      <c r="A1874">
        <v>90</v>
      </c>
      <c r="B1874" t="b">
        <v>0</v>
      </c>
      <c r="C1874" t="s">
        <v>41553</v>
      </c>
      <c r="D1874">
        <v>1037022454355</v>
      </c>
      <c r="E1874">
        <v>1</v>
      </c>
      <c r="F1874">
        <v>6095269143</v>
      </c>
      <c r="G1874">
        <v>31000000</v>
      </c>
      <c r="H1874" t="s">
        <v>40293</v>
      </c>
      <c r="I1874">
        <v>10156</v>
      </c>
      <c r="J1874">
        <v>1</v>
      </c>
      <c r="K1874">
        <v>10</v>
      </c>
    </row>
    <row r="1875" spans="1:11">
      <c r="A1875">
        <v>90</v>
      </c>
      <c r="B1875" t="b">
        <v>0</v>
      </c>
      <c r="C1875" t="s">
        <v>44470</v>
      </c>
      <c r="D1875">
        <v>1037022454355</v>
      </c>
      <c r="E1875">
        <v>1</v>
      </c>
      <c r="F1875">
        <v>6156294100</v>
      </c>
      <c r="G1875">
        <v>30990000</v>
      </c>
      <c r="H1875" t="s">
        <v>40293</v>
      </c>
      <c r="I1875">
        <v>10156</v>
      </c>
      <c r="J1875">
        <v>1</v>
      </c>
      <c r="K1875">
        <v>1</v>
      </c>
    </row>
    <row r="1876" spans="1:11">
      <c r="A1876">
        <v>90</v>
      </c>
      <c r="B1876" t="b">
        <v>0</v>
      </c>
      <c r="C1876" t="s">
        <v>42974</v>
      </c>
      <c r="D1876">
        <v>1037022454355</v>
      </c>
      <c r="E1876">
        <v>1</v>
      </c>
      <c r="F1876">
        <v>6147050416</v>
      </c>
      <c r="G1876">
        <v>1750000</v>
      </c>
      <c r="H1876" t="s">
        <v>40293</v>
      </c>
      <c r="I1876">
        <v>10190</v>
      </c>
      <c r="J1876">
        <v>33</v>
      </c>
      <c r="K1876">
        <v>35</v>
      </c>
    </row>
    <row r="1877" spans="1:11">
      <c r="A1877">
        <v>90</v>
      </c>
      <c r="B1877" t="b">
        <v>0</v>
      </c>
      <c r="C1877" t="s">
        <v>44498</v>
      </c>
      <c r="D1877">
        <v>1037022454355</v>
      </c>
      <c r="E1877">
        <v>1</v>
      </c>
      <c r="F1877">
        <v>6148397406</v>
      </c>
      <c r="G1877">
        <v>1748000</v>
      </c>
      <c r="H1877" t="s">
        <v>40293</v>
      </c>
      <c r="I1877">
        <v>10190</v>
      </c>
      <c r="J1877">
        <v>2</v>
      </c>
      <c r="K1877">
        <v>2</v>
      </c>
    </row>
    <row r="1878" spans="1:11">
      <c r="A1878">
        <v>90</v>
      </c>
      <c r="B1878" t="b">
        <v>0</v>
      </c>
      <c r="C1878" t="s">
        <v>45151</v>
      </c>
      <c r="D1878">
        <v>1037022454355</v>
      </c>
      <c r="E1878">
        <v>1</v>
      </c>
      <c r="F1878">
        <v>6148431610</v>
      </c>
      <c r="G1878">
        <v>1747000</v>
      </c>
      <c r="H1878" t="s">
        <v>40293</v>
      </c>
      <c r="I1878">
        <v>10190</v>
      </c>
      <c r="J1878">
        <v>2</v>
      </c>
      <c r="K1878">
        <v>2</v>
      </c>
    </row>
    <row r="1879" spans="1:11">
      <c r="A1879">
        <v>90</v>
      </c>
      <c r="B1879" t="b">
        <v>0</v>
      </c>
      <c r="C1879" t="s">
        <v>45612</v>
      </c>
      <c r="D1879">
        <v>1037022454355</v>
      </c>
      <c r="E1879">
        <v>1</v>
      </c>
      <c r="F1879">
        <v>6148903037</v>
      </c>
      <c r="G1879">
        <v>1746000</v>
      </c>
      <c r="H1879" t="s">
        <v>40293</v>
      </c>
      <c r="I1879">
        <v>10190</v>
      </c>
      <c r="J1879">
        <v>27</v>
      </c>
      <c r="K1879">
        <v>50</v>
      </c>
    </row>
    <row r="1880" spans="1:11">
      <c r="A1880">
        <v>90</v>
      </c>
      <c r="B1880" t="b">
        <v>0</v>
      </c>
      <c r="C1880" t="s">
        <v>45686</v>
      </c>
      <c r="D1880">
        <v>1037022454355</v>
      </c>
      <c r="E1880">
        <v>1</v>
      </c>
      <c r="F1880">
        <v>6151165098</v>
      </c>
      <c r="G1880">
        <v>1719000</v>
      </c>
      <c r="H1880" t="s">
        <v>40293</v>
      </c>
      <c r="I1880">
        <v>10190</v>
      </c>
      <c r="J1880">
        <v>2</v>
      </c>
      <c r="K1880">
        <v>2</v>
      </c>
    </row>
    <row r="1881" spans="1:11">
      <c r="A1881">
        <v>30</v>
      </c>
      <c r="B1881" t="b">
        <v>0</v>
      </c>
      <c r="C1881" t="s">
        <v>44081</v>
      </c>
      <c r="D1881">
        <v>1037022454355</v>
      </c>
      <c r="E1881">
        <v>1</v>
      </c>
      <c r="F1881">
        <v>6154463561</v>
      </c>
      <c r="G1881">
        <v>1655000</v>
      </c>
      <c r="H1881" t="s">
        <v>40293</v>
      </c>
      <c r="I1881">
        <v>10190</v>
      </c>
      <c r="J1881">
        <v>1</v>
      </c>
      <c r="K1881">
        <v>1</v>
      </c>
    </row>
    <row r="1882" spans="1:11">
      <c r="A1882">
        <v>90</v>
      </c>
      <c r="B1882" t="b">
        <v>0</v>
      </c>
      <c r="C1882" t="s">
        <v>44278</v>
      </c>
      <c r="D1882">
        <v>1037022454355</v>
      </c>
      <c r="E1882">
        <v>1</v>
      </c>
      <c r="F1882">
        <v>6153366735</v>
      </c>
      <c r="G1882">
        <v>1652000</v>
      </c>
      <c r="H1882" t="s">
        <v>40293</v>
      </c>
      <c r="I1882">
        <v>10190</v>
      </c>
      <c r="J1882">
        <v>5</v>
      </c>
      <c r="K1882">
        <v>5</v>
      </c>
    </row>
    <row r="1883" spans="1:11">
      <c r="A1883">
        <v>90</v>
      </c>
      <c r="B1883" t="b">
        <v>0</v>
      </c>
      <c r="C1883" t="s">
        <v>45251</v>
      </c>
      <c r="D1883">
        <v>1037022454355</v>
      </c>
      <c r="E1883">
        <v>1</v>
      </c>
      <c r="F1883">
        <v>6153420557</v>
      </c>
      <c r="G1883">
        <v>1651000</v>
      </c>
      <c r="H1883" t="s">
        <v>40293</v>
      </c>
      <c r="I1883">
        <v>10190</v>
      </c>
      <c r="J1883">
        <v>26</v>
      </c>
      <c r="K1883">
        <v>27</v>
      </c>
    </row>
    <row r="1884" spans="1:11">
      <c r="A1884">
        <v>90</v>
      </c>
      <c r="B1884" t="b">
        <v>0</v>
      </c>
      <c r="C1884" t="s">
        <v>45257</v>
      </c>
      <c r="D1884">
        <v>1037022454355</v>
      </c>
      <c r="E1884">
        <v>1</v>
      </c>
      <c r="F1884">
        <v>6155354017</v>
      </c>
      <c r="G1884">
        <v>1649000</v>
      </c>
      <c r="H1884" t="s">
        <v>40293</v>
      </c>
      <c r="I1884">
        <v>10190</v>
      </c>
      <c r="J1884">
        <v>14</v>
      </c>
      <c r="K1884">
        <v>14</v>
      </c>
    </row>
    <row r="1885" spans="1:11">
      <c r="A1885">
        <v>90</v>
      </c>
      <c r="B1885" t="b">
        <v>0</v>
      </c>
      <c r="C1885" t="s">
        <v>45945</v>
      </c>
      <c r="D1885">
        <v>1037022454355</v>
      </c>
      <c r="E1885">
        <v>1</v>
      </c>
      <c r="F1885">
        <v>6155624329</v>
      </c>
      <c r="G1885">
        <v>1647000</v>
      </c>
      <c r="H1885" t="s">
        <v>40293</v>
      </c>
      <c r="I1885">
        <v>10190</v>
      </c>
      <c r="J1885">
        <v>2</v>
      </c>
      <c r="K1885">
        <v>12</v>
      </c>
    </row>
    <row r="1886" spans="1:11">
      <c r="A1886">
        <v>90</v>
      </c>
      <c r="B1886" t="b">
        <v>0</v>
      </c>
      <c r="C1886" t="s">
        <v>44541</v>
      </c>
      <c r="D1886">
        <v>1037022454355</v>
      </c>
      <c r="E1886">
        <v>1</v>
      </c>
      <c r="F1886">
        <v>6156393350</v>
      </c>
      <c r="G1886">
        <v>1646000</v>
      </c>
      <c r="H1886" t="s">
        <v>40293</v>
      </c>
      <c r="I1886">
        <v>10190</v>
      </c>
      <c r="J1886">
        <v>10</v>
      </c>
      <c r="K1886">
        <v>13</v>
      </c>
    </row>
    <row r="1887" spans="1:11">
      <c r="A1887">
        <v>90</v>
      </c>
      <c r="B1887" t="b">
        <v>0</v>
      </c>
      <c r="C1887" t="s">
        <v>44664</v>
      </c>
      <c r="D1887">
        <v>1037022454355</v>
      </c>
      <c r="E1887">
        <v>1</v>
      </c>
      <c r="F1887">
        <v>6156755460</v>
      </c>
      <c r="G1887">
        <v>1645000</v>
      </c>
      <c r="H1887" t="s">
        <v>40293</v>
      </c>
      <c r="I1887">
        <v>10190</v>
      </c>
      <c r="J1887">
        <v>1</v>
      </c>
      <c r="K1887">
        <v>1</v>
      </c>
    </row>
    <row r="1888" spans="1:11">
      <c r="A1888">
        <v>90</v>
      </c>
      <c r="B1888" t="b">
        <v>0</v>
      </c>
      <c r="C1888" t="s">
        <v>44339</v>
      </c>
      <c r="D1888">
        <v>1037022454355</v>
      </c>
      <c r="E1888">
        <v>1</v>
      </c>
      <c r="F1888">
        <v>6145839193</v>
      </c>
      <c r="G1888">
        <v>1642000</v>
      </c>
      <c r="H1888" t="s">
        <v>40293</v>
      </c>
      <c r="I1888">
        <v>10190</v>
      </c>
      <c r="J1888">
        <v>30</v>
      </c>
      <c r="K1888">
        <v>63</v>
      </c>
    </row>
    <row r="1889" spans="1:11">
      <c r="A1889">
        <v>90</v>
      </c>
      <c r="B1889" t="b">
        <v>0</v>
      </c>
      <c r="C1889" t="s">
        <v>45510</v>
      </c>
      <c r="D1889">
        <v>1037022454355</v>
      </c>
      <c r="E1889">
        <v>1</v>
      </c>
      <c r="F1889">
        <v>6156733289</v>
      </c>
      <c r="G1889">
        <v>1641000</v>
      </c>
      <c r="H1889" t="s">
        <v>40293</v>
      </c>
      <c r="I1889">
        <v>10190</v>
      </c>
      <c r="J1889">
        <v>8</v>
      </c>
      <c r="K1889">
        <v>20</v>
      </c>
    </row>
    <row r="1890" spans="1:11">
      <c r="A1890">
        <v>90</v>
      </c>
      <c r="B1890" t="b">
        <v>0</v>
      </c>
      <c r="C1890" t="s">
        <v>41230</v>
      </c>
      <c r="D1890">
        <v>1037022454355</v>
      </c>
      <c r="E1890">
        <v>1</v>
      </c>
      <c r="F1890">
        <v>6089298100</v>
      </c>
      <c r="G1890">
        <v>14900000</v>
      </c>
      <c r="H1890" t="s">
        <v>40293</v>
      </c>
      <c r="I1890">
        <v>10204</v>
      </c>
      <c r="J1890">
        <v>36</v>
      </c>
      <c r="K1890">
        <v>36</v>
      </c>
    </row>
    <row r="1891" spans="1:11">
      <c r="A1891">
        <v>90</v>
      </c>
      <c r="B1891" t="b">
        <v>0</v>
      </c>
      <c r="C1891" t="s">
        <v>40611</v>
      </c>
      <c r="D1891">
        <v>1037022454355</v>
      </c>
      <c r="E1891">
        <v>1</v>
      </c>
      <c r="F1891">
        <v>6081453106</v>
      </c>
      <c r="G1891">
        <v>13400000</v>
      </c>
      <c r="H1891" t="s">
        <v>40293</v>
      </c>
      <c r="I1891">
        <v>10204</v>
      </c>
      <c r="J1891">
        <v>6</v>
      </c>
      <c r="K1891">
        <v>22</v>
      </c>
    </row>
    <row r="1892" spans="1:11">
      <c r="A1892">
        <v>90</v>
      </c>
      <c r="B1892" t="b">
        <v>0</v>
      </c>
      <c r="C1892" t="s">
        <v>45201</v>
      </c>
      <c r="D1892">
        <v>1037022454355</v>
      </c>
      <c r="E1892">
        <v>1</v>
      </c>
      <c r="F1892">
        <v>6157188117</v>
      </c>
      <c r="G1892">
        <v>29800000</v>
      </c>
      <c r="H1892" t="s">
        <v>40293</v>
      </c>
      <c r="I1892">
        <v>10208</v>
      </c>
      <c r="J1892">
        <v>3</v>
      </c>
      <c r="K1892">
        <v>3</v>
      </c>
    </row>
    <row r="1893" spans="1:11">
      <c r="A1893">
        <v>90</v>
      </c>
      <c r="B1893" t="b">
        <v>0</v>
      </c>
      <c r="C1893" t="s">
        <v>46091</v>
      </c>
      <c r="D1893">
        <v>1037022454355</v>
      </c>
      <c r="E1893">
        <v>1</v>
      </c>
      <c r="F1893">
        <v>6156117888</v>
      </c>
      <c r="G1893">
        <v>159900000</v>
      </c>
      <c r="H1893" t="s">
        <v>40293</v>
      </c>
      <c r="I1893">
        <v>10209</v>
      </c>
      <c r="J1893">
        <v>4</v>
      </c>
      <c r="K1893">
        <v>5</v>
      </c>
    </row>
    <row r="1894" spans="1:11">
      <c r="A1894">
        <v>90</v>
      </c>
      <c r="B1894" t="b">
        <v>0</v>
      </c>
      <c r="C1894" t="s">
        <v>46091</v>
      </c>
      <c r="D1894">
        <v>1037022454355</v>
      </c>
      <c r="E1894">
        <v>1</v>
      </c>
      <c r="F1894">
        <v>6156117889</v>
      </c>
      <c r="G1894">
        <v>159900000</v>
      </c>
      <c r="H1894" t="s">
        <v>40293</v>
      </c>
      <c r="I1894">
        <v>10213</v>
      </c>
      <c r="J1894">
        <v>4</v>
      </c>
      <c r="K1894">
        <v>5</v>
      </c>
    </row>
    <row r="1895" spans="1:11">
      <c r="A1895">
        <v>90</v>
      </c>
      <c r="B1895" t="b">
        <v>0</v>
      </c>
      <c r="C1895" t="s">
        <v>46091</v>
      </c>
      <c r="D1895">
        <v>1037022454355</v>
      </c>
      <c r="E1895">
        <v>1</v>
      </c>
      <c r="F1895">
        <v>6156117890</v>
      </c>
      <c r="G1895">
        <v>159900000</v>
      </c>
      <c r="H1895" t="s">
        <v>40293</v>
      </c>
      <c r="I1895">
        <v>10217</v>
      </c>
      <c r="J1895">
        <v>4</v>
      </c>
      <c r="K1895">
        <v>5</v>
      </c>
    </row>
    <row r="1896" spans="1:11">
      <c r="A1896">
        <v>90</v>
      </c>
      <c r="B1896" t="b">
        <v>0</v>
      </c>
      <c r="C1896" t="s">
        <v>44381</v>
      </c>
      <c r="D1896">
        <v>1037022454355</v>
      </c>
      <c r="E1896">
        <v>1</v>
      </c>
      <c r="F1896">
        <v>6155408122</v>
      </c>
      <c r="G1896">
        <v>27580000</v>
      </c>
      <c r="H1896" t="s">
        <v>40293</v>
      </c>
      <c r="I1896">
        <v>10221</v>
      </c>
      <c r="J1896">
        <v>5</v>
      </c>
      <c r="K1896">
        <v>7</v>
      </c>
    </row>
    <row r="1897" spans="1:11">
      <c r="A1897">
        <v>90</v>
      </c>
      <c r="B1897" t="b">
        <v>0</v>
      </c>
      <c r="C1897" t="s">
        <v>45207</v>
      </c>
      <c r="D1897">
        <v>1037022454355</v>
      </c>
      <c r="E1897">
        <v>1</v>
      </c>
      <c r="F1897">
        <v>6157188276</v>
      </c>
      <c r="G1897">
        <v>27500000</v>
      </c>
      <c r="H1897" t="s">
        <v>40293</v>
      </c>
      <c r="I1897">
        <v>10221</v>
      </c>
      <c r="J1897">
        <v>2</v>
      </c>
      <c r="K1897">
        <v>2</v>
      </c>
    </row>
    <row r="1898" spans="1:11">
      <c r="A1898">
        <v>90</v>
      </c>
      <c r="B1898" t="b">
        <v>0</v>
      </c>
      <c r="C1898" t="s">
        <v>46091</v>
      </c>
      <c r="D1898">
        <v>1037022454355</v>
      </c>
      <c r="E1898">
        <v>1</v>
      </c>
      <c r="F1898">
        <v>6156117887</v>
      </c>
      <c r="G1898">
        <v>159900000</v>
      </c>
      <c r="H1898" t="s">
        <v>40293</v>
      </c>
      <c r="I1898">
        <v>10222</v>
      </c>
      <c r="J1898">
        <v>3</v>
      </c>
      <c r="K1898">
        <v>5</v>
      </c>
    </row>
    <row r="1899" spans="1:11">
      <c r="A1899">
        <v>90</v>
      </c>
      <c r="B1899" t="b">
        <v>0</v>
      </c>
      <c r="C1899" t="s">
        <v>45230</v>
      </c>
      <c r="D1899">
        <v>1037022454355</v>
      </c>
      <c r="E1899">
        <v>1</v>
      </c>
      <c r="F1899">
        <v>6156238239</v>
      </c>
      <c r="G1899">
        <v>29800000</v>
      </c>
      <c r="H1899" t="s">
        <v>40293</v>
      </c>
      <c r="I1899">
        <v>10225</v>
      </c>
      <c r="J1899">
        <v>1</v>
      </c>
      <c r="K1899">
        <v>3</v>
      </c>
    </row>
    <row r="1900" spans="1:11">
      <c r="A1900">
        <v>90</v>
      </c>
      <c r="B1900" t="b">
        <v>0</v>
      </c>
      <c r="C1900" t="s">
        <v>44399</v>
      </c>
      <c r="D1900">
        <v>1037022454355</v>
      </c>
      <c r="E1900">
        <v>1</v>
      </c>
      <c r="F1900">
        <v>6156119532</v>
      </c>
      <c r="G1900">
        <v>159900000</v>
      </c>
      <c r="H1900" t="s">
        <v>40293</v>
      </c>
      <c r="I1900">
        <v>10226</v>
      </c>
      <c r="J1900">
        <v>3</v>
      </c>
      <c r="K1900">
        <v>5</v>
      </c>
    </row>
    <row r="1901" spans="1:11">
      <c r="A1901">
        <v>90</v>
      </c>
      <c r="B1901" t="b">
        <v>0</v>
      </c>
      <c r="C1901" t="s">
        <v>40930</v>
      </c>
      <c r="D1901">
        <v>1037022454355</v>
      </c>
      <c r="E1901">
        <v>1</v>
      </c>
      <c r="F1901">
        <v>6121681949</v>
      </c>
      <c r="G1901">
        <v>42000000</v>
      </c>
      <c r="H1901" t="s">
        <v>40293</v>
      </c>
      <c r="I1901">
        <v>10244</v>
      </c>
      <c r="J1901">
        <v>1</v>
      </c>
      <c r="K1901">
        <v>2</v>
      </c>
    </row>
    <row r="1902" spans="1:11">
      <c r="A1902">
        <v>90</v>
      </c>
      <c r="B1902" t="b">
        <v>0</v>
      </c>
      <c r="C1902" t="s">
        <v>42579</v>
      </c>
      <c r="D1902">
        <v>1037022454355</v>
      </c>
      <c r="E1902">
        <v>1</v>
      </c>
      <c r="F1902">
        <v>6069404606</v>
      </c>
      <c r="G1902">
        <v>399200</v>
      </c>
      <c r="H1902" t="s">
        <v>40293</v>
      </c>
      <c r="I1902">
        <v>10246</v>
      </c>
      <c r="J1902">
        <v>8</v>
      </c>
      <c r="K1902">
        <v>19</v>
      </c>
    </row>
    <row r="1903" spans="1:11">
      <c r="A1903">
        <v>90</v>
      </c>
      <c r="B1903" t="b">
        <v>0</v>
      </c>
      <c r="C1903" t="s">
        <v>42913</v>
      </c>
      <c r="D1903">
        <v>1037022454355</v>
      </c>
      <c r="E1903">
        <v>1</v>
      </c>
      <c r="F1903">
        <v>6139904870</v>
      </c>
      <c r="G1903">
        <v>54000</v>
      </c>
      <c r="H1903" t="s">
        <v>40293</v>
      </c>
      <c r="I1903">
        <v>10246</v>
      </c>
      <c r="J1903">
        <v>215</v>
      </c>
      <c r="K1903">
        <v>215</v>
      </c>
    </row>
    <row r="1904" spans="1:11">
      <c r="A1904">
        <v>90</v>
      </c>
      <c r="B1904" t="b">
        <v>0</v>
      </c>
      <c r="C1904" t="s">
        <v>45339</v>
      </c>
      <c r="D1904">
        <v>1037022454355</v>
      </c>
      <c r="E1904">
        <v>1</v>
      </c>
      <c r="F1904">
        <v>6152635347</v>
      </c>
      <c r="G1904">
        <v>50360</v>
      </c>
      <c r="H1904" t="s">
        <v>40293</v>
      </c>
      <c r="I1904">
        <v>10246</v>
      </c>
      <c r="J1904">
        <v>215</v>
      </c>
      <c r="K1904">
        <v>215</v>
      </c>
    </row>
    <row r="1905" spans="1:11">
      <c r="A1905">
        <v>90</v>
      </c>
      <c r="B1905" t="b">
        <v>0</v>
      </c>
      <c r="C1905" t="s">
        <v>43531</v>
      </c>
      <c r="D1905">
        <v>1037022454355</v>
      </c>
      <c r="E1905">
        <v>1</v>
      </c>
      <c r="F1905">
        <v>6127798356</v>
      </c>
      <c r="G1905">
        <v>34990</v>
      </c>
      <c r="H1905" t="s">
        <v>40293</v>
      </c>
      <c r="I1905">
        <v>10246</v>
      </c>
      <c r="J1905">
        <v>97</v>
      </c>
      <c r="K1905">
        <v>400</v>
      </c>
    </row>
    <row r="1906" spans="1:11">
      <c r="A1906">
        <v>90</v>
      </c>
      <c r="B1906" t="b">
        <v>0</v>
      </c>
      <c r="C1906" t="s">
        <v>45108</v>
      </c>
      <c r="D1906">
        <v>1037022454355</v>
      </c>
      <c r="E1906">
        <v>1</v>
      </c>
      <c r="F1906">
        <v>6153058000</v>
      </c>
      <c r="G1906">
        <v>34980</v>
      </c>
      <c r="H1906" t="s">
        <v>40293</v>
      </c>
      <c r="I1906">
        <v>10246</v>
      </c>
      <c r="J1906">
        <v>19</v>
      </c>
      <c r="K1906">
        <v>50</v>
      </c>
    </row>
    <row r="1907" spans="1:11">
      <c r="A1907">
        <v>90</v>
      </c>
      <c r="B1907" t="b">
        <v>0</v>
      </c>
      <c r="C1907" t="s">
        <v>42287</v>
      </c>
      <c r="D1907">
        <v>1037022454355</v>
      </c>
      <c r="E1907">
        <v>1</v>
      </c>
      <c r="F1907">
        <v>6132793530</v>
      </c>
      <c r="G1907">
        <v>3199000</v>
      </c>
      <c r="H1907" t="s">
        <v>40293</v>
      </c>
      <c r="I1907">
        <v>10250</v>
      </c>
      <c r="J1907">
        <v>84</v>
      </c>
      <c r="K1907">
        <v>104</v>
      </c>
    </row>
    <row r="1908" spans="1:11">
      <c r="A1908">
        <v>90</v>
      </c>
      <c r="B1908" t="b">
        <v>0</v>
      </c>
      <c r="C1908" t="s">
        <v>45339</v>
      </c>
      <c r="D1908">
        <v>1037022454355</v>
      </c>
      <c r="E1908">
        <v>1</v>
      </c>
      <c r="F1908">
        <v>6152635348</v>
      </c>
      <c r="G1908">
        <v>1706000</v>
      </c>
      <c r="H1908" t="s">
        <v>40293</v>
      </c>
      <c r="I1908">
        <v>10250</v>
      </c>
      <c r="J1908">
        <v>5</v>
      </c>
      <c r="K1908">
        <v>5</v>
      </c>
    </row>
    <row r="1909" spans="1:11">
      <c r="A1909">
        <v>90</v>
      </c>
      <c r="B1909" t="b">
        <v>0</v>
      </c>
      <c r="C1909" t="s">
        <v>44896</v>
      </c>
      <c r="D1909">
        <v>1037022454355</v>
      </c>
      <c r="E1909">
        <v>1</v>
      </c>
      <c r="F1909">
        <v>6149811420</v>
      </c>
      <c r="G1909">
        <v>1540000</v>
      </c>
      <c r="H1909" t="s">
        <v>40293</v>
      </c>
      <c r="I1909">
        <v>10250</v>
      </c>
      <c r="J1909">
        <v>3</v>
      </c>
      <c r="K1909">
        <v>3</v>
      </c>
    </row>
    <row r="1910" spans="1:11">
      <c r="A1910">
        <v>90</v>
      </c>
      <c r="B1910" t="b">
        <v>0</v>
      </c>
      <c r="C1910" t="s">
        <v>46517</v>
      </c>
      <c r="D1910">
        <v>1037022454355</v>
      </c>
      <c r="E1910">
        <v>1</v>
      </c>
      <c r="F1910">
        <v>6152060337</v>
      </c>
      <c r="G1910">
        <v>1499000</v>
      </c>
      <c r="H1910" t="s">
        <v>40293</v>
      </c>
      <c r="I1910">
        <v>10250</v>
      </c>
      <c r="J1910">
        <v>10</v>
      </c>
      <c r="K1910">
        <v>33</v>
      </c>
    </row>
    <row r="1911" spans="1:11">
      <c r="A1911">
        <v>90</v>
      </c>
      <c r="B1911" t="b">
        <v>0</v>
      </c>
      <c r="C1911" t="s">
        <v>45264</v>
      </c>
      <c r="D1911">
        <v>1037022454355</v>
      </c>
      <c r="E1911">
        <v>1</v>
      </c>
      <c r="F1911">
        <v>6155498837</v>
      </c>
      <c r="G1911">
        <v>1498000</v>
      </c>
      <c r="H1911" t="s">
        <v>40293</v>
      </c>
      <c r="I1911">
        <v>10250</v>
      </c>
      <c r="J1911">
        <v>5</v>
      </c>
      <c r="K1911">
        <v>25</v>
      </c>
    </row>
    <row r="1912" spans="1:11">
      <c r="A1912">
        <v>90</v>
      </c>
      <c r="B1912" t="b">
        <v>0</v>
      </c>
      <c r="C1912" t="s">
        <v>43920</v>
      </c>
      <c r="D1912">
        <v>1037022454355</v>
      </c>
      <c r="E1912">
        <v>1</v>
      </c>
      <c r="F1912">
        <v>6138198170</v>
      </c>
      <c r="G1912">
        <v>30000</v>
      </c>
      <c r="H1912" t="s">
        <v>40293</v>
      </c>
      <c r="I1912">
        <v>10629</v>
      </c>
      <c r="J1912">
        <v>1</v>
      </c>
      <c r="K1912">
        <v>1</v>
      </c>
    </row>
    <row r="1913" spans="1:11">
      <c r="A1913">
        <v>90</v>
      </c>
      <c r="B1913" t="b">
        <v>0</v>
      </c>
      <c r="C1913" t="s">
        <v>44492</v>
      </c>
      <c r="D1913">
        <v>1037022454355</v>
      </c>
      <c r="E1913">
        <v>1</v>
      </c>
      <c r="F1913">
        <v>6151379333</v>
      </c>
      <c r="G1913">
        <v>1399000</v>
      </c>
      <c r="H1913" t="s">
        <v>40293</v>
      </c>
      <c r="I1913">
        <v>10631</v>
      </c>
      <c r="J1913">
        <v>23</v>
      </c>
      <c r="K1913">
        <v>25</v>
      </c>
    </row>
    <row r="1914" spans="1:11">
      <c r="A1914">
        <v>90</v>
      </c>
      <c r="B1914" t="b">
        <v>0</v>
      </c>
      <c r="C1914" t="s">
        <v>43396</v>
      </c>
      <c r="D1914">
        <v>1037022454355</v>
      </c>
      <c r="E1914">
        <v>1</v>
      </c>
      <c r="F1914">
        <v>6138247146</v>
      </c>
      <c r="G1914">
        <v>800000</v>
      </c>
      <c r="H1914" t="s">
        <v>40293</v>
      </c>
      <c r="I1914">
        <v>10680</v>
      </c>
      <c r="J1914">
        <v>100</v>
      </c>
      <c r="K1914">
        <v>100</v>
      </c>
    </row>
    <row r="1915" spans="1:11">
      <c r="A1915">
        <v>90</v>
      </c>
      <c r="B1915" t="b">
        <v>0</v>
      </c>
      <c r="C1915" t="s">
        <v>45307</v>
      </c>
      <c r="D1915">
        <v>1037022454355</v>
      </c>
      <c r="E1915">
        <v>1</v>
      </c>
      <c r="F1915">
        <v>6134383173</v>
      </c>
      <c r="G1915">
        <v>799700</v>
      </c>
      <c r="H1915" t="s">
        <v>40293</v>
      </c>
      <c r="I1915">
        <v>10680</v>
      </c>
      <c r="J1915">
        <v>21</v>
      </c>
      <c r="K1915">
        <v>35</v>
      </c>
    </row>
    <row r="1916" spans="1:11">
      <c r="A1916">
        <v>90</v>
      </c>
      <c r="B1916" t="b">
        <v>0</v>
      </c>
      <c r="C1916" t="s">
        <v>44254</v>
      </c>
      <c r="D1916">
        <v>1037022454355</v>
      </c>
      <c r="E1916">
        <v>1</v>
      </c>
      <c r="F1916">
        <v>6147672864</v>
      </c>
      <c r="G1916">
        <v>769800</v>
      </c>
      <c r="H1916" t="s">
        <v>40293</v>
      </c>
      <c r="I1916">
        <v>10680</v>
      </c>
      <c r="J1916">
        <v>8</v>
      </c>
      <c r="K1916">
        <v>8</v>
      </c>
    </row>
    <row r="1917" spans="1:11">
      <c r="A1917">
        <v>90</v>
      </c>
      <c r="B1917" t="b">
        <v>0</v>
      </c>
      <c r="C1917" t="s">
        <v>46015</v>
      </c>
      <c r="D1917">
        <v>1037022454355</v>
      </c>
      <c r="E1917">
        <v>1</v>
      </c>
      <c r="F1917">
        <v>6149689464</v>
      </c>
      <c r="G1917">
        <v>769000</v>
      </c>
      <c r="H1917" t="s">
        <v>40293</v>
      </c>
      <c r="I1917">
        <v>10680</v>
      </c>
      <c r="J1917">
        <v>13</v>
      </c>
      <c r="K1917">
        <v>27</v>
      </c>
    </row>
    <row r="1918" spans="1:11">
      <c r="A1918">
        <v>90</v>
      </c>
      <c r="B1918" t="b">
        <v>0</v>
      </c>
      <c r="C1918" t="s">
        <v>40983</v>
      </c>
      <c r="D1918">
        <v>1037022454355</v>
      </c>
      <c r="E1918">
        <v>1</v>
      </c>
      <c r="F1918">
        <v>6090472979</v>
      </c>
      <c r="G1918">
        <v>250100</v>
      </c>
      <c r="H1918" t="s">
        <v>40293</v>
      </c>
      <c r="I1918">
        <v>10692</v>
      </c>
      <c r="J1918">
        <v>44</v>
      </c>
      <c r="K1918">
        <v>70</v>
      </c>
    </row>
    <row r="1919" spans="1:11">
      <c r="A1919">
        <v>90</v>
      </c>
      <c r="B1919" t="b">
        <v>0</v>
      </c>
      <c r="C1919" t="s">
        <v>42521</v>
      </c>
      <c r="D1919">
        <v>1037022454355</v>
      </c>
      <c r="E1919">
        <v>1</v>
      </c>
      <c r="F1919">
        <v>6132643879</v>
      </c>
      <c r="G1919">
        <v>500000</v>
      </c>
      <c r="H1919" t="s">
        <v>40293</v>
      </c>
      <c r="I1919">
        <v>10838</v>
      </c>
      <c r="J1919">
        <v>4</v>
      </c>
      <c r="K1919">
        <v>4</v>
      </c>
    </row>
    <row r="1920" spans="1:11">
      <c r="A1920">
        <v>90</v>
      </c>
      <c r="B1920" t="b">
        <v>0</v>
      </c>
      <c r="C1920" t="s">
        <v>42334</v>
      </c>
      <c r="D1920">
        <v>1037022454355</v>
      </c>
      <c r="E1920">
        <v>1</v>
      </c>
      <c r="F1920">
        <v>6133779421</v>
      </c>
      <c r="G1920">
        <v>5492000</v>
      </c>
      <c r="H1920" t="s">
        <v>40293</v>
      </c>
      <c r="I1920">
        <v>10842</v>
      </c>
      <c r="J1920">
        <v>1</v>
      </c>
      <c r="K1920">
        <v>1</v>
      </c>
    </row>
    <row r="1921" spans="1:11">
      <c r="A1921">
        <v>90</v>
      </c>
      <c r="B1921" t="b">
        <v>0</v>
      </c>
      <c r="C1921" t="s">
        <v>42888</v>
      </c>
      <c r="D1921">
        <v>1037022454355</v>
      </c>
      <c r="E1921">
        <v>1</v>
      </c>
      <c r="F1921">
        <v>6109462674</v>
      </c>
      <c r="G1921">
        <v>5296000</v>
      </c>
      <c r="H1921" t="s">
        <v>40293</v>
      </c>
      <c r="I1921">
        <v>10842</v>
      </c>
      <c r="J1921">
        <v>2</v>
      </c>
      <c r="K1921">
        <v>15</v>
      </c>
    </row>
    <row r="1922" spans="1:11">
      <c r="A1922">
        <v>90</v>
      </c>
      <c r="B1922" t="b">
        <v>0</v>
      </c>
      <c r="C1922" t="s">
        <v>44355</v>
      </c>
      <c r="D1922">
        <v>1037022454355</v>
      </c>
      <c r="E1922">
        <v>1</v>
      </c>
      <c r="F1922">
        <v>6150066519</v>
      </c>
      <c r="G1922">
        <v>5000000</v>
      </c>
      <c r="H1922" t="s">
        <v>40293</v>
      </c>
      <c r="I1922">
        <v>10842</v>
      </c>
      <c r="J1922">
        <v>1</v>
      </c>
      <c r="K1922">
        <v>1</v>
      </c>
    </row>
    <row r="1923" spans="1:11">
      <c r="A1923">
        <v>90</v>
      </c>
      <c r="B1923" t="b">
        <v>0</v>
      </c>
      <c r="C1923" t="s">
        <v>45815</v>
      </c>
      <c r="D1923">
        <v>1037022454355</v>
      </c>
      <c r="E1923">
        <v>1</v>
      </c>
      <c r="F1923">
        <v>6143695394</v>
      </c>
      <c r="G1923">
        <v>4800000</v>
      </c>
      <c r="H1923" t="s">
        <v>40293</v>
      </c>
      <c r="I1923">
        <v>10842</v>
      </c>
      <c r="J1923">
        <v>5</v>
      </c>
      <c r="K1923">
        <v>10</v>
      </c>
    </row>
    <row r="1924" spans="1:11">
      <c r="A1924">
        <v>30</v>
      </c>
      <c r="B1924" t="b">
        <v>0</v>
      </c>
      <c r="C1924" t="s">
        <v>45066</v>
      </c>
      <c r="D1924">
        <v>1037022454355</v>
      </c>
      <c r="E1924">
        <v>1</v>
      </c>
      <c r="F1924">
        <v>6148797720</v>
      </c>
      <c r="G1924">
        <v>3999000</v>
      </c>
      <c r="H1924" t="s">
        <v>40293</v>
      </c>
      <c r="I1924">
        <v>10842</v>
      </c>
      <c r="J1924">
        <v>8</v>
      </c>
      <c r="K1924">
        <v>10</v>
      </c>
    </row>
    <row r="1925" spans="1:11">
      <c r="A1925">
        <v>90</v>
      </c>
      <c r="B1925" t="b">
        <v>0</v>
      </c>
      <c r="C1925" t="s">
        <v>41850</v>
      </c>
      <c r="D1925">
        <v>1037022454355</v>
      </c>
      <c r="E1925">
        <v>1</v>
      </c>
      <c r="F1925">
        <v>6113177191</v>
      </c>
      <c r="G1925">
        <v>1164000</v>
      </c>
      <c r="H1925" t="s">
        <v>40293</v>
      </c>
      <c r="I1925">
        <v>10850</v>
      </c>
      <c r="J1925">
        <v>18</v>
      </c>
      <c r="K1925">
        <v>30</v>
      </c>
    </row>
    <row r="1926" spans="1:11">
      <c r="A1926">
        <v>90</v>
      </c>
      <c r="B1926" t="b">
        <v>0</v>
      </c>
      <c r="C1926" t="s">
        <v>42587</v>
      </c>
      <c r="D1926">
        <v>1037022454355</v>
      </c>
      <c r="E1926">
        <v>1</v>
      </c>
      <c r="F1926">
        <v>6132188430</v>
      </c>
      <c r="G1926">
        <v>1163000</v>
      </c>
      <c r="H1926" t="s">
        <v>40293</v>
      </c>
      <c r="I1926">
        <v>10850</v>
      </c>
      <c r="J1926">
        <v>5</v>
      </c>
      <c r="K1926">
        <v>11</v>
      </c>
    </row>
    <row r="1927" spans="1:11">
      <c r="A1927">
        <v>90</v>
      </c>
      <c r="B1927" t="b">
        <v>0</v>
      </c>
      <c r="C1927" t="s">
        <v>42970</v>
      </c>
      <c r="D1927">
        <v>1037022454355</v>
      </c>
      <c r="E1927">
        <v>1</v>
      </c>
      <c r="F1927">
        <v>6147053342</v>
      </c>
      <c r="G1927">
        <v>1162000</v>
      </c>
      <c r="H1927" t="s">
        <v>40293</v>
      </c>
      <c r="I1927">
        <v>10850</v>
      </c>
      <c r="J1927">
        <v>13</v>
      </c>
      <c r="K1927">
        <v>25</v>
      </c>
    </row>
    <row r="1928" spans="1:11">
      <c r="A1928">
        <v>90</v>
      </c>
      <c r="B1928" t="b">
        <v>0</v>
      </c>
      <c r="C1928" t="s">
        <v>45030</v>
      </c>
      <c r="D1928">
        <v>1037022454355</v>
      </c>
      <c r="E1928">
        <v>1</v>
      </c>
      <c r="F1928">
        <v>6152401732</v>
      </c>
      <c r="G1928">
        <v>1162000</v>
      </c>
      <c r="H1928" t="s">
        <v>40293</v>
      </c>
      <c r="I1928">
        <v>10850</v>
      </c>
      <c r="J1928">
        <v>1</v>
      </c>
      <c r="K1928">
        <v>1</v>
      </c>
    </row>
    <row r="1929" spans="1:11">
      <c r="A1929">
        <v>90</v>
      </c>
      <c r="B1929" t="b">
        <v>0</v>
      </c>
      <c r="C1929" t="s">
        <v>45398</v>
      </c>
      <c r="D1929">
        <v>1037022454355</v>
      </c>
      <c r="E1929">
        <v>1</v>
      </c>
      <c r="F1929">
        <v>6134122140</v>
      </c>
      <c r="G1929">
        <v>3080000</v>
      </c>
      <c r="H1929" t="s">
        <v>40293</v>
      </c>
      <c r="I1929">
        <v>10858</v>
      </c>
      <c r="J1929">
        <v>25</v>
      </c>
      <c r="K1929">
        <v>25</v>
      </c>
    </row>
    <row r="1930" spans="1:11">
      <c r="A1930">
        <v>30</v>
      </c>
      <c r="B1930" t="b">
        <v>0</v>
      </c>
      <c r="C1930" t="s">
        <v>45399</v>
      </c>
      <c r="D1930">
        <v>1037022454355</v>
      </c>
      <c r="E1930">
        <v>1</v>
      </c>
      <c r="F1930">
        <v>6154307235</v>
      </c>
      <c r="G1930">
        <v>3075000</v>
      </c>
      <c r="H1930" t="s">
        <v>40293</v>
      </c>
      <c r="I1930">
        <v>10858</v>
      </c>
      <c r="J1930">
        <v>8</v>
      </c>
      <c r="K1930">
        <v>10</v>
      </c>
    </row>
    <row r="1931" spans="1:11">
      <c r="A1931">
        <v>90</v>
      </c>
      <c r="B1931" t="b">
        <v>0</v>
      </c>
      <c r="C1931" t="s">
        <v>44925</v>
      </c>
      <c r="D1931">
        <v>1037022454355</v>
      </c>
      <c r="E1931">
        <v>1</v>
      </c>
      <c r="F1931">
        <v>6156004985</v>
      </c>
      <c r="G1931">
        <v>3074000</v>
      </c>
      <c r="H1931" t="s">
        <v>40293</v>
      </c>
      <c r="I1931">
        <v>10858</v>
      </c>
      <c r="J1931">
        <v>1</v>
      </c>
      <c r="K1931">
        <v>1</v>
      </c>
    </row>
    <row r="1932" spans="1:11">
      <c r="A1932">
        <v>90</v>
      </c>
      <c r="B1932" t="b">
        <v>0</v>
      </c>
      <c r="C1932" t="s">
        <v>41542</v>
      </c>
      <c r="D1932">
        <v>1037022454355</v>
      </c>
      <c r="E1932">
        <v>1</v>
      </c>
      <c r="F1932">
        <v>6114409641</v>
      </c>
      <c r="G1932">
        <v>300000</v>
      </c>
      <c r="H1932" t="s">
        <v>40293</v>
      </c>
      <c r="I1932">
        <v>10868</v>
      </c>
      <c r="J1932">
        <v>4</v>
      </c>
      <c r="K1932">
        <v>6</v>
      </c>
    </row>
    <row r="1933" spans="1:11">
      <c r="A1933">
        <v>90</v>
      </c>
      <c r="B1933" t="b">
        <v>0</v>
      </c>
      <c r="C1933" t="s">
        <v>42015</v>
      </c>
      <c r="D1933">
        <v>1037022454355</v>
      </c>
      <c r="E1933">
        <v>1</v>
      </c>
      <c r="F1933">
        <v>6130764253</v>
      </c>
      <c r="G1933">
        <v>140000</v>
      </c>
      <c r="H1933" t="s">
        <v>40293</v>
      </c>
      <c r="I1933">
        <v>10868</v>
      </c>
      <c r="J1933">
        <v>147</v>
      </c>
      <c r="K1933">
        <v>147</v>
      </c>
    </row>
    <row r="1934" spans="1:11">
      <c r="A1934">
        <v>90</v>
      </c>
      <c r="B1934" t="b">
        <v>0</v>
      </c>
      <c r="C1934" t="s">
        <v>42383</v>
      </c>
      <c r="D1934">
        <v>1037022454355</v>
      </c>
      <c r="E1934">
        <v>1</v>
      </c>
      <c r="F1934">
        <v>6068509026</v>
      </c>
      <c r="G1934">
        <v>139900</v>
      </c>
      <c r="H1934" t="s">
        <v>40293</v>
      </c>
      <c r="I1934">
        <v>10868</v>
      </c>
      <c r="J1934">
        <v>1</v>
      </c>
      <c r="K1934">
        <v>20</v>
      </c>
    </row>
    <row r="1935" spans="1:11">
      <c r="A1935">
        <v>90</v>
      </c>
      <c r="B1935" t="b">
        <v>0</v>
      </c>
      <c r="C1935" t="s">
        <v>43671</v>
      </c>
      <c r="D1935">
        <v>1037022454355</v>
      </c>
      <c r="E1935">
        <v>1</v>
      </c>
      <c r="F1935">
        <v>6144809956</v>
      </c>
      <c r="G1935">
        <v>139000</v>
      </c>
      <c r="H1935" t="s">
        <v>40293</v>
      </c>
      <c r="I1935">
        <v>10868</v>
      </c>
      <c r="J1935">
        <v>5</v>
      </c>
      <c r="K1935">
        <v>6</v>
      </c>
    </row>
    <row r="1936" spans="1:11">
      <c r="A1936">
        <v>90</v>
      </c>
      <c r="B1936" t="b">
        <v>0</v>
      </c>
      <c r="C1936" t="s">
        <v>40389</v>
      </c>
      <c r="D1936">
        <v>1037022454355</v>
      </c>
      <c r="E1936">
        <v>1</v>
      </c>
      <c r="F1936">
        <v>6108711237</v>
      </c>
      <c r="G1936">
        <v>500100</v>
      </c>
      <c r="H1936" t="s">
        <v>40293</v>
      </c>
      <c r="I1936">
        <v>10872</v>
      </c>
      <c r="J1936">
        <v>4</v>
      </c>
      <c r="K1936">
        <v>4</v>
      </c>
    </row>
    <row r="1937" spans="1:11">
      <c r="A1937">
        <v>90</v>
      </c>
      <c r="B1937" t="b">
        <v>0</v>
      </c>
      <c r="C1937" t="s">
        <v>40489</v>
      </c>
      <c r="D1937">
        <v>1037022454355</v>
      </c>
      <c r="E1937">
        <v>1</v>
      </c>
      <c r="F1937">
        <v>6070997550</v>
      </c>
      <c r="G1937">
        <v>500000</v>
      </c>
      <c r="H1937" t="s">
        <v>40293</v>
      </c>
      <c r="I1937">
        <v>10872</v>
      </c>
      <c r="J1937">
        <v>54</v>
      </c>
      <c r="K1937">
        <v>55</v>
      </c>
    </row>
    <row r="1938" spans="1:11">
      <c r="A1938">
        <v>90</v>
      </c>
      <c r="B1938" t="b">
        <v>0</v>
      </c>
      <c r="C1938" t="s">
        <v>42030</v>
      </c>
      <c r="D1938">
        <v>1037022454355</v>
      </c>
      <c r="E1938">
        <v>1</v>
      </c>
      <c r="F1938">
        <v>6129258008</v>
      </c>
      <c r="G1938">
        <v>480000</v>
      </c>
      <c r="H1938" t="s">
        <v>40293</v>
      </c>
      <c r="I1938">
        <v>10872</v>
      </c>
      <c r="J1938">
        <v>6</v>
      </c>
      <c r="K1938">
        <v>6</v>
      </c>
    </row>
    <row r="1939" spans="1:11">
      <c r="A1939">
        <v>90</v>
      </c>
      <c r="B1939" t="b">
        <v>0</v>
      </c>
      <c r="C1939" t="s">
        <v>42008</v>
      </c>
      <c r="D1939">
        <v>1037022454355</v>
      </c>
      <c r="E1939">
        <v>1</v>
      </c>
      <c r="F1939">
        <v>6130763155</v>
      </c>
      <c r="G1939">
        <v>110000</v>
      </c>
      <c r="H1939" t="s">
        <v>40293</v>
      </c>
      <c r="I1939">
        <v>10872</v>
      </c>
      <c r="J1939">
        <v>275</v>
      </c>
      <c r="K1939">
        <v>277</v>
      </c>
    </row>
    <row r="1940" spans="1:11">
      <c r="A1940">
        <v>90</v>
      </c>
      <c r="B1940" t="b">
        <v>0</v>
      </c>
      <c r="C1940" t="s">
        <v>42365</v>
      </c>
      <c r="D1940">
        <v>1037022454355</v>
      </c>
      <c r="E1940">
        <v>1</v>
      </c>
      <c r="F1940">
        <v>6106092893</v>
      </c>
      <c r="G1940">
        <v>109000</v>
      </c>
      <c r="H1940" t="s">
        <v>40293</v>
      </c>
      <c r="I1940">
        <v>10872</v>
      </c>
      <c r="J1940">
        <v>7</v>
      </c>
      <c r="K1940">
        <v>11</v>
      </c>
    </row>
    <row r="1941" spans="1:11">
      <c r="A1941">
        <v>90</v>
      </c>
      <c r="B1941" t="b">
        <v>0</v>
      </c>
      <c r="C1941" t="s">
        <v>43664</v>
      </c>
      <c r="D1941">
        <v>1037022454355</v>
      </c>
      <c r="E1941">
        <v>1</v>
      </c>
      <c r="F1941">
        <v>6144809668</v>
      </c>
      <c r="G1941">
        <v>108900</v>
      </c>
      <c r="H1941" t="s">
        <v>40293</v>
      </c>
      <c r="I1941">
        <v>10872</v>
      </c>
      <c r="J1941">
        <v>4</v>
      </c>
      <c r="K1941">
        <v>7</v>
      </c>
    </row>
    <row r="1942" spans="1:11">
      <c r="A1942">
        <v>90</v>
      </c>
      <c r="B1942" t="b">
        <v>0</v>
      </c>
      <c r="C1942" t="s">
        <v>41801</v>
      </c>
      <c r="D1942">
        <v>1037022454355</v>
      </c>
      <c r="E1942">
        <v>1</v>
      </c>
      <c r="F1942">
        <v>6104059820</v>
      </c>
      <c r="G1942">
        <v>499000</v>
      </c>
      <c r="H1942" t="s">
        <v>40293</v>
      </c>
      <c r="I1942">
        <v>10876</v>
      </c>
      <c r="J1942">
        <v>4</v>
      </c>
      <c r="K1942">
        <v>15</v>
      </c>
    </row>
    <row r="1943" spans="1:11">
      <c r="A1943">
        <v>90</v>
      </c>
      <c r="B1943" t="b">
        <v>0</v>
      </c>
      <c r="C1943" t="s">
        <v>42031</v>
      </c>
      <c r="D1943">
        <v>1037022454355</v>
      </c>
      <c r="E1943">
        <v>1</v>
      </c>
      <c r="F1943">
        <v>6129258115</v>
      </c>
      <c r="G1943">
        <v>480000</v>
      </c>
      <c r="H1943" t="s">
        <v>40293</v>
      </c>
      <c r="I1943">
        <v>10876</v>
      </c>
      <c r="J1943">
        <v>5</v>
      </c>
      <c r="K1943">
        <v>5</v>
      </c>
    </row>
    <row r="1944" spans="1:11">
      <c r="A1944">
        <v>90</v>
      </c>
      <c r="B1944" t="b">
        <v>0</v>
      </c>
      <c r="C1944" t="s">
        <v>42077</v>
      </c>
      <c r="D1944">
        <v>1037022454355</v>
      </c>
      <c r="E1944">
        <v>1</v>
      </c>
      <c r="F1944">
        <v>6130752335</v>
      </c>
      <c r="G1944">
        <v>190000</v>
      </c>
      <c r="H1944" t="s">
        <v>40293</v>
      </c>
      <c r="I1944">
        <v>10876</v>
      </c>
      <c r="J1944">
        <v>1</v>
      </c>
      <c r="K1944">
        <v>7</v>
      </c>
    </row>
    <row r="1945" spans="1:11">
      <c r="A1945">
        <v>90</v>
      </c>
      <c r="B1945" t="b">
        <v>0</v>
      </c>
      <c r="C1945" t="s">
        <v>42180</v>
      </c>
      <c r="D1945">
        <v>1037022454355</v>
      </c>
      <c r="E1945">
        <v>1</v>
      </c>
      <c r="F1945">
        <v>6129258196</v>
      </c>
      <c r="G1945">
        <v>350000</v>
      </c>
      <c r="H1945" t="s">
        <v>40293</v>
      </c>
      <c r="I1945">
        <v>10880</v>
      </c>
      <c r="J1945">
        <v>6</v>
      </c>
      <c r="K1945">
        <v>6</v>
      </c>
    </row>
    <row r="1946" spans="1:11">
      <c r="A1946">
        <v>90</v>
      </c>
      <c r="B1946" t="b">
        <v>0</v>
      </c>
      <c r="C1946" t="s">
        <v>45524</v>
      </c>
      <c r="D1946">
        <v>1037022454355</v>
      </c>
      <c r="E1946">
        <v>1</v>
      </c>
      <c r="F1946">
        <v>6150343776</v>
      </c>
      <c r="G1946">
        <v>190000</v>
      </c>
      <c r="H1946" t="s">
        <v>40293</v>
      </c>
      <c r="I1946">
        <v>10880</v>
      </c>
      <c r="J1946">
        <v>1</v>
      </c>
      <c r="K1946">
        <v>1</v>
      </c>
    </row>
    <row r="1947" spans="1:11">
      <c r="A1947">
        <v>90</v>
      </c>
      <c r="B1947" t="b">
        <v>0</v>
      </c>
      <c r="C1947" t="s">
        <v>42177</v>
      </c>
      <c r="D1947">
        <v>1037022454355</v>
      </c>
      <c r="E1947">
        <v>1</v>
      </c>
      <c r="F1947">
        <v>6130751129</v>
      </c>
      <c r="G1947">
        <v>190000</v>
      </c>
      <c r="H1947" t="s">
        <v>40293</v>
      </c>
      <c r="I1947">
        <v>10880</v>
      </c>
      <c r="J1947">
        <v>12</v>
      </c>
      <c r="K1947">
        <v>16</v>
      </c>
    </row>
    <row r="1948" spans="1:11">
      <c r="A1948">
        <v>30</v>
      </c>
      <c r="B1948" t="b">
        <v>0</v>
      </c>
      <c r="C1948" t="s">
        <v>43105</v>
      </c>
      <c r="D1948">
        <v>1037022454355</v>
      </c>
      <c r="E1948">
        <v>1</v>
      </c>
      <c r="F1948">
        <v>6127021834</v>
      </c>
      <c r="G1948">
        <v>189900</v>
      </c>
      <c r="H1948" t="s">
        <v>40293</v>
      </c>
      <c r="I1948">
        <v>10880</v>
      </c>
      <c r="J1948">
        <v>6</v>
      </c>
      <c r="K1948">
        <v>9</v>
      </c>
    </row>
    <row r="1949" spans="1:11">
      <c r="A1949">
        <v>90</v>
      </c>
      <c r="B1949" t="b">
        <v>0</v>
      </c>
      <c r="C1949" t="s">
        <v>45137</v>
      </c>
      <c r="D1949">
        <v>1037022454355</v>
      </c>
      <c r="E1949">
        <v>1</v>
      </c>
      <c r="F1949">
        <v>6151846110</v>
      </c>
      <c r="G1949">
        <v>500000</v>
      </c>
      <c r="H1949" t="s">
        <v>40293</v>
      </c>
      <c r="I1949">
        <v>10884</v>
      </c>
      <c r="J1949">
        <v>11</v>
      </c>
      <c r="K1949">
        <v>12</v>
      </c>
    </row>
    <row r="1950" spans="1:11">
      <c r="A1950">
        <v>90</v>
      </c>
      <c r="B1950" t="b">
        <v>0</v>
      </c>
      <c r="C1950" t="s">
        <v>41439</v>
      </c>
      <c r="D1950">
        <v>1037022454355</v>
      </c>
      <c r="E1950">
        <v>1</v>
      </c>
      <c r="F1950">
        <v>6123851843</v>
      </c>
      <c r="G1950">
        <v>1200000</v>
      </c>
      <c r="H1950" t="s">
        <v>40293</v>
      </c>
      <c r="I1950">
        <v>10888</v>
      </c>
      <c r="J1950">
        <v>117</v>
      </c>
      <c r="K1950">
        <v>153</v>
      </c>
    </row>
    <row r="1951" spans="1:11">
      <c r="A1951">
        <v>90</v>
      </c>
      <c r="B1951" t="b">
        <v>0</v>
      </c>
      <c r="C1951" t="s">
        <v>45429</v>
      </c>
      <c r="D1951">
        <v>1037022454355</v>
      </c>
      <c r="E1951">
        <v>1</v>
      </c>
      <c r="F1951">
        <v>6150637578</v>
      </c>
      <c r="G1951">
        <v>1199000</v>
      </c>
      <c r="H1951" t="s">
        <v>40293</v>
      </c>
      <c r="I1951">
        <v>10888</v>
      </c>
      <c r="J1951">
        <v>11</v>
      </c>
      <c r="K1951">
        <v>15</v>
      </c>
    </row>
    <row r="1952" spans="1:11">
      <c r="A1952">
        <v>90</v>
      </c>
      <c r="B1952" t="b">
        <v>0</v>
      </c>
      <c r="C1952" t="s">
        <v>40646</v>
      </c>
      <c r="D1952">
        <v>1037022454355</v>
      </c>
      <c r="E1952">
        <v>1</v>
      </c>
      <c r="F1952">
        <v>6089547449</v>
      </c>
      <c r="G1952">
        <v>100000</v>
      </c>
      <c r="H1952" t="s">
        <v>40293</v>
      </c>
      <c r="I1952">
        <v>10998</v>
      </c>
      <c r="J1952">
        <v>10</v>
      </c>
      <c r="K1952">
        <v>12</v>
      </c>
    </row>
    <row r="1953" spans="1:11">
      <c r="A1953">
        <v>90</v>
      </c>
      <c r="B1953" t="b">
        <v>0</v>
      </c>
      <c r="C1953" t="s">
        <v>41490</v>
      </c>
      <c r="D1953">
        <v>1037022454355</v>
      </c>
      <c r="E1953">
        <v>1</v>
      </c>
      <c r="F1953">
        <v>6094612212</v>
      </c>
      <c r="G1953">
        <v>99670</v>
      </c>
      <c r="H1953" t="s">
        <v>40293</v>
      </c>
      <c r="I1953">
        <v>10998</v>
      </c>
      <c r="J1953">
        <v>53</v>
      </c>
      <c r="K1953">
        <v>53</v>
      </c>
    </row>
    <row r="1954" spans="1:11">
      <c r="A1954">
        <v>90</v>
      </c>
      <c r="B1954" t="b">
        <v>0</v>
      </c>
      <c r="C1954" t="s">
        <v>41560</v>
      </c>
      <c r="D1954">
        <v>1037022454355</v>
      </c>
      <c r="E1954">
        <v>1</v>
      </c>
      <c r="F1954">
        <v>6106836410</v>
      </c>
      <c r="G1954">
        <v>50000</v>
      </c>
      <c r="H1954" t="s">
        <v>40293</v>
      </c>
      <c r="I1954">
        <v>10998</v>
      </c>
      <c r="J1954">
        <v>37</v>
      </c>
      <c r="K1954">
        <v>50</v>
      </c>
    </row>
    <row r="1955" spans="1:11">
      <c r="A1955">
        <v>90</v>
      </c>
      <c r="B1955" t="b">
        <v>0</v>
      </c>
      <c r="C1955" t="s">
        <v>43880</v>
      </c>
      <c r="D1955">
        <v>1037022454355</v>
      </c>
      <c r="E1955">
        <v>1</v>
      </c>
      <c r="F1955">
        <v>6142850312</v>
      </c>
      <c r="G1955">
        <v>49900</v>
      </c>
      <c r="H1955" t="s">
        <v>40293</v>
      </c>
      <c r="I1955">
        <v>10998</v>
      </c>
      <c r="J1955">
        <v>7</v>
      </c>
      <c r="K1955">
        <v>9</v>
      </c>
    </row>
    <row r="1956" spans="1:11">
      <c r="A1956">
        <v>90</v>
      </c>
      <c r="B1956" t="b">
        <v>0</v>
      </c>
      <c r="C1956" t="s">
        <v>43847</v>
      </c>
      <c r="D1956">
        <v>1037022454355</v>
      </c>
      <c r="E1956">
        <v>1</v>
      </c>
      <c r="F1956">
        <v>6146593502</v>
      </c>
      <c r="G1956">
        <v>49500</v>
      </c>
      <c r="H1956" t="s">
        <v>40293</v>
      </c>
      <c r="I1956">
        <v>10998</v>
      </c>
      <c r="J1956">
        <v>34</v>
      </c>
      <c r="K1956">
        <v>49</v>
      </c>
    </row>
    <row r="1957" spans="1:11">
      <c r="A1957">
        <v>90</v>
      </c>
      <c r="B1957" t="b">
        <v>0</v>
      </c>
      <c r="C1957" t="s">
        <v>44918</v>
      </c>
      <c r="D1957">
        <v>1037022454355</v>
      </c>
      <c r="E1957">
        <v>1</v>
      </c>
      <c r="F1957">
        <v>6153055739</v>
      </c>
      <c r="G1957">
        <v>49490</v>
      </c>
      <c r="H1957" t="s">
        <v>40293</v>
      </c>
      <c r="I1957">
        <v>10998</v>
      </c>
      <c r="J1957">
        <v>30</v>
      </c>
      <c r="K1957">
        <v>50</v>
      </c>
    </row>
    <row r="1958" spans="1:11">
      <c r="A1958">
        <v>90</v>
      </c>
      <c r="B1958" t="b">
        <v>0</v>
      </c>
      <c r="C1958" t="s">
        <v>40539</v>
      </c>
      <c r="D1958">
        <v>1037022454355</v>
      </c>
      <c r="E1958">
        <v>1</v>
      </c>
      <c r="F1958">
        <v>6101669596</v>
      </c>
      <c r="G1958">
        <v>450000</v>
      </c>
      <c r="H1958" t="s">
        <v>40293</v>
      </c>
      <c r="I1958">
        <v>11105</v>
      </c>
      <c r="J1958">
        <v>1</v>
      </c>
      <c r="K1958">
        <v>2</v>
      </c>
    </row>
    <row r="1959" spans="1:11">
      <c r="A1959">
        <v>90</v>
      </c>
      <c r="B1959" t="b">
        <v>0</v>
      </c>
      <c r="C1959" t="s">
        <v>41626</v>
      </c>
      <c r="D1959">
        <v>1037022454355</v>
      </c>
      <c r="E1959">
        <v>1</v>
      </c>
      <c r="F1959">
        <v>6107657195</v>
      </c>
      <c r="G1959">
        <v>438000</v>
      </c>
      <c r="H1959" t="s">
        <v>40293</v>
      </c>
      <c r="I1959">
        <v>11105</v>
      </c>
      <c r="J1959">
        <v>1</v>
      </c>
      <c r="K1959">
        <v>1</v>
      </c>
    </row>
    <row r="1960" spans="1:11">
      <c r="A1960">
        <v>90</v>
      </c>
      <c r="B1960" t="b">
        <v>0</v>
      </c>
      <c r="C1960" t="s">
        <v>40965</v>
      </c>
      <c r="D1960">
        <v>1037022454355</v>
      </c>
      <c r="E1960">
        <v>1</v>
      </c>
      <c r="F1960">
        <v>6119930926</v>
      </c>
      <c r="G1960">
        <v>429900</v>
      </c>
      <c r="H1960" t="s">
        <v>40293</v>
      </c>
      <c r="I1960">
        <v>11105</v>
      </c>
      <c r="J1960">
        <v>8</v>
      </c>
      <c r="K1960">
        <v>12</v>
      </c>
    </row>
    <row r="1961" spans="1:11">
      <c r="A1961">
        <v>90</v>
      </c>
      <c r="B1961" t="b">
        <v>0</v>
      </c>
      <c r="C1961" t="s">
        <v>42063</v>
      </c>
      <c r="D1961">
        <v>1037022454355</v>
      </c>
      <c r="E1961">
        <v>1</v>
      </c>
      <c r="F1961">
        <v>6130773839</v>
      </c>
      <c r="G1961">
        <v>410000</v>
      </c>
      <c r="H1961" t="s">
        <v>40293</v>
      </c>
      <c r="I1961">
        <v>11105</v>
      </c>
      <c r="J1961">
        <v>89</v>
      </c>
      <c r="K1961">
        <v>89</v>
      </c>
    </row>
    <row r="1962" spans="1:11">
      <c r="A1962">
        <v>90</v>
      </c>
      <c r="B1962" t="b">
        <v>0</v>
      </c>
      <c r="C1962" t="s">
        <v>41344</v>
      </c>
      <c r="D1962">
        <v>1037022454355</v>
      </c>
      <c r="E1962">
        <v>1</v>
      </c>
      <c r="F1962">
        <v>6122919942</v>
      </c>
      <c r="G1962">
        <v>389800</v>
      </c>
      <c r="H1962" t="s">
        <v>40293</v>
      </c>
      <c r="I1962">
        <v>11105</v>
      </c>
      <c r="J1962">
        <v>1</v>
      </c>
      <c r="K1962">
        <v>1</v>
      </c>
    </row>
    <row r="1963" spans="1:11">
      <c r="A1963">
        <v>90</v>
      </c>
      <c r="B1963" t="b">
        <v>0</v>
      </c>
      <c r="C1963" t="s">
        <v>42131</v>
      </c>
      <c r="D1963">
        <v>1037022454355</v>
      </c>
      <c r="E1963">
        <v>1</v>
      </c>
      <c r="F1963">
        <v>6128295873</v>
      </c>
      <c r="G1963">
        <v>249800</v>
      </c>
      <c r="H1963" t="s">
        <v>40293</v>
      </c>
      <c r="I1963">
        <v>11105</v>
      </c>
      <c r="J1963">
        <v>1</v>
      </c>
      <c r="K1963">
        <v>10</v>
      </c>
    </row>
    <row r="1964" spans="1:11">
      <c r="A1964">
        <v>90</v>
      </c>
      <c r="B1964" t="b">
        <v>0</v>
      </c>
      <c r="C1964" t="s">
        <v>43217</v>
      </c>
      <c r="D1964">
        <v>1037022454355</v>
      </c>
      <c r="E1964">
        <v>1</v>
      </c>
      <c r="F1964">
        <v>6143911659</v>
      </c>
      <c r="G1964">
        <v>249400</v>
      </c>
      <c r="H1964" t="s">
        <v>40293</v>
      </c>
      <c r="I1964">
        <v>11105</v>
      </c>
      <c r="J1964">
        <v>3</v>
      </c>
      <c r="K1964">
        <v>5</v>
      </c>
    </row>
    <row r="1965" spans="1:11">
      <c r="A1965">
        <v>90</v>
      </c>
      <c r="B1965" t="b">
        <v>0</v>
      </c>
      <c r="C1965" t="s">
        <v>41618</v>
      </c>
      <c r="D1965">
        <v>1037022454355</v>
      </c>
      <c r="E1965">
        <v>1</v>
      </c>
      <c r="F1965">
        <v>6092256031</v>
      </c>
      <c r="G1965">
        <v>99990</v>
      </c>
      <c r="H1965" t="s">
        <v>40293</v>
      </c>
      <c r="I1965">
        <v>11129</v>
      </c>
      <c r="J1965">
        <v>100</v>
      </c>
      <c r="K1965">
        <v>100</v>
      </c>
    </row>
    <row r="1966" spans="1:11">
      <c r="A1966">
        <v>90</v>
      </c>
      <c r="B1966" t="b">
        <v>0</v>
      </c>
      <c r="C1966" t="s">
        <v>41133</v>
      </c>
      <c r="D1966">
        <v>1037022454355</v>
      </c>
      <c r="E1966">
        <v>1</v>
      </c>
      <c r="F1966">
        <v>6101813697</v>
      </c>
      <c r="G1966">
        <v>75000</v>
      </c>
      <c r="H1966" t="s">
        <v>40293</v>
      </c>
      <c r="I1966">
        <v>11129</v>
      </c>
      <c r="J1966">
        <v>1000</v>
      </c>
      <c r="K1966">
        <v>1000</v>
      </c>
    </row>
    <row r="1967" spans="1:11">
      <c r="A1967">
        <v>90</v>
      </c>
      <c r="B1967" t="b">
        <v>0</v>
      </c>
      <c r="C1967" t="s">
        <v>40695</v>
      </c>
      <c r="D1967">
        <v>1037022454355</v>
      </c>
      <c r="E1967">
        <v>1</v>
      </c>
      <c r="F1967">
        <v>6106948306</v>
      </c>
      <c r="G1967">
        <v>54000</v>
      </c>
      <c r="H1967" t="s">
        <v>40293</v>
      </c>
      <c r="I1967">
        <v>11129</v>
      </c>
      <c r="J1967">
        <v>285</v>
      </c>
      <c r="K1967">
        <v>300</v>
      </c>
    </row>
    <row r="1968" spans="1:11">
      <c r="A1968">
        <v>90</v>
      </c>
      <c r="B1968" t="b">
        <v>0</v>
      </c>
      <c r="C1968" t="s">
        <v>43196</v>
      </c>
      <c r="D1968">
        <v>1037022454355</v>
      </c>
      <c r="E1968">
        <v>1</v>
      </c>
      <c r="F1968">
        <v>6144828336</v>
      </c>
      <c r="G1968">
        <v>40000</v>
      </c>
      <c r="H1968" t="s">
        <v>40293</v>
      </c>
      <c r="I1968">
        <v>11129</v>
      </c>
      <c r="J1968">
        <v>132</v>
      </c>
      <c r="K1968">
        <v>399</v>
      </c>
    </row>
    <row r="1969" spans="1:11">
      <c r="A1969">
        <v>90</v>
      </c>
      <c r="B1969" t="b">
        <v>0</v>
      </c>
      <c r="C1969" t="s">
        <v>45400</v>
      </c>
      <c r="D1969">
        <v>1037022454355</v>
      </c>
      <c r="E1969">
        <v>1</v>
      </c>
      <c r="F1969">
        <v>6148540087</v>
      </c>
      <c r="G1969">
        <v>400000</v>
      </c>
      <c r="H1969" t="s">
        <v>40293</v>
      </c>
      <c r="I1969">
        <v>11130</v>
      </c>
      <c r="J1969">
        <v>100</v>
      </c>
      <c r="K1969">
        <v>100</v>
      </c>
    </row>
    <row r="1970" spans="1:11">
      <c r="A1970">
        <v>90</v>
      </c>
      <c r="B1970" t="b">
        <v>0</v>
      </c>
      <c r="C1970" t="s">
        <v>45400</v>
      </c>
      <c r="D1970">
        <v>1037022454355</v>
      </c>
      <c r="E1970">
        <v>1</v>
      </c>
      <c r="F1970">
        <v>6148540088</v>
      </c>
      <c r="G1970">
        <v>400000</v>
      </c>
      <c r="H1970" t="s">
        <v>40293</v>
      </c>
      <c r="I1970">
        <v>11133</v>
      </c>
      <c r="J1970">
        <v>100</v>
      </c>
      <c r="K1970">
        <v>100</v>
      </c>
    </row>
    <row r="1971" spans="1:11">
      <c r="A1971">
        <v>90</v>
      </c>
      <c r="B1971" t="b">
        <v>0</v>
      </c>
      <c r="C1971" t="s">
        <v>43067</v>
      </c>
      <c r="D1971">
        <v>1037022454355</v>
      </c>
      <c r="E1971">
        <v>1</v>
      </c>
      <c r="F1971">
        <v>6085088795</v>
      </c>
      <c r="G1971">
        <v>99090</v>
      </c>
      <c r="H1971" t="s">
        <v>40293</v>
      </c>
      <c r="I1971">
        <v>11134</v>
      </c>
      <c r="J1971">
        <v>50</v>
      </c>
      <c r="K1971">
        <v>50</v>
      </c>
    </row>
    <row r="1972" spans="1:11">
      <c r="A1972">
        <v>90</v>
      </c>
      <c r="B1972" t="b">
        <v>0</v>
      </c>
      <c r="C1972" t="s">
        <v>44201</v>
      </c>
      <c r="D1972">
        <v>1037022454355</v>
      </c>
      <c r="E1972">
        <v>1</v>
      </c>
      <c r="F1972">
        <v>6085085333</v>
      </c>
      <c r="G1972">
        <v>99050</v>
      </c>
      <c r="H1972" t="s">
        <v>40293</v>
      </c>
      <c r="I1972">
        <v>11134</v>
      </c>
      <c r="J1972">
        <v>39</v>
      </c>
      <c r="K1972">
        <v>59</v>
      </c>
    </row>
    <row r="1973" spans="1:11">
      <c r="A1973">
        <v>90</v>
      </c>
      <c r="B1973" t="b">
        <v>0</v>
      </c>
      <c r="C1973" t="s">
        <v>46122</v>
      </c>
      <c r="D1973">
        <v>1037022454355</v>
      </c>
      <c r="E1973">
        <v>1</v>
      </c>
      <c r="F1973">
        <v>6149040461</v>
      </c>
      <c r="G1973">
        <v>99040</v>
      </c>
      <c r="H1973" t="s">
        <v>40293</v>
      </c>
      <c r="I1973">
        <v>11134</v>
      </c>
      <c r="J1973">
        <v>13</v>
      </c>
      <c r="K1973">
        <v>21</v>
      </c>
    </row>
    <row r="1974" spans="1:11">
      <c r="A1974">
        <v>90</v>
      </c>
      <c r="B1974" t="b">
        <v>0</v>
      </c>
      <c r="C1974" t="s">
        <v>44435</v>
      </c>
      <c r="D1974">
        <v>1037022454355</v>
      </c>
      <c r="E1974">
        <v>1</v>
      </c>
      <c r="F1974">
        <v>6153049507</v>
      </c>
      <c r="G1974">
        <v>99030</v>
      </c>
      <c r="H1974" t="s">
        <v>40293</v>
      </c>
      <c r="I1974">
        <v>11134</v>
      </c>
      <c r="J1974">
        <v>31</v>
      </c>
      <c r="K1974">
        <v>84</v>
      </c>
    </row>
    <row r="1975" spans="1:11">
      <c r="A1975">
        <v>90</v>
      </c>
      <c r="B1975" t="b">
        <v>0</v>
      </c>
      <c r="C1975" t="s">
        <v>44601</v>
      </c>
      <c r="D1975">
        <v>1037022454355</v>
      </c>
      <c r="E1975">
        <v>1</v>
      </c>
      <c r="F1975">
        <v>6156263146</v>
      </c>
      <c r="G1975">
        <v>30000000</v>
      </c>
      <c r="H1975" t="s">
        <v>40293</v>
      </c>
      <c r="I1975">
        <v>11172</v>
      </c>
      <c r="J1975">
        <v>3</v>
      </c>
      <c r="K1975">
        <v>3</v>
      </c>
    </row>
    <row r="1976" spans="1:11">
      <c r="A1976">
        <v>90</v>
      </c>
      <c r="B1976" t="b">
        <v>0</v>
      </c>
      <c r="C1976" t="s">
        <v>41609</v>
      </c>
      <c r="D1976">
        <v>1037022454355</v>
      </c>
      <c r="E1976">
        <v>1</v>
      </c>
      <c r="F1976">
        <v>6121667998</v>
      </c>
      <c r="G1976">
        <v>41290000</v>
      </c>
      <c r="H1976" t="s">
        <v>40293</v>
      </c>
      <c r="I1976">
        <v>11174</v>
      </c>
      <c r="J1976">
        <v>2</v>
      </c>
      <c r="K1976">
        <v>2</v>
      </c>
    </row>
    <row r="1977" spans="1:11">
      <c r="A1977">
        <v>90</v>
      </c>
      <c r="B1977" t="b">
        <v>0</v>
      </c>
      <c r="C1977" t="s">
        <v>45911</v>
      </c>
      <c r="D1977">
        <v>1037022454355</v>
      </c>
      <c r="E1977">
        <v>1</v>
      </c>
      <c r="F1977">
        <v>6150643165</v>
      </c>
      <c r="G1977">
        <v>35000000</v>
      </c>
      <c r="H1977" t="s">
        <v>40293</v>
      </c>
      <c r="I1977">
        <v>11174</v>
      </c>
      <c r="J1977">
        <v>2</v>
      </c>
      <c r="K1977">
        <v>2</v>
      </c>
    </row>
    <row r="1978" spans="1:11">
      <c r="A1978">
        <v>90</v>
      </c>
      <c r="B1978" t="b">
        <v>0</v>
      </c>
      <c r="C1978" t="s">
        <v>45430</v>
      </c>
      <c r="D1978">
        <v>1037022454355</v>
      </c>
      <c r="E1978">
        <v>1</v>
      </c>
      <c r="F1978">
        <v>6156994574</v>
      </c>
      <c r="G1978">
        <v>34610000</v>
      </c>
      <c r="H1978" t="s">
        <v>40293</v>
      </c>
      <c r="I1978">
        <v>11174</v>
      </c>
      <c r="J1978">
        <v>1</v>
      </c>
      <c r="K1978">
        <v>1</v>
      </c>
    </row>
    <row r="1979" spans="1:11">
      <c r="A1979">
        <v>90</v>
      </c>
      <c r="B1979" t="b">
        <v>0</v>
      </c>
      <c r="C1979" t="s">
        <v>45766</v>
      </c>
      <c r="D1979">
        <v>1037022454355</v>
      </c>
      <c r="E1979">
        <v>1</v>
      </c>
      <c r="F1979">
        <v>6150641571</v>
      </c>
      <c r="G1979">
        <v>30000000</v>
      </c>
      <c r="H1979" t="s">
        <v>40293</v>
      </c>
      <c r="I1979">
        <v>11176</v>
      </c>
      <c r="J1979">
        <v>4</v>
      </c>
      <c r="K1979">
        <v>5</v>
      </c>
    </row>
    <row r="1980" spans="1:11">
      <c r="A1980">
        <v>90</v>
      </c>
      <c r="B1980" t="b">
        <v>0</v>
      </c>
      <c r="C1980" t="s">
        <v>45545</v>
      </c>
      <c r="D1980">
        <v>1037022454355</v>
      </c>
      <c r="E1980">
        <v>1</v>
      </c>
      <c r="F1980">
        <v>6153391452</v>
      </c>
      <c r="G1980">
        <v>29010000</v>
      </c>
      <c r="H1980" t="s">
        <v>40293</v>
      </c>
      <c r="I1980">
        <v>11176</v>
      </c>
      <c r="J1980">
        <v>1</v>
      </c>
      <c r="K1980">
        <v>1</v>
      </c>
    </row>
    <row r="1981" spans="1:11">
      <c r="A1981">
        <v>90</v>
      </c>
      <c r="B1981" t="b">
        <v>0</v>
      </c>
      <c r="C1981" t="s">
        <v>46297</v>
      </c>
      <c r="D1981">
        <v>1037022454355</v>
      </c>
      <c r="E1981">
        <v>1</v>
      </c>
      <c r="F1981">
        <v>6154252908</v>
      </c>
      <c r="G1981">
        <v>29000000</v>
      </c>
      <c r="H1981" t="s">
        <v>40293</v>
      </c>
      <c r="I1981">
        <v>11176</v>
      </c>
      <c r="J1981">
        <v>1</v>
      </c>
      <c r="K1981">
        <v>1</v>
      </c>
    </row>
    <row r="1982" spans="1:11">
      <c r="A1982">
        <v>90</v>
      </c>
      <c r="B1982" t="b">
        <v>0</v>
      </c>
      <c r="C1982" t="s">
        <v>45841</v>
      </c>
      <c r="D1982">
        <v>1037022454355</v>
      </c>
      <c r="E1982">
        <v>1</v>
      </c>
      <c r="F1982">
        <v>6154017559</v>
      </c>
      <c r="G1982">
        <v>34000000</v>
      </c>
      <c r="H1982" t="s">
        <v>40293</v>
      </c>
      <c r="I1982">
        <v>11178</v>
      </c>
      <c r="J1982">
        <v>1</v>
      </c>
      <c r="K1982">
        <v>2</v>
      </c>
    </row>
    <row r="1983" spans="1:11">
      <c r="A1983">
        <v>90</v>
      </c>
      <c r="B1983" t="b">
        <v>0</v>
      </c>
      <c r="C1983" t="s">
        <v>46239</v>
      </c>
      <c r="D1983">
        <v>1037022454355</v>
      </c>
      <c r="E1983">
        <v>1</v>
      </c>
      <c r="F1983">
        <v>6156251066</v>
      </c>
      <c r="G1983">
        <v>33900000</v>
      </c>
      <c r="H1983" t="s">
        <v>40293</v>
      </c>
      <c r="I1983">
        <v>11178</v>
      </c>
      <c r="J1983">
        <v>1</v>
      </c>
      <c r="K1983">
        <v>1</v>
      </c>
    </row>
    <row r="1984" spans="1:11">
      <c r="A1984">
        <v>90</v>
      </c>
      <c r="B1984" t="b">
        <v>0</v>
      </c>
      <c r="C1984" t="s">
        <v>42312</v>
      </c>
      <c r="D1984">
        <v>1037022454355</v>
      </c>
      <c r="E1984">
        <v>1</v>
      </c>
      <c r="F1984">
        <v>6134662529</v>
      </c>
      <c r="G1984">
        <v>32000000</v>
      </c>
      <c r="H1984" t="s">
        <v>40293</v>
      </c>
      <c r="I1984">
        <v>11182</v>
      </c>
      <c r="J1984">
        <v>3</v>
      </c>
      <c r="K1984">
        <v>4</v>
      </c>
    </row>
    <row r="1985" spans="1:11">
      <c r="A1985">
        <v>90</v>
      </c>
      <c r="B1985" t="b">
        <v>0</v>
      </c>
      <c r="C1985" t="s">
        <v>45989</v>
      </c>
      <c r="D1985">
        <v>1037022454355</v>
      </c>
      <c r="E1985">
        <v>1</v>
      </c>
      <c r="F1985">
        <v>6154215864</v>
      </c>
      <c r="G1985">
        <v>28000000</v>
      </c>
      <c r="H1985" t="s">
        <v>40293</v>
      </c>
      <c r="I1985">
        <v>11182</v>
      </c>
      <c r="J1985">
        <v>3</v>
      </c>
      <c r="K1985">
        <v>6</v>
      </c>
    </row>
    <row r="1986" spans="1:11">
      <c r="A1986">
        <v>90</v>
      </c>
      <c r="B1986" t="b">
        <v>0</v>
      </c>
      <c r="C1986" t="s">
        <v>42846</v>
      </c>
      <c r="D1986">
        <v>1037022454355</v>
      </c>
      <c r="E1986">
        <v>1</v>
      </c>
      <c r="F1986">
        <v>6096812999</v>
      </c>
      <c r="G1986">
        <v>32670000</v>
      </c>
      <c r="H1986" t="s">
        <v>40293</v>
      </c>
      <c r="I1986">
        <v>11184</v>
      </c>
      <c r="J1986">
        <v>15</v>
      </c>
      <c r="K1986">
        <v>17</v>
      </c>
    </row>
    <row r="1987" spans="1:11">
      <c r="A1987">
        <v>90</v>
      </c>
      <c r="B1987" t="b">
        <v>0</v>
      </c>
      <c r="C1987" t="s">
        <v>43916</v>
      </c>
      <c r="D1987">
        <v>1037022454355</v>
      </c>
      <c r="E1987">
        <v>1</v>
      </c>
      <c r="F1987">
        <v>6141343789</v>
      </c>
      <c r="G1987">
        <v>32660000</v>
      </c>
      <c r="H1987" t="s">
        <v>40293</v>
      </c>
      <c r="I1987">
        <v>11184</v>
      </c>
      <c r="J1987">
        <v>1</v>
      </c>
      <c r="K1987">
        <v>2</v>
      </c>
    </row>
    <row r="1988" spans="1:11">
      <c r="A1988">
        <v>90</v>
      </c>
      <c r="B1988" t="b">
        <v>0</v>
      </c>
      <c r="C1988" t="s">
        <v>46090</v>
      </c>
      <c r="D1988">
        <v>1037022454355</v>
      </c>
      <c r="E1988">
        <v>1</v>
      </c>
      <c r="F1988">
        <v>6125971319</v>
      </c>
      <c r="G1988">
        <v>32650000</v>
      </c>
      <c r="H1988" t="s">
        <v>40293</v>
      </c>
      <c r="I1988">
        <v>11184</v>
      </c>
      <c r="J1988">
        <v>1</v>
      </c>
      <c r="K1988">
        <v>1</v>
      </c>
    </row>
    <row r="1989" spans="1:11">
      <c r="A1989">
        <v>90</v>
      </c>
      <c r="B1989" t="b">
        <v>0</v>
      </c>
      <c r="C1989" t="s">
        <v>46131</v>
      </c>
      <c r="D1989">
        <v>1037022454355</v>
      </c>
      <c r="E1989">
        <v>1</v>
      </c>
      <c r="F1989">
        <v>6156707580</v>
      </c>
      <c r="G1989">
        <v>30330000</v>
      </c>
      <c r="H1989" t="s">
        <v>40293</v>
      </c>
      <c r="I1989">
        <v>11184</v>
      </c>
      <c r="J1989">
        <v>2</v>
      </c>
      <c r="K1989">
        <v>2</v>
      </c>
    </row>
    <row r="1990" spans="1:11">
      <c r="A1990">
        <v>90</v>
      </c>
      <c r="B1990" t="b">
        <v>0</v>
      </c>
      <c r="C1990" t="s">
        <v>40859</v>
      </c>
      <c r="D1990">
        <v>1037022454355</v>
      </c>
      <c r="E1990">
        <v>1</v>
      </c>
      <c r="F1990">
        <v>6117629398</v>
      </c>
      <c r="G1990">
        <v>30940000</v>
      </c>
      <c r="H1990" t="s">
        <v>40293</v>
      </c>
      <c r="I1990">
        <v>11186</v>
      </c>
      <c r="J1990">
        <v>3</v>
      </c>
      <c r="K1990">
        <v>3</v>
      </c>
    </row>
    <row r="1991" spans="1:11">
      <c r="A1991">
        <v>90</v>
      </c>
      <c r="B1991" t="b">
        <v>0</v>
      </c>
      <c r="C1991" t="s">
        <v>46188</v>
      </c>
      <c r="D1991">
        <v>1037022454355</v>
      </c>
      <c r="E1991">
        <v>1</v>
      </c>
      <c r="F1991">
        <v>6157430015</v>
      </c>
      <c r="G1991">
        <v>30930000</v>
      </c>
      <c r="H1991" t="s">
        <v>40293</v>
      </c>
      <c r="I1991">
        <v>11186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41961</v>
      </c>
      <c r="D1992">
        <v>1037022454355</v>
      </c>
      <c r="E1992">
        <v>1</v>
      </c>
      <c r="F1992">
        <v>6128819602</v>
      </c>
      <c r="G1992">
        <v>33000000</v>
      </c>
      <c r="H1992" t="s">
        <v>40293</v>
      </c>
      <c r="I1992">
        <v>11188</v>
      </c>
      <c r="J1992">
        <v>5</v>
      </c>
      <c r="K1992">
        <v>5</v>
      </c>
    </row>
    <row r="1993" spans="1:11">
      <c r="A1993">
        <v>90</v>
      </c>
      <c r="B1993" t="b">
        <v>0</v>
      </c>
      <c r="C1993" t="s">
        <v>44450</v>
      </c>
      <c r="D1993">
        <v>1037022454355</v>
      </c>
      <c r="E1993">
        <v>1</v>
      </c>
      <c r="F1993">
        <v>6152558180</v>
      </c>
      <c r="G1993">
        <v>27990000</v>
      </c>
      <c r="H1993" t="s">
        <v>40293</v>
      </c>
      <c r="I1993">
        <v>11188</v>
      </c>
      <c r="J1993">
        <v>2</v>
      </c>
      <c r="K1993">
        <v>3</v>
      </c>
    </row>
    <row r="1994" spans="1:11">
      <c r="A1994">
        <v>90</v>
      </c>
      <c r="B1994" t="b">
        <v>0</v>
      </c>
      <c r="C1994" t="s">
        <v>46175</v>
      </c>
      <c r="D1994">
        <v>1037022454355</v>
      </c>
      <c r="E1994">
        <v>1</v>
      </c>
      <c r="F1994">
        <v>6152186961</v>
      </c>
      <c r="G1994">
        <v>38000000</v>
      </c>
      <c r="H1994" t="s">
        <v>40293</v>
      </c>
      <c r="I1994">
        <v>11190</v>
      </c>
      <c r="J1994">
        <v>1</v>
      </c>
      <c r="K1994">
        <v>1</v>
      </c>
    </row>
    <row r="1995" spans="1:11">
      <c r="A1995">
        <v>90</v>
      </c>
      <c r="B1995" t="b">
        <v>0</v>
      </c>
      <c r="C1995" t="s">
        <v>44483</v>
      </c>
      <c r="D1995">
        <v>1037022454355</v>
      </c>
      <c r="E1995">
        <v>1</v>
      </c>
      <c r="F1995">
        <v>6152558716</v>
      </c>
      <c r="G1995">
        <v>37990000</v>
      </c>
      <c r="H1995" t="s">
        <v>40293</v>
      </c>
      <c r="I1995">
        <v>11190</v>
      </c>
      <c r="J1995">
        <v>2</v>
      </c>
      <c r="K1995">
        <v>3</v>
      </c>
    </row>
    <row r="1996" spans="1:11">
      <c r="A1996">
        <v>90</v>
      </c>
      <c r="B1996" t="b">
        <v>0</v>
      </c>
      <c r="C1996" t="s">
        <v>43892</v>
      </c>
      <c r="D1996">
        <v>1037022454355</v>
      </c>
      <c r="E1996">
        <v>1</v>
      </c>
      <c r="F1996">
        <v>6138558019</v>
      </c>
      <c r="G1996">
        <v>31000000</v>
      </c>
      <c r="H1996" t="s">
        <v>40293</v>
      </c>
      <c r="I1996">
        <v>11192</v>
      </c>
      <c r="J1996">
        <v>7</v>
      </c>
      <c r="K1996">
        <v>11</v>
      </c>
    </row>
    <row r="1997" spans="1:11">
      <c r="A1997">
        <v>90</v>
      </c>
      <c r="B1997" t="b">
        <v>0</v>
      </c>
      <c r="C1997" t="s">
        <v>43366</v>
      </c>
      <c r="D1997">
        <v>1037022454355</v>
      </c>
      <c r="E1997">
        <v>1</v>
      </c>
      <c r="F1997">
        <v>6145498665</v>
      </c>
      <c r="G1997">
        <v>35000000</v>
      </c>
      <c r="H1997" t="s">
        <v>40293</v>
      </c>
      <c r="I1997">
        <v>11194</v>
      </c>
      <c r="J1997">
        <v>30</v>
      </c>
      <c r="K1997">
        <v>30</v>
      </c>
    </row>
    <row r="1998" spans="1:11">
      <c r="A1998">
        <v>90</v>
      </c>
      <c r="B1998" t="b">
        <v>0</v>
      </c>
      <c r="C1998" t="s">
        <v>42212</v>
      </c>
      <c r="D1998">
        <v>1037022454355</v>
      </c>
      <c r="E1998">
        <v>1</v>
      </c>
      <c r="F1998">
        <v>6130787967</v>
      </c>
      <c r="G1998">
        <v>35000000</v>
      </c>
      <c r="H1998" t="s">
        <v>40293</v>
      </c>
      <c r="I1998">
        <v>11194</v>
      </c>
      <c r="J1998">
        <v>1</v>
      </c>
      <c r="K1998">
        <v>1</v>
      </c>
    </row>
    <row r="1999" spans="1:11">
      <c r="A1999">
        <v>90</v>
      </c>
      <c r="B1999" t="b">
        <v>0</v>
      </c>
      <c r="C1999" t="s">
        <v>45442</v>
      </c>
      <c r="D1999">
        <v>1037022454355</v>
      </c>
      <c r="E1999">
        <v>1</v>
      </c>
      <c r="F1999">
        <v>6151817353</v>
      </c>
      <c r="G1999">
        <v>34930000</v>
      </c>
      <c r="H1999" t="s">
        <v>40293</v>
      </c>
      <c r="I1999">
        <v>11196</v>
      </c>
      <c r="J1999">
        <v>1</v>
      </c>
      <c r="K1999">
        <v>1</v>
      </c>
    </row>
    <row r="2000" spans="1:11">
      <c r="A2000">
        <v>90</v>
      </c>
      <c r="B2000" t="b">
        <v>0</v>
      </c>
      <c r="C2000" t="s">
        <v>46116</v>
      </c>
      <c r="D2000">
        <v>1037022454355</v>
      </c>
      <c r="E2000">
        <v>1</v>
      </c>
      <c r="F2000">
        <v>6152218870</v>
      </c>
      <c r="G2000">
        <v>34920000</v>
      </c>
      <c r="H2000" t="s">
        <v>40293</v>
      </c>
      <c r="I2000">
        <v>11196</v>
      </c>
      <c r="J2000">
        <v>1</v>
      </c>
      <c r="K2000">
        <v>1</v>
      </c>
    </row>
    <row r="2001" spans="1:11">
      <c r="A2001">
        <v>90</v>
      </c>
      <c r="B2001" t="b">
        <v>0</v>
      </c>
      <c r="C2001" t="s">
        <v>45652</v>
      </c>
      <c r="D2001">
        <v>1037022454355</v>
      </c>
      <c r="E2001">
        <v>1</v>
      </c>
      <c r="F2001">
        <v>6137401976</v>
      </c>
      <c r="G2001">
        <v>25000000</v>
      </c>
      <c r="H2001" t="s">
        <v>40293</v>
      </c>
      <c r="I2001">
        <v>11196</v>
      </c>
      <c r="J2001">
        <v>1</v>
      </c>
      <c r="K2001">
        <v>10</v>
      </c>
    </row>
    <row r="2002" spans="1:11">
      <c r="A2002">
        <v>90</v>
      </c>
      <c r="B2002" t="b">
        <v>0</v>
      </c>
      <c r="C2002" t="s">
        <v>40515</v>
      </c>
      <c r="D2002">
        <v>1037022454355</v>
      </c>
      <c r="E2002">
        <v>1</v>
      </c>
      <c r="F2002">
        <v>6096721024</v>
      </c>
      <c r="G2002">
        <v>23420000</v>
      </c>
      <c r="H2002" t="s">
        <v>40293</v>
      </c>
      <c r="I2002">
        <v>11200</v>
      </c>
      <c r="J2002">
        <v>2</v>
      </c>
      <c r="K2002">
        <v>2</v>
      </c>
    </row>
    <row r="2003" spans="1:11">
      <c r="A2003">
        <v>90</v>
      </c>
      <c r="B2003" t="b">
        <v>0</v>
      </c>
      <c r="C2003" t="s">
        <v>40386</v>
      </c>
      <c r="D2003">
        <v>1037022454355</v>
      </c>
      <c r="E2003">
        <v>1</v>
      </c>
      <c r="F2003">
        <v>6097060225</v>
      </c>
      <c r="G2003">
        <v>23230000</v>
      </c>
      <c r="H2003" t="s">
        <v>40293</v>
      </c>
      <c r="I2003">
        <v>11200</v>
      </c>
      <c r="J2003">
        <v>3</v>
      </c>
      <c r="K2003">
        <v>7</v>
      </c>
    </row>
    <row r="2004" spans="1:11">
      <c r="A2004">
        <v>90</v>
      </c>
      <c r="B2004" t="b">
        <v>0</v>
      </c>
      <c r="C2004" t="s">
        <v>43533</v>
      </c>
      <c r="D2004">
        <v>1037022454355</v>
      </c>
      <c r="E2004">
        <v>1</v>
      </c>
      <c r="F2004">
        <v>6140283030</v>
      </c>
      <c r="G2004">
        <v>22000000</v>
      </c>
      <c r="H2004" t="s">
        <v>40293</v>
      </c>
      <c r="I2004">
        <v>11202</v>
      </c>
      <c r="J2004">
        <v>4</v>
      </c>
      <c r="K2004">
        <v>4</v>
      </c>
    </row>
    <row r="2005" spans="1:11">
      <c r="A2005">
        <v>90</v>
      </c>
      <c r="B2005" t="b">
        <v>0</v>
      </c>
      <c r="C2005" t="s">
        <v>43267</v>
      </c>
      <c r="D2005">
        <v>1037022454355</v>
      </c>
      <c r="E2005">
        <v>1</v>
      </c>
      <c r="F2005">
        <v>6140963602</v>
      </c>
      <c r="G2005">
        <v>16500000</v>
      </c>
      <c r="H2005" t="s">
        <v>40293</v>
      </c>
      <c r="I2005">
        <v>11202</v>
      </c>
      <c r="J2005">
        <v>11</v>
      </c>
      <c r="K2005">
        <v>25</v>
      </c>
    </row>
    <row r="2006" spans="1:11">
      <c r="A2006">
        <v>90</v>
      </c>
      <c r="B2006" t="b">
        <v>0</v>
      </c>
      <c r="C2006" t="s">
        <v>43414</v>
      </c>
      <c r="D2006">
        <v>1037022454355</v>
      </c>
      <c r="E2006">
        <v>1</v>
      </c>
      <c r="F2006">
        <v>6140410327</v>
      </c>
      <c r="G2006">
        <v>1100000</v>
      </c>
      <c r="H2006" t="s">
        <v>40293</v>
      </c>
      <c r="I2006">
        <v>11219</v>
      </c>
      <c r="J2006">
        <v>19</v>
      </c>
      <c r="K2006">
        <v>25</v>
      </c>
    </row>
    <row r="2007" spans="1:11">
      <c r="A2007">
        <v>90</v>
      </c>
      <c r="B2007" t="b">
        <v>0</v>
      </c>
      <c r="C2007" t="s">
        <v>41974</v>
      </c>
      <c r="D2007">
        <v>1037022454355</v>
      </c>
      <c r="E2007">
        <v>1</v>
      </c>
      <c r="F2007">
        <v>6127600871</v>
      </c>
      <c r="G2007">
        <v>1099000</v>
      </c>
      <c r="H2007" t="s">
        <v>40293</v>
      </c>
      <c r="I2007">
        <v>11229</v>
      </c>
      <c r="J2007">
        <v>1</v>
      </c>
      <c r="K2007">
        <v>2</v>
      </c>
    </row>
    <row r="2008" spans="1:11">
      <c r="A2008">
        <v>90</v>
      </c>
      <c r="B2008" t="b">
        <v>0</v>
      </c>
      <c r="C2008" t="s">
        <v>43511</v>
      </c>
      <c r="D2008">
        <v>1037022454355</v>
      </c>
      <c r="E2008">
        <v>1</v>
      </c>
      <c r="F2008">
        <v>6140413324</v>
      </c>
      <c r="G2008">
        <v>1098000</v>
      </c>
      <c r="H2008" t="s">
        <v>40293</v>
      </c>
      <c r="I2008">
        <v>11229</v>
      </c>
      <c r="J2008">
        <v>13</v>
      </c>
      <c r="K2008">
        <v>25</v>
      </c>
    </row>
    <row r="2009" spans="1:11">
      <c r="A2009">
        <v>90</v>
      </c>
      <c r="B2009" t="b">
        <v>0</v>
      </c>
      <c r="C2009" t="s">
        <v>43335</v>
      </c>
      <c r="D2009">
        <v>1037022454355</v>
      </c>
      <c r="E2009">
        <v>1</v>
      </c>
      <c r="F2009">
        <v>6138409391</v>
      </c>
      <c r="G2009">
        <v>1200000</v>
      </c>
      <c r="H2009" t="s">
        <v>40293</v>
      </c>
      <c r="I2009">
        <v>11239</v>
      </c>
      <c r="J2009">
        <v>14</v>
      </c>
      <c r="K2009">
        <v>20</v>
      </c>
    </row>
    <row r="2010" spans="1:11">
      <c r="A2010">
        <v>90</v>
      </c>
      <c r="B2010" t="b">
        <v>0</v>
      </c>
      <c r="C2010" t="s">
        <v>43429</v>
      </c>
      <c r="D2010">
        <v>1037022454355</v>
      </c>
      <c r="E2010">
        <v>1</v>
      </c>
      <c r="F2010">
        <v>6140410740</v>
      </c>
      <c r="G2010">
        <v>1100000</v>
      </c>
      <c r="H2010" t="s">
        <v>40293</v>
      </c>
      <c r="I2010">
        <v>11249</v>
      </c>
      <c r="J2010">
        <v>21</v>
      </c>
      <c r="K2010">
        <v>25</v>
      </c>
    </row>
    <row r="2011" spans="1:11">
      <c r="A2011">
        <v>90</v>
      </c>
      <c r="B2011" t="b">
        <v>0</v>
      </c>
      <c r="C2011" t="s">
        <v>43420</v>
      </c>
      <c r="D2011">
        <v>1037022454355</v>
      </c>
      <c r="E2011">
        <v>1</v>
      </c>
      <c r="F2011">
        <v>6140410549</v>
      </c>
      <c r="G2011">
        <v>1100000</v>
      </c>
      <c r="H2011" t="s">
        <v>40293</v>
      </c>
      <c r="I2011">
        <v>11259</v>
      </c>
      <c r="J2011">
        <v>20</v>
      </c>
      <c r="K2011">
        <v>25</v>
      </c>
    </row>
    <row r="2012" spans="1:11">
      <c r="A2012">
        <v>90</v>
      </c>
      <c r="B2012" t="b">
        <v>0</v>
      </c>
      <c r="C2012" t="s">
        <v>41062</v>
      </c>
      <c r="D2012">
        <v>1037022454355</v>
      </c>
      <c r="E2012">
        <v>1</v>
      </c>
      <c r="F2012">
        <v>6123107833</v>
      </c>
      <c r="G2012">
        <v>500000</v>
      </c>
      <c r="H2012" t="s">
        <v>40293</v>
      </c>
      <c r="I2012">
        <v>11267</v>
      </c>
      <c r="J2012">
        <v>10</v>
      </c>
      <c r="K2012">
        <v>20</v>
      </c>
    </row>
    <row r="2013" spans="1:11">
      <c r="A2013">
        <v>90</v>
      </c>
      <c r="B2013" t="b">
        <v>0</v>
      </c>
      <c r="C2013" t="s">
        <v>42671</v>
      </c>
      <c r="D2013">
        <v>1037022454355</v>
      </c>
      <c r="E2013">
        <v>1</v>
      </c>
      <c r="F2013">
        <v>6134912048</v>
      </c>
      <c r="G2013">
        <v>400000</v>
      </c>
      <c r="H2013" t="s">
        <v>40293</v>
      </c>
      <c r="I2013">
        <v>11267</v>
      </c>
      <c r="J2013">
        <v>1</v>
      </c>
      <c r="K2013">
        <v>1</v>
      </c>
    </row>
    <row r="2014" spans="1:11">
      <c r="A2014">
        <v>90</v>
      </c>
      <c r="B2014" t="b">
        <v>0</v>
      </c>
      <c r="C2014" t="s">
        <v>42788</v>
      </c>
      <c r="D2014">
        <v>1037022454355</v>
      </c>
      <c r="E2014">
        <v>1</v>
      </c>
      <c r="F2014">
        <v>6135770702</v>
      </c>
      <c r="G2014">
        <v>290000</v>
      </c>
      <c r="H2014" t="s">
        <v>40293</v>
      </c>
      <c r="I2014">
        <v>11267</v>
      </c>
      <c r="J2014">
        <v>54</v>
      </c>
      <c r="K2014">
        <v>55</v>
      </c>
    </row>
    <row r="2015" spans="1:11">
      <c r="A2015">
        <v>90</v>
      </c>
      <c r="B2015" t="b">
        <v>0</v>
      </c>
      <c r="C2015" t="s">
        <v>45937</v>
      </c>
      <c r="D2015">
        <v>1037022454355</v>
      </c>
      <c r="E2015">
        <v>1</v>
      </c>
      <c r="F2015">
        <v>6155525880</v>
      </c>
      <c r="G2015">
        <v>1975000</v>
      </c>
      <c r="H2015" t="s">
        <v>40293</v>
      </c>
      <c r="I2015">
        <v>11269</v>
      </c>
      <c r="J2015">
        <v>10</v>
      </c>
      <c r="K2015">
        <v>10</v>
      </c>
    </row>
    <row r="2016" spans="1:11">
      <c r="A2016">
        <v>90</v>
      </c>
      <c r="B2016" t="b">
        <v>0</v>
      </c>
      <c r="C2016" t="s">
        <v>41713</v>
      </c>
      <c r="D2016">
        <v>1037022454355</v>
      </c>
      <c r="E2016">
        <v>1</v>
      </c>
      <c r="F2016">
        <v>6123748274</v>
      </c>
      <c r="G2016">
        <v>1370000</v>
      </c>
      <c r="H2016" t="s">
        <v>40293</v>
      </c>
      <c r="I2016">
        <v>11269</v>
      </c>
      <c r="J2016">
        <v>1</v>
      </c>
      <c r="K2016">
        <v>1</v>
      </c>
    </row>
    <row r="2017" spans="1:11">
      <c r="A2017">
        <v>90</v>
      </c>
      <c r="B2017" t="b">
        <v>0</v>
      </c>
      <c r="C2017" t="s">
        <v>40766</v>
      </c>
      <c r="D2017">
        <v>1037022454355</v>
      </c>
      <c r="E2017">
        <v>1</v>
      </c>
      <c r="F2017">
        <v>6125332904</v>
      </c>
      <c r="G2017">
        <v>1300000</v>
      </c>
      <c r="H2017" t="s">
        <v>40293</v>
      </c>
      <c r="I2017">
        <v>11269</v>
      </c>
      <c r="J2017">
        <v>2</v>
      </c>
      <c r="K2017">
        <v>3</v>
      </c>
    </row>
    <row r="2018" spans="1:11">
      <c r="A2018">
        <v>90</v>
      </c>
      <c r="B2018" t="b">
        <v>0</v>
      </c>
      <c r="C2018" t="s">
        <v>41936</v>
      </c>
      <c r="D2018">
        <v>1037022454355</v>
      </c>
      <c r="E2018">
        <v>1</v>
      </c>
      <c r="F2018">
        <v>6127461505</v>
      </c>
      <c r="G2018">
        <v>1298000</v>
      </c>
      <c r="H2018" t="s">
        <v>40293</v>
      </c>
      <c r="I2018">
        <v>11269</v>
      </c>
      <c r="J2018">
        <v>11</v>
      </c>
      <c r="K2018">
        <v>19</v>
      </c>
    </row>
    <row r="2019" spans="1:11">
      <c r="A2019">
        <v>90</v>
      </c>
      <c r="B2019" t="b">
        <v>0</v>
      </c>
      <c r="C2019" t="s">
        <v>41826</v>
      </c>
      <c r="D2019">
        <v>1037022454355</v>
      </c>
      <c r="E2019">
        <v>1</v>
      </c>
      <c r="F2019">
        <v>6123494757</v>
      </c>
      <c r="G2019">
        <v>1297000</v>
      </c>
      <c r="H2019" t="s">
        <v>40293</v>
      </c>
      <c r="I2019">
        <v>11269</v>
      </c>
      <c r="J2019">
        <v>97</v>
      </c>
      <c r="K2019">
        <v>194</v>
      </c>
    </row>
    <row r="2020" spans="1:11">
      <c r="A2020">
        <v>90</v>
      </c>
      <c r="B2020" t="b">
        <v>0</v>
      </c>
      <c r="C2020" t="s">
        <v>45569</v>
      </c>
      <c r="D2020">
        <v>1037022454355</v>
      </c>
      <c r="E2020">
        <v>1</v>
      </c>
      <c r="F2020">
        <v>6152572434</v>
      </c>
      <c r="G2020">
        <v>1296000</v>
      </c>
      <c r="H2020" t="s">
        <v>40293</v>
      </c>
      <c r="I2020">
        <v>11269</v>
      </c>
      <c r="J2020">
        <v>5</v>
      </c>
      <c r="K2020">
        <v>25</v>
      </c>
    </row>
    <row r="2021" spans="1:11">
      <c r="A2021">
        <v>90</v>
      </c>
      <c r="B2021" t="b">
        <v>0</v>
      </c>
      <c r="C2021" t="s">
        <v>45743</v>
      </c>
      <c r="D2021">
        <v>1037022454355</v>
      </c>
      <c r="E2021">
        <v>1</v>
      </c>
      <c r="F2021">
        <v>6154901233</v>
      </c>
      <c r="G2021">
        <v>1292000</v>
      </c>
      <c r="H2021" t="s">
        <v>40293</v>
      </c>
      <c r="I2021">
        <v>11269</v>
      </c>
      <c r="J2021">
        <v>1</v>
      </c>
      <c r="K2021">
        <v>3</v>
      </c>
    </row>
    <row r="2022" spans="1:11">
      <c r="A2022">
        <v>30</v>
      </c>
      <c r="B2022" t="b">
        <v>0</v>
      </c>
      <c r="C2022" t="s">
        <v>45772</v>
      </c>
      <c r="D2022">
        <v>1037022454355</v>
      </c>
      <c r="E2022">
        <v>1</v>
      </c>
      <c r="F2022">
        <v>6156605409</v>
      </c>
      <c r="G2022">
        <v>1291000</v>
      </c>
      <c r="H2022" t="s">
        <v>40293</v>
      </c>
      <c r="I2022">
        <v>11269</v>
      </c>
      <c r="J2022">
        <v>33</v>
      </c>
      <c r="K2022">
        <v>40</v>
      </c>
    </row>
    <row r="2023" spans="1:11">
      <c r="A2023">
        <v>90</v>
      </c>
      <c r="B2023" t="b">
        <v>0</v>
      </c>
      <c r="C2023" t="s">
        <v>46166</v>
      </c>
      <c r="D2023">
        <v>1037022454355</v>
      </c>
      <c r="E2023">
        <v>1</v>
      </c>
      <c r="F2023">
        <v>6157306840</v>
      </c>
      <c r="G2023">
        <v>1290000</v>
      </c>
      <c r="H2023" t="s">
        <v>40293</v>
      </c>
      <c r="I2023">
        <v>11269</v>
      </c>
      <c r="J2023">
        <v>10</v>
      </c>
      <c r="K2023">
        <v>10</v>
      </c>
    </row>
    <row r="2024" spans="1:11">
      <c r="A2024">
        <v>90</v>
      </c>
      <c r="B2024" t="b">
        <v>0</v>
      </c>
      <c r="C2024" t="s">
        <v>42220</v>
      </c>
      <c r="D2024">
        <v>1037022454355</v>
      </c>
      <c r="E2024">
        <v>1</v>
      </c>
      <c r="F2024">
        <v>6129906374</v>
      </c>
      <c r="G2024">
        <v>800000</v>
      </c>
      <c r="H2024" t="s">
        <v>40293</v>
      </c>
      <c r="I2024">
        <v>11277</v>
      </c>
      <c r="J2024">
        <v>1</v>
      </c>
      <c r="K2024">
        <v>1</v>
      </c>
    </row>
    <row r="2025" spans="1:11">
      <c r="A2025">
        <v>90</v>
      </c>
      <c r="B2025" t="b">
        <v>0</v>
      </c>
      <c r="C2025" t="s">
        <v>41020</v>
      </c>
      <c r="D2025">
        <v>1037022454355</v>
      </c>
      <c r="E2025">
        <v>1</v>
      </c>
      <c r="F2025">
        <v>6113804475</v>
      </c>
      <c r="G2025">
        <v>1990000</v>
      </c>
      <c r="H2025" t="s">
        <v>40293</v>
      </c>
      <c r="I2025">
        <v>11279</v>
      </c>
      <c r="J2025">
        <v>18</v>
      </c>
      <c r="K2025">
        <v>20</v>
      </c>
    </row>
    <row r="2026" spans="1:11">
      <c r="A2026">
        <v>90</v>
      </c>
      <c r="B2026" t="b">
        <v>0</v>
      </c>
      <c r="C2026" t="s">
        <v>41846</v>
      </c>
      <c r="D2026">
        <v>1037022454355</v>
      </c>
      <c r="E2026">
        <v>1</v>
      </c>
      <c r="F2026">
        <v>6128398760</v>
      </c>
      <c r="G2026">
        <v>70750</v>
      </c>
      <c r="H2026" t="s">
        <v>40293</v>
      </c>
      <c r="I2026">
        <v>11287</v>
      </c>
      <c r="J2026">
        <v>7</v>
      </c>
      <c r="K2026">
        <v>7</v>
      </c>
    </row>
    <row r="2027" spans="1:11">
      <c r="A2027">
        <v>90</v>
      </c>
      <c r="B2027" t="b">
        <v>0</v>
      </c>
      <c r="C2027" t="s">
        <v>42766</v>
      </c>
      <c r="D2027">
        <v>1037022454355</v>
      </c>
      <c r="E2027">
        <v>1</v>
      </c>
      <c r="F2027">
        <v>6116272580</v>
      </c>
      <c r="G2027">
        <v>70730</v>
      </c>
      <c r="H2027" t="s">
        <v>40293</v>
      </c>
      <c r="I2027">
        <v>11287</v>
      </c>
      <c r="J2027">
        <v>204</v>
      </c>
      <c r="K2027">
        <v>285</v>
      </c>
    </row>
    <row r="2028" spans="1:11">
      <c r="A2028">
        <v>90</v>
      </c>
      <c r="B2028" t="b">
        <v>0</v>
      </c>
      <c r="C2028" t="s">
        <v>42728</v>
      </c>
      <c r="D2028">
        <v>1037022454355</v>
      </c>
      <c r="E2028">
        <v>1</v>
      </c>
      <c r="F2028">
        <v>6122109683</v>
      </c>
      <c r="G2028">
        <v>70720</v>
      </c>
      <c r="H2028" t="s">
        <v>40293</v>
      </c>
      <c r="I2028">
        <v>11287</v>
      </c>
      <c r="J2028">
        <v>1289</v>
      </c>
      <c r="K2028">
        <v>2000</v>
      </c>
    </row>
    <row r="2029" spans="1:11">
      <c r="A2029">
        <v>90</v>
      </c>
      <c r="B2029" t="b">
        <v>0</v>
      </c>
      <c r="C2029" t="s">
        <v>41639</v>
      </c>
      <c r="D2029">
        <v>1037022454355</v>
      </c>
      <c r="E2029">
        <v>1</v>
      </c>
      <c r="F2029">
        <v>6105855292</v>
      </c>
      <c r="G2029">
        <v>17010</v>
      </c>
      <c r="H2029" t="s">
        <v>40293</v>
      </c>
      <c r="I2029">
        <v>11289</v>
      </c>
      <c r="J2029">
        <v>4084</v>
      </c>
      <c r="K2029">
        <v>6000</v>
      </c>
    </row>
    <row r="2030" spans="1:11">
      <c r="A2030">
        <v>90</v>
      </c>
      <c r="B2030" t="b">
        <v>0</v>
      </c>
      <c r="C2030" t="s">
        <v>43176</v>
      </c>
      <c r="D2030">
        <v>1037022454355</v>
      </c>
      <c r="E2030">
        <v>1</v>
      </c>
      <c r="F2030">
        <v>6143156605</v>
      </c>
      <c r="G2030">
        <v>700000</v>
      </c>
      <c r="H2030" t="s">
        <v>40293</v>
      </c>
      <c r="I2030">
        <v>11299</v>
      </c>
      <c r="J2030">
        <v>2</v>
      </c>
      <c r="K2030">
        <v>2</v>
      </c>
    </row>
    <row r="2031" spans="1:11">
      <c r="A2031">
        <v>90</v>
      </c>
      <c r="B2031" t="b">
        <v>0</v>
      </c>
      <c r="C2031" t="s">
        <v>41425</v>
      </c>
      <c r="D2031">
        <v>1037022454355</v>
      </c>
      <c r="E2031">
        <v>1</v>
      </c>
      <c r="F2031">
        <v>6120235009</v>
      </c>
      <c r="G2031">
        <v>200000</v>
      </c>
      <c r="H2031" t="s">
        <v>40293</v>
      </c>
      <c r="I2031">
        <v>11301</v>
      </c>
      <c r="J2031">
        <v>19</v>
      </c>
      <c r="K2031">
        <v>20</v>
      </c>
    </row>
    <row r="2032" spans="1:11">
      <c r="A2032">
        <v>90</v>
      </c>
      <c r="B2032" t="b">
        <v>0</v>
      </c>
      <c r="C2032" t="s">
        <v>44630</v>
      </c>
      <c r="D2032">
        <v>1037022454355</v>
      </c>
      <c r="E2032">
        <v>1</v>
      </c>
      <c r="F2032">
        <v>6153685828</v>
      </c>
      <c r="G2032">
        <v>1000000</v>
      </c>
      <c r="H2032" t="s">
        <v>40293</v>
      </c>
      <c r="I2032">
        <v>11305</v>
      </c>
      <c r="J2032">
        <v>10</v>
      </c>
      <c r="K2032">
        <v>10</v>
      </c>
    </row>
    <row r="2033" spans="1:11">
      <c r="A2033">
        <v>90</v>
      </c>
      <c r="B2033" t="b">
        <v>0</v>
      </c>
      <c r="C2033" t="s">
        <v>43045</v>
      </c>
      <c r="D2033">
        <v>1037022454355</v>
      </c>
      <c r="E2033">
        <v>1</v>
      </c>
      <c r="F2033">
        <v>6143906933</v>
      </c>
      <c r="G2033">
        <v>444500</v>
      </c>
      <c r="H2033" t="s">
        <v>40293</v>
      </c>
      <c r="I2033">
        <v>11309</v>
      </c>
      <c r="J2033">
        <v>7</v>
      </c>
      <c r="K2033">
        <v>7</v>
      </c>
    </row>
    <row r="2034" spans="1:11">
      <c r="A2034">
        <v>90</v>
      </c>
      <c r="B2034" t="b">
        <v>0</v>
      </c>
      <c r="C2034" t="s">
        <v>44443</v>
      </c>
      <c r="D2034">
        <v>1037022454355</v>
      </c>
      <c r="E2034">
        <v>1</v>
      </c>
      <c r="F2034">
        <v>6134830634</v>
      </c>
      <c r="G2034">
        <v>444300</v>
      </c>
      <c r="H2034" t="s">
        <v>40293</v>
      </c>
      <c r="I2034">
        <v>11309</v>
      </c>
      <c r="J2034">
        <v>25</v>
      </c>
      <c r="K2034">
        <v>25</v>
      </c>
    </row>
    <row r="2035" spans="1:11">
      <c r="A2035">
        <v>14</v>
      </c>
      <c r="B2035" t="b">
        <v>0</v>
      </c>
      <c r="C2035" t="s">
        <v>45209</v>
      </c>
      <c r="D2035">
        <v>1037022454355</v>
      </c>
      <c r="E2035">
        <v>1</v>
      </c>
      <c r="F2035">
        <v>6133824700</v>
      </c>
      <c r="G2035">
        <v>444200</v>
      </c>
      <c r="H2035" t="s">
        <v>40293</v>
      </c>
      <c r="I2035">
        <v>11309</v>
      </c>
      <c r="J2035">
        <v>11</v>
      </c>
      <c r="K2035">
        <v>50</v>
      </c>
    </row>
    <row r="2036" spans="1:11">
      <c r="A2036">
        <v>90</v>
      </c>
      <c r="B2036" t="b">
        <v>0</v>
      </c>
      <c r="C2036" t="s">
        <v>45509</v>
      </c>
      <c r="D2036">
        <v>1037022454355</v>
      </c>
      <c r="E2036">
        <v>1</v>
      </c>
      <c r="F2036">
        <v>6156471143</v>
      </c>
      <c r="G2036">
        <v>640000</v>
      </c>
      <c r="H2036" t="s">
        <v>40293</v>
      </c>
      <c r="I2036">
        <v>11311</v>
      </c>
      <c r="J2036">
        <v>8</v>
      </c>
      <c r="K2036">
        <v>8</v>
      </c>
    </row>
    <row r="2037" spans="1:11">
      <c r="A2037">
        <v>90</v>
      </c>
      <c r="B2037" t="b">
        <v>0</v>
      </c>
      <c r="C2037" t="s">
        <v>41984</v>
      </c>
      <c r="D2037">
        <v>1037022454355</v>
      </c>
      <c r="E2037">
        <v>1</v>
      </c>
      <c r="F2037">
        <v>6126139545</v>
      </c>
      <c r="G2037">
        <v>599900</v>
      </c>
      <c r="H2037" t="s">
        <v>40293</v>
      </c>
      <c r="I2037">
        <v>11317</v>
      </c>
      <c r="J2037">
        <v>22</v>
      </c>
      <c r="K2037">
        <v>25</v>
      </c>
    </row>
    <row r="2038" spans="1:11">
      <c r="A2038">
        <v>90</v>
      </c>
      <c r="B2038" t="b">
        <v>0</v>
      </c>
      <c r="C2038" t="s">
        <v>43672</v>
      </c>
      <c r="D2038">
        <v>1037022454355</v>
      </c>
      <c r="E2038">
        <v>1</v>
      </c>
      <c r="F2038">
        <v>6142319590</v>
      </c>
      <c r="G2038">
        <v>599000</v>
      </c>
      <c r="H2038" t="s">
        <v>40293</v>
      </c>
      <c r="I2038">
        <v>11317</v>
      </c>
      <c r="J2038">
        <v>2</v>
      </c>
      <c r="K2038">
        <v>2</v>
      </c>
    </row>
    <row r="2039" spans="1:11">
      <c r="A2039">
        <v>90</v>
      </c>
      <c r="B2039" t="b">
        <v>0</v>
      </c>
      <c r="C2039" t="s">
        <v>43001</v>
      </c>
      <c r="D2039">
        <v>1037022454355</v>
      </c>
      <c r="E2039">
        <v>1</v>
      </c>
      <c r="F2039">
        <v>6143152022</v>
      </c>
      <c r="G2039">
        <v>580000</v>
      </c>
      <c r="H2039" t="s">
        <v>40293</v>
      </c>
      <c r="I2039">
        <v>11317</v>
      </c>
      <c r="J2039">
        <v>21</v>
      </c>
      <c r="K2039">
        <v>25</v>
      </c>
    </row>
    <row r="2040" spans="1:11">
      <c r="A2040">
        <v>90</v>
      </c>
      <c r="B2040" t="b">
        <v>0</v>
      </c>
      <c r="C2040" t="s">
        <v>43527</v>
      </c>
      <c r="D2040">
        <v>1037022454355</v>
      </c>
      <c r="E2040">
        <v>1</v>
      </c>
      <c r="F2040">
        <v>6143156552</v>
      </c>
      <c r="G2040">
        <v>700000</v>
      </c>
      <c r="H2040" t="s">
        <v>40293</v>
      </c>
      <c r="I2040">
        <v>11319</v>
      </c>
      <c r="J2040">
        <v>8</v>
      </c>
      <c r="K2040">
        <v>9</v>
      </c>
    </row>
    <row r="2041" spans="1:11">
      <c r="A2041">
        <v>30</v>
      </c>
      <c r="B2041" t="b">
        <v>0</v>
      </c>
      <c r="C2041" t="s">
        <v>46318</v>
      </c>
      <c r="D2041">
        <v>1037022454355</v>
      </c>
      <c r="E2041">
        <v>1</v>
      </c>
      <c r="F2041">
        <v>6151290341</v>
      </c>
      <c r="G2041">
        <v>650000</v>
      </c>
      <c r="H2041" t="s">
        <v>40293</v>
      </c>
      <c r="I2041">
        <v>11319</v>
      </c>
      <c r="J2041">
        <v>5</v>
      </c>
      <c r="K2041">
        <v>5</v>
      </c>
    </row>
    <row r="2042" spans="1:11">
      <c r="A2042">
        <v>90</v>
      </c>
      <c r="B2042" t="b">
        <v>0</v>
      </c>
      <c r="C2042" t="s">
        <v>42730</v>
      </c>
      <c r="D2042">
        <v>1037022454355</v>
      </c>
      <c r="E2042">
        <v>1</v>
      </c>
      <c r="F2042">
        <v>6132628240</v>
      </c>
      <c r="G2042">
        <v>889400</v>
      </c>
      <c r="H2042" t="s">
        <v>40293</v>
      </c>
      <c r="I2042">
        <v>11325</v>
      </c>
      <c r="J2042">
        <v>13</v>
      </c>
      <c r="K2042">
        <v>13</v>
      </c>
    </row>
    <row r="2043" spans="1:11">
      <c r="A2043">
        <v>90</v>
      </c>
      <c r="B2043" t="b">
        <v>0</v>
      </c>
      <c r="C2043" t="s">
        <v>43867</v>
      </c>
      <c r="D2043">
        <v>1037022454355</v>
      </c>
      <c r="E2043">
        <v>1</v>
      </c>
      <c r="F2043">
        <v>6128071623</v>
      </c>
      <c r="G2043">
        <v>799700</v>
      </c>
      <c r="H2043" t="s">
        <v>40293</v>
      </c>
      <c r="I2043">
        <v>11325</v>
      </c>
      <c r="J2043">
        <v>12</v>
      </c>
      <c r="K2043">
        <v>12</v>
      </c>
    </row>
    <row r="2044" spans="1:11">
      <c r="A2044">
        <v>90</v>
      </c>
      <c r="B2044" t="b">
        <v>0</v>
      </c>
      <c r="C2044" t="s">
        <v>43036</v>
      </c>
      <c r="D2044">
        <v>1037022454355</v>
      </c>
      <c r="E2044">
        <v>1</v>
      </c>
      <c r="F2044">
        <v>6126080860</v>
      </c>
      <c r="G2044">
        <v>780000</v>
      </c>
      <c r="H2044" t="s">
        <v>40293</v>
      </c>
      <c r="I2044">
        <v>11325</v>
      </c>
      <c r="J2044">
        <v>9</v>
      </c>
      <c r="K2044">
        <v>10</v>
      </c>
    </row>
    <row r="2045" spans="1:11">
      <c r="A2045">
        <v>90</v>
      </c>
      <c r="B2045" t="b">
        <v>0</v>
      </c>
      <c r="C2045" t="s">
        <v>43364</v>
      </c>
      <c r="D2045">
        <v>1037022454355</v>
      </c>
      <c r="E2045">
        <v>1</v>
      </c>
      <c r="F2045">
        <v>6137459824</v>
      </c>
      <c r="G2045">
        <v>778700</v>
      </c>
      <c r="H2045" t="s">
        <v>40293</v>
      </c>
      <c r="I2045">
        <v>11325</v>
      </c>
      <c r="J2045">
        <v>53</v>
      </c>
      <c r="K2045">
        <v>55</v>
      </c>
    </row>
    <row r="2046" spans="1:11">
      <c r="A2046">
        <v>90</v>
      </c>
      <c r="B2046" t="b">
        <v>0</v>
      </c>
      <c r="C2046" t="s">
        <v>43548</v>
      </c>
      <c r="D2046">
        <v>1037022454355</v>
      </c>
      <c r="E2046">
        <v>1</v>
      </c>
      <c r="F2046">
        <v>6142315109</v>
      </c>
      <c r="G2046">
        <v>778000</v>
      </c>
      <c r="H2046" t="s">
        <v>40293</v>
      </c>
      <c r="I2046">
        <v>11325</v>
      </c>
      <c r="J2046">
        <v>2</v>
      </c>
      <c r="K2046">
        <v>2</v>
      </c>
    </row>
    <row r="2047" spans="1:11">
      <c r="A2047">
        <v>30</v>
      </c>
      <c r="B2047" t="b">
        <v>0</v>
      </c>
      <c r="C2047" t="s">
        <v>45181</v>
      </c>
      <c r="D2047">
        <v>1037022454355</v>
      </c>
      <c r="E2047">
        <v>1</v>
      </c>
      <c r="F2047">
        <v>6151289568</v>
      </c>
      <c r="G2047">
        <v>699000</v>
      </c>
      <c r="H2047" t="s">
        <v>40293</v>
      </c>
      <c r="I2047">
        <v>11325</v>
      </c>
      <c r="J2047">
        <v>5</v>
      </c>
      <c r="K2047">
        <v>5</v>
      </c>
    </row>
    <row r="2048" spans="1:11">
      <c r="A2048">
        <v>90</v>
      </c>
      <c r="B2048" t="b">
        <v>0</v>
      </c>
      <c r="C2048" t="s">
        <v>45490</v>
      </c>
      <c r="D2048">
        <v>1037022454355</v>
      </c>
      <c r="E2048">
        <v>1</v>
      </c>
      <c r="F2048">
        <v>6136253117</v>
      </c>
      <c r="G2048">
        <v>698600</v>
      </c>
      <c r="H2048" t="s">
        <v>40293</v>
      </c>
      <c r="I2048">
        <v>11325</v>
      </c>
      <c r="J2048">
        <v>8</v>
      </c>
      <c r="K2048">
        <v>16</v>
      </c>
    </row>
    <row r="2049" spans="1:11">
      <c r="A2049">
        <v>90</v>
      </c>
      <c r="B2049" t="b">
        <v>0</v>
      </c>
      <c r="C2049" t="s">
        <v>44278</v>
      </c>
      <c r="D2049">
        <v>1037022454355</v>
      </c>
      <c r="E2049">
        <v>1</v>
      </c>
      <c r="F2049">
        <v>6153366726</v>
      </c>
      <c r="G2049">
        <v>688000</v>
      </c>
      <c r="H2049" t="s">
        <v>40293</v>
      </c>
      <c r="I2049">
        <v>11325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44261</v>
      </c>
      <c r="D2050">
        <v>1037022454355</v>
      </c>
      <c r="E2050">
        <v>1</v>
      </c>
      <c r="F2050">
        <v>6149671768</v>
      </c>
      <c r="G2050">
        <v>687900</v>
      </c>
      <c r="H2050" t="s">
        <v>40293</v>
      </c>
      <c r="I2050">
        <v>11325</v>
      </c>
      <c r="J2050">
        <v>3</v>
      </c>
      <c r="K2050">
        <v>3</v>
      </c>
    </row>
    <row r="2051" spans="1:11">
      <c r="A2051">
        <v>90</v>
      </c>
      <c r="B2051" t="b">
        <v>0</v>
      </c>
      <c r="C2051" t="s">
        <v>44743</v>
      </c>
      <c r="D2051">
        <v>1037022454355</v>
      </c>
      <c r="E2051">
        <v>1</v>
      </c>
      <c r="F2051">
        <v>6151311570</v>
      </c>
      <c r="G2051">
        <v>687800</v>
      </c>
      <c r="H2051" t="s">
        <v>40293</v>
      </c>
      <c r="I2051">
        <v>11325</v>
      </c>
      <c r="J2051">
        <v>2</v>
      </c>
      <c r="K2051">
        <v>2</v>
      </c>
    </row>
    <row r="2052" spans="1:11">
      <c r="A2052">
        <v>90</v>
      </c>
      <c r="B2052" t="b">
        <v>0</v>
      </c>
      <c r="C2052" t="s">
        <v>42495</v>
      </c>
      <c r="D2052">
        <v>1037022454355</v>
      </c>
      <c r="E2052">
        <v>1</v>
      </c>
      <c r="F2052">
        <v>6137459587</v>
      </c>
      <c r="G2052">
        <v>700000</v>
      </c>
      <c r="H2052" t="s">
        <v>40293</v>
      </c>
      <c r="I2052">
        <v>11327</v>
      </c>
      <c r="J2052">
        <v>23</v>
      </c>
      <c r="K2052">
        <v>34</v>
      </c>
    </row>
    <row r="2053" spans="1:11">
      <c r="A2053">
        <v>90</v>
      </c>
      <c r="B2053" t="b">
        <v>0</v>
      </c>
      <c r="C2053" t="s">
        <v>42779</v>
      </c>
      <c r="D2053">
        <v>1037022454355</v>
      </c>
      <c r="E2053">
        <v>1</v>
      </c>
      <c r="F2053">
        <v>6134135990</v>
      </c>
      <c r="G2053">
        <v>400000</v>
      </c>
      <c r="H2053" t="s">
        <v>40293</v>
      </c>
      <c r="I2053">
        <v>11349</v>
      </c>
      <c r="J2053">
        <v>10</v>
      </c>
      <c r="K2053">
        <v>25</v>
      </c>
    </row>
    <row r="2054" spans="1:11">
      <c r="A2054">
        <v>90</v>
      </c>
      <c r="B2054" t="b">
        <v>0</v>
      </c>
      <c r="C2054" t="s">
        <v>42130</v>
      </c>
      <c r="D2054">
        <v>1037022454355</v>
      </c>
      <c r="E2054">
        <v>1</v>
      </c>
      <c r="F2054">
        <v>6099451477</v>
      </c>
      <c r="G2054">
        <v>448800</v>
      </c>
      <c r="H2054" t="s">
        <v>40293</v>
      </c>
      <c r="I2054">
        <v>11351</v>
      </c>
      <c r="J2054">
        <v>7</v>
      </c>
      <c r="K2054">
        <v>10</v>
      </c>
    </row>
    <row r="2055" spans="1:11">
      <c r="A2055">
        <v>90</v>
      </c>
      <c r="B2055" t="b">
        <v>0</v>
      </c>
      <c r="C2055" t="s">
        <v>42643</v>
      </c>
      <c r="D2055">
        <v>1037022454355</v>
      </c>
      <c r="E2055">
        <v>1</v>
      </c>
      <c r="F2055">
        <v>6132518535</v>
      </c>
      <c r="G2055">
        <v>39000000</v>
      </c>
      <c r="H2055" t="s">
        <v>40293</v>
      </c>
      <c r="I2055">
        <v>11365</v>
      </c>
      <c r="J2055">
        <v>1</v>
      </c>
      <c r="K2055">
        <v>1</v>
      </c>
    </row>
    <row r="2056" spans="1:11">
      <c r="A2056">
        <v>90</v>
      </c>
      <c r="B2056" t="b">
        <v>0</v>
      </c>
      <c r="C2056" t="s">
        <v>42512</v>
      </c>
      <c r="D2056">
        <v>1037022454355</v>
      </c>
      <c r="E2056">
        <v>1</v>
      </c>
      <c r="F2056">
        <v>6134380332</v>
      </c>
      <c r="G2056">
        <v>38990000</v>
      </c>
      <c r="H2056" t="s">
        <v>40293</v>
      </c>
      <c r="I2056">
        <v>11365</v>
      </c>
      <c r="J2056">
        <v>1</v>
      </c>
      <c r="K2056">
        <v>2</v>
      </c>
    </row>
    <row r="2057" spans="1:11">
      <c r="A2057">
        <v>90</v>
      </c>
      <c r="B2057" t="b">
        <v>0</v>
      </c>
      <c r="C2057" t="s">
        <v>40820</v>
      </c>
      <c r="D2057">
        <v>1037022454355</v>
      </c>
      <c r="E2057">
        <v>1</v>
      </c>
      <c r="F2057">
        <v>6095908468</v>
      </c>
      <c r="G2057">
        <v>2981000</v>
      </c>
      <c r="H2057" t="s">
        <v>40293</v>
      </c>
      <c r="I2057">
        <v>11370</v>
      </c>
      <c r="J2057">
        <v>4</v>
      </c>
      <c r="K2057">
        <v>4</v>
      </c>
    </row>
    <row r="2058" spans="1:11">
      <c r="A2058">
        <v>90</v>
      </c>
      <c r="B2058" t="b">
        <v>0</v>
      </c>
      <c r="C2058" t="s">
        <v>41077</v>
      </c>
      <c r="D2058">
        <v>1037022454355</v>
      </c>
      <c r="E2058">
        <v>1</v>
      </c>
      <c r="F2058">
        <v>6097487164</v>
      </c>
      <c r="G2058">
        <v>2885000</v>
      </c>
      <c r="H2058" t="s">
        <v>40293</v>
      </c>
      <c r="I2058">
        <v>11370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41076</v>
      </c>
      <c r="D2059">
        <v>1037022454355</v>
      </c>
      <c r="E2059">
        <v>1</v>
      </c>
      <c r="F2059">
        <v>6100600098</v>
      </c>
      <c r="G2059">
        <v>2800000</v>
      </c>
      <c r="H2059" t="s">
        <v>40293</v>
      </c>
      <c r="I2059">
        <v>11370</v>
      </c>
      <c r="J2059">
        <v>2</v>
      </c>
      <c r="K2059">
        <v>4</v>
      </c>
    </row>
    <row r="2060" spans="1:11">
      <c r="A2060">
        <v>90</v>
      </c>
      <c r="B2060" t="b">
        <v>0</v>
      </c>
      <c r="C2060" t="s">
        <v>41252</v>
      </c>
      <c r="D2060">
        <v>1037022454355</v>
      </c>
      <c r="E2060">
        <v>1</v>
      </c>
      <c r="F2060">
        <v>6101619199</v>
      </c>
      <c r="G2060">
        <v>2788000</v>
      </c>
      <c r="H2060" t="s">
        <v>40293</v>
      </c>
      <c r="I2060">
        <v>11370</v>
      </c>
      <c r="J2060">
        <v>23</v>
      </c>
      <c r="K2060">
        <v>24</v>
      </c>
    </row>
    <row r="2061" spans="1:11">
      <c r="A2061">
        <v>90</v>
      </c>
      <c r="B2061" t="b">
        <v>0</v>
      </c>
      <c r="C2061" t="s">
        <v>42187</v>
      </c>
      <c r="D2061">
        <v>1037022454355</v>
      </c>
      <c r="E2061">
        <v>1</v>
      </c>
      <c r="F2061">
        <v>6129416680</v>
      </c>
      <c r="G2061">
        <v>2784000</v>
      </c>
      <c r="H2061" t="s">
        <v>40293</v>
      </c>
      <c r="I2061">
        <v>11370</v>
      </c>
      <c r="J2061">
        <v>29</v>
      </c>
      <c r="K2061">
        <v>30</v>
      </c>
    </row>
    <row r="2062" spans="1:11">
      <c r="A2062">
        <v>90</v>
      </c>
      <c r="B2062" t="b">
        <v>0</v>
      </c>
      <c r="C2062" t="s">
        <v>44442</v>
      </c>
      <c r="D2062">
        <v>1037022454355</v>
      </c>
      <c r="E2062">
        <v>1</v>
      </c>
      <c r="F2062">
        <v>6155212299</v>
      </c>
      <c r="G2062">
        <v>2780000</v>
      </c>
      <c r="H2062" t="s">
        <v>40293</v>
      </c>
      <c r="I2062">
        <v>11370</v>
      </c>
      <c r="J2062">
        <v>10</v>
      </c>
      <c r="K2062">
        <v>10</v>
      </c>
    </row>
    <row r="2063" spans="1:11">
      <c r="A2063">
        <v>90</v>
      </c>
      <c r="B2063" t="b">
        <v>0</v>
      </c>
      <c r="C2063" t="s">
        <v>46272</v>
      </c>
      <c r="D2063">
        <v>1037022454355</v>
      </c>
      <c r="E2063">
        <v>1</v>
      </c>
      <c r="F2063">
        <v>6154023288</v>
      </c>
      <c r="G2063">
        <v>2707000</v>
      </c>
      <c r="H2063" t="s">
        <v>40293</v>
      </c>
      <c r="I2063">
        <v>11370</v>
      </c>
      <c r="J2063">
        <v>15</v>
      </c>
      <c r="K2063">
        <v>23</v>
      </c>
    </row>
    <row r="2064" spans="1:11">
      <c r="A2064">
        <v>30</v>
      </c>
      <c r="B2064" t="b">
        <v>0</v>
      </c>
      <c r="C2064" t="s">
        <v>45789</v>
      </c>
      <c r="D2064">
        <v>1037022454355</v>
      </c>
      <c r="E2064">
        <v>1</v>
      </c>
      <c r="F2064">
        <v>6156605716</v>
      </c>
      <c r="G2064">
        <v>2706000</v>
      </c>
      <c r="H2064" t="s">
        <v>40293</v>
      </c>
      <c r="I2064">
        <v>11370</v>
      </c>
      <c r="J2064">
        <v>16</v>
      </c>
      <c r="K2064">
        <v>20</v>
      </c>
    </row>
    <row r="2065" spans="1:11">
      <c r="A2065">
        <v>90</v>
      </c>
      <c r="B2065" t="b">
        <v>0</v>
      </c>
      <c r="C2065" t="s">
        <v>42016</v>
      </c>
      <c r="D2065">
        <v>1037022454355</v>
      </c>
      <c r="E2065">
        <v>1</v>
      </c>
      <c r="F2065">
        <v>6130993666</v>
      </c>
      <c r="G2065">
        <v>45000000</v>
      </c>
      <c r="H2065" t="s">
        <v>40293</v>
      </c>
      <c r="I2065">
        <v>11371</v>
      </c>
      <c r="J2065">
        <v>2</v>
      </c>
      <c r="K2065">
        <v>2</v>
      </c>
    </row>
    <row r="2066" spans="1:11">
      <c r="A2066">
        <v>90</v>
      </c>
      <c r="B2066" t="b">
        <v>0</v>
      </c>
      <c r="C2066" t="s">
        <v>42343</v>
      </c>
      <c r="D2066">
        <v>1037022454355</v>
      </c>
      <c r="E2066">
        <v>1</v>
      </c>
      <c r="F2066">
        <v>6132764391</v>
      </c>
      <c r="G2066">
        <v>45000000</v>
      </c>
      <c r="H2066" t="s">
        <v>40293</v>
      </c>
      <c r="I2066">
        <v>11371</v>
      </c>
      <c r="J2066">
        <v>2</v>
      </c>
      <c r="K2066">
        <v>2</v>
      </c>
    </row>
    <row r="2067" spans="1:11">
      <c r="A2067">
        <v>90</v>
      </c>
      <c r="B2067" t="b">
        <v>0</v>
      </c>
      <c r="C2067" t="s">
        <v>41432</v>
      </c>
      <c r="D2067">
        <v>1037022454355</v>
      </c>
      <c r="E2067">
        <v>1</v>
      </c>
      <c r="F2067">
        <v>6108668077</v>
      </c>
      <c r="G2067">
        <v>31630000</v>
      </c>
      <c r="H2067" t="s">
        <v>40293</v>
      </c>
      <c r="I2067">
        <v>11377</v>
      </c>
      <c r="J2067">
        <v>1</v>
      </c>
      <c r="K2067">
        <v>4</v>
      </c>
    </row>
    <row r="2068" spans="1:11">
      <c r="A2068">
        <v>90</v>
      </c>
      <c r="B2068" t="b">
        <v>0</v>
      </c>
      <c r="C2068" t="s">
        <v>43178</v>
      </c>
      <c r="D2068">
        <v>1037022454355</v>
      </c>
      <c r="E2068">
        <v>1</v>
      </c>
      <c r="F2068">
        <v>6139158918</v>
      </c>
      <c r="G2068">
        <v>30000000</v>
      </c>
      <c r="H2068" t="s">
        <v>40293</v>
      </c>
      <c r="I2068">
        <v>11377</v>
      </c>
      <c r="J2068">
        <v>1</v>
      </c>
      <c r="K2068">
        <v>18</v>
      </c>
    </row>
    <row r="2069" spans="1:11">
      <c r="A2069">
        <v>90</v>
      </c>
      <c r="B2069" t="b">
        <v>0</v>
      </c>
      <c r="C2069" t="s">
        <v>42136</v>
      </c>
      <c r="D2069">
        <v>1037022454355</v>
      </c>
      <c r="E2069">
        <v>1</v>
      </c>
      <c r="F2069">
        <v>6131761758</v>
      </c>
      <c r="G2069">
        <v>39510000</v>
      </c>
      <c r="H2069" t="s">
        <v>40293</v>
      </c>
      <c r="I2069">
        <v>11379</v>
      </c>
      <c r="J2069">
        <v>8</v>
      </c>
      <c r="K2069">
        <v>8</v>
      </c>
    </row>
    <row r="2070" spans="1:11">
      <c r="A2070">
        <v>90</v>
      </c>
      <c r="B2070" t="b">
        <v>0</v>
      </c>
      <c r="C2070" t="s">
        <v>42326</v>
      </c>
      <c r="D2070">
        <v>1037022454355</v>
      </c>
      <c r="E2070">
        <v>1</v>
      </c>
      <c r="F2070">
        <v>6134663360</v>
      </c>
      <c r="G2070">
        <v>39500000</v>
      </c>
      <c r="H2070" t="s">
        <v>40293</v>
      </c>
      <c r="I2070">
        <v>11379</v>
      </c>
      <c r="J2070">
        <v>5</v>
      </c>
      <c r="K2070">
        <v>9</v>
      </c>
    </row>
    <row r="2071" spans="1:11">
      <c r="A2071">
        <v>90</v>
      </c>
      <c r="B2071" t="b">
        <v>0</v>
      </c>
      <c r="C2071" t="s">
        <v>42321</v>
      </c>
      <c r="D2071">
        <v>1037022454355</v>
      </c>
      <c r="E2071">
        <v>1</v>
      </c>
      <c r="F2071">
        <v>6134663170</v>
      </c>
      <c r="G2071">
        <v>34000000</v>
      </c>
      <c r="H2071" t="s">
        <v>40293</v>
      </c>
      <c r="I2071">
        <v>11381</v>
      </c>
      <c r="J2071">
        <v>5</v>
      </c>
      <c r="K2071">
        <v>5</v>
      </c>
    </row>
    <row r="2072" spans="1:11">
      <c r="A2072">
        <v>90</v>
      </c>
      <c r="B2072" t="b">
        <v>0</v>
      </c>
      <c r="C2072" t="s">
        <v>42447</v>
      </c>
      <c r="D2072">
        <v>1037022454355</v>
      </c>
      <c r="E2072">
        <v>1</v>
      </c>
      <c r="F2072">
        <v>6136244190</v>
      </c>
      <c r="G2072">
        <v>33000000</v>
      </c>
      <c r="H2072" t="s">
        <v>40293</v>
      </c>
      <c r="I2072">
        <v>11381</v>
      </c>
      <c r="J2072">
        <v>50</v>
      </c>
      <c r="K2072">
        <v>54</v>
      </c>
    </row>
    <row r="2073" spans="1:11">
      <c r="A2073">
        <v>90</v>
      </c>
      <c r="B2073" t="b">
        <v>0</v>
      </c>
      <c r="C2073" t="s">
        <v>43923</v>
      </c>
      <c r="D2073">
        <v>1037022454355</v>
      </c>
      <c r="E2073">
        <v>1</v>
      </c>
      <c r="F2073">
        <v>6138689780</v>
      </c>
      <c r="G2073">
        <v>32000000</v>
      </c>
      <c r="H2073" t="s">
        <v>40293</v>
      </c>
      <c r="I2073">
        <v>11381</v>
      </c>
      <c r="J2073">
        <v>2</v>
      </c>
      <c r="K2073">
        <v>2</v>
      </c>
    </row>
    <row r="2074" spans="1:11">
      <c r="A2074">
        <v>90</v>
      </c>
      <c r="B2074" t="b">
        <v>0</v>
      </c>
      <c r="C2074" t="s">
        <v>42887</v>
      </c>
      <c r="D2074">
        <v>1037022454355</v>
      </c>
      <c r="E2074">
        <v>1</v>
      </c>
      <c r="F2074">
        <v>6142034052</v>
      </c>
      <c r="G2074">
        <v>31000000</v>
      </c>
      <c r="H2074" t="s">
        <v>40293</v>
      </c>
      <c r="I2074">
        <v>11381</v>
      </c>
      <c r="J2074">
        <v>1</v>
      </c>
      <c r="K2074">
        <v>1</v>
      </c>
    </row>
    <row r="2075" spans="1:11">
      <c r="A2075">
        <v>90</v>
      </c>
      <c r="B2075" t="b">
        <v>0</v>
      </c>
      <c r="C2075" t="s">
        <v>44417</v>
      </c>
      <c r="D2075">
        <v>1037022454355</v>
      </c>
      <c r="E2075">
        <v>1</v>
      </c>
      <c r="F2075">
        <v>6152426689</v>
      </c>
      <c r="G2075">
        <v>30900000</v>
      </c>
      <c r="H2075" t="s">
        <v>40293</v>
      </c>
      <c r="I2075">
        <v>11381</v>
      </c>
      <c r="J2075">
        <v>2</v>
      </c>
      <c r="K2075">
        <v>2</v>
      </c>
    </row>
    <row r="2076" spans="1:11">
      <c r="A2076">
        <v>90</v>
      </c>
      <c r="B2076" t="b">
        <v>0</v>
      </c>
      <c r="C2076" t="s">
        <v>46165</v>
      </c>
      <c r="D2076">
        <v>1037022454355</v>
      </c>
      <c r="E2076">
        <v>1</v>
      </c>
      <c r="F2076">
        <v>6153169872</v>
      </c>
      <c r="G2076">
        <v>30890000</v>
      </c>
      <c r="H2076" t="s">
        <v>40293</v>
      </c>
      <c r="I2076">
        <v>11381</v>
      </c>
      <c r="J2076">
        <v>2</v>
      </c>
      <c r="K2076">
        <v>2</v>
      </c>
    </row>
    <row r="2077" spans="1:11">
      <c r="A2077">
        <v>90</v>
      </c>
      <c r="B2077" t="b">
        <v>0</v>
      </c>
      <c r="C2077" t="s">
        <v>44958</v>
      </c>
      <c r="D2077">
        <v>1037022454355</v>
      </c>
      <c r="E2077">
        <v>1</v>
      </c>
      <c r="F2077">
        <v>6155808710</v>
      </c>
      <c r="G2077">
        <v>30880000</v>
      </c>
      <c r="H2077" t="s">
        <v>40293</v>
      </c>
      <c r="I2077">
        <v>11381</v>
      </c>
      <c r="J2077">
        <v>4</v>
      </c>
      <c r="K2077">
        <v>5</v>
      </c>
    </row>
    <row r="2078" spans="1:11">
      <c r="A2078">
        <v>90</v>
      </c>
      <c r="B2078" t="b">
        <v>0</v>
      </c>
      <c r="C2078" t="s">
        <v>46356</v>
      </c>
      <c r="D2078">
        <v>1037022454355</v>
      </c>
      <c r="E2078">
        <v>1</v>
      </c>
      <c r="F2078">
        <v>6156429559</v>
      </c>
      <c r="G2078">
        <v>30000000</v>
      </c>
      <c r="H2078" t="s">
        <v>40293</v>
      </c>
      <c r="I2078">
        <v>11387</v>
      </c>
      <c r="J2078">
        <v>5</v>
      </c>
      <c r="K2078">
        <v>5</v>
      </c>
    </row>
    <row r="2079" spans="1:11">
      <c r="A2079">
        <v>90</v>
      </c>
      <c r="B2079" t="b">
        <v>0</v>
      </c>
      <c r="C2079" t="s">
        <v>44613</v>
      </c>
      <c r="D2079">
        <v>1037022454355</v>
      </c>
      <c r="E2079">
        <v>1</v>
      </c>
      <c r="F2079">
        <v>6155846975</v>
      </c>
      <c r="G2079">
        <v>32170000</v>
      </c>
      <c r="H2079" t="s">
        <v>40293</v>
      </c>
      <c r="I2079">
        <v>11393</v>
      </c>
      <c r="J2079">
        <v>3</v>
      </c>
      <c r="K2079">
        <v>3</v>
      </c>
    </row>
    <row r="2080" spans="1:11">
      <c r="A2080">
        <v>90</v>
      </c>
      <c r="B2080" t="b">
        <v>0</v>
      </c>
      <c r="C2080" t="s">
        <v>43905</v>
      </c>
      <c r="D2080">
        <v>1037022454355</v>
      </c>
      <c r="E2080">
        <v>1</v>
      </c>
      <c r="F2080">
        <v>6147241751</v>
      </c>
      <c r="G2080">
        <v>174200</v>
      </c>
      <c r="H2080" t="s">
        <v>40293</v>
      </c>
      <c r="I2080">
        <v>11396</v>
      </c>
      <c r="J2080">
        <v>19</v>
      </c>
      <c r="K2080">
        <v>60</v>
      </c>
    </row>
    <row r="2081" spans="1:11">
      <c r="A2081">
        <v>90</v>
      </c>
      <c r="B2081" t="b">
        <v>0</v>
      </c>
      <c r="C2081" t="s">
        <v>43795</v>
      </c>
      <c r="D2081">
        <v>1037022454355</v>
      </c>
      <c r="E2081">
        <v>1</v>
      </c>
      <c r="F2081">
        <v>6139145020</v>
      </c>
      <c r="G2081">
        <v>79980</v>
      </c>
      <c r="H2081" t="s">
        <v>40293</v>
      </c>
      <c r="I2081">
        <v>11399</v>
      </c>
      <c r="J2081">
        <v>3210</v>
      </c>
      <c r="K2081">
        <v>3210</v>
      </c>
    </row>
    <row r="2082" spans="1:11">
      <c r="A2082">
        <v>90</v>
      </c>
      <c r="B2082" t="b">
        <v>0</v>
      </c>
      <c r="C2082" t="s">
        <v>43621</v>
      </c>
      <c r="D2082">
        <v>1037022454355</v>
      </c>
      <c r="E2082">
        <v>1</v>
      </c>
      <c r="F2082">
        <v>6142088299</v>
      </c>
      <c r="G2082">
        <v>64000</v>
      </c>
      <c r="H2082" t="s">
        <v>40293</v>
      </c>
      <c r="I2082">
        <v>11399</v>
      </c>
      <c r="J2082">
        <v>2389</v>
      </c>
      <c r="K2082">
        <v>5052</v>
      </c>
    </row>
    <row r="2083" spans="1:11">
      <c r="A2083">
        <v>7</v>
      </c>
      <c r="B2083" t="b">
        <v>0</v>
      </c>
      <c r="C2083" t="s">
        <v>46087</v>
      </c>
      <c r="D2083">
        <v>1037022454355</v>
      </c>
      <c r="E2083">
        <v>1</v>
      </c>
      <c r="F2083">
        <v>6152808272</v>
      </c>
      <c r="G2083">
        <v>59340</v>
      </c>
      <c r="H2083" t="s">
        <v>40293</v>
      </c>
      <c r="I2083">
        <v>11399</v>
      </c>
      <c r="J2083">
        <v>2500</v>
      </c>
      <c r="K2083">
        <v>4000</v>
      </c>
    </row>
    <row r="2084" spans="1:11">
      <c r="A2084">
        <v>30</v>
      </c>
      <c r="B2084" t="b">
        <v>0</v>
      </c>
      <c r="C2084" t="s">
        <v>44406</v>
      </c>
      <c r="D2084">
        <v>1037022454355</v>
      </c>
      <c r="E2084">
        <v>1</v>
      </c>
      <c r="F2084">
        <v>6146005259</v>
      </c>
      <c r="G2084">
        <v>56000</v>
      </c>
      <c r="H2084" t="s">
        <v>40293</v>
      </c>
      <c r="I2084">
        <v>11399</v>
      </c>
      <c r="J2084">
        <v>18510</v>
      </c>
      <c r="K2084">
        <v>73650</v>
      </c>
    </row>
    <row r="2085" spans="1:11">
      <c r="A2085">
        <v>90</v>
      </c>
      <c r="B2085" t="b">
        <v>0</v>
      </c>
      <c r="C2085" t="s">
        <v>44952</v>
      </c>
      <c r="D2085">
        <v>1037022454355</v>
      </c>
      <c r="E2085">
        <v>1</v>
      </c>
      <c r="F2085">
        <v>6155349895</v>
      </c>
      <c r="G2085">
        <v>55990</v>
      </c>
      <c r="H2085" t="s">
        <v>40293</v>
      </c>
      <c r="I2085">
        <v>11399</v>
      </c>
      <c r="J2085">
        <v>2235</v>
      </c>
      <c r="K2085">
        <v>2235</v>
      </c>
    </row>
    <row r="2086" spans="1:11">
      <c r="A2086">
        <v>30</v>
      </c>
      <c r="B2086" t="b">
        <v>0</v>
      </c>
      <c r="C2086" t="s">
        <v>44221</v>
      </c>
      <c r="D2086">
        <v>1037022454355</v>
      </c>
      <c r="E2086">
        <v>1</v>
      </c>
      <c r="F2086">
        <v>6156814803</v>
      </c>
      <c r="G2086">
        <v>55710</v>
      </c>
      <c r="H2086" t="s">
        <v>40293</v>
      </c>
      <c r="I2086">
        <v>11399</v>
      </c>
      <c r="J2086">
        <v>20677</v>
      </c>
      <c r="K2086">
        <v>20677</v>
      </c>
    </row>
    <row r="2087" spans="1:11">
      <c r="A2087">
        <v>90</v>
      </c>
      <c r="B2087" t="b">
        <v>0</v>
      </c>
      <c r="C2087" t="s">
        <v>44652</v>
      </c>
      <c r="D2087">
        <v>1037022454355</v>
      </c>
      <c r="E2087">
        <v>1</v>
      </c>
      <c r="F2087">
        <v>6156787998</v>
      </c>
      <c r="G2087">
        <v>55000</v>
      </c>
      <c r="H2087" t="s">
        <v>40293</v>
      </c>
      <c r="I2087">
        <v>11399</v>
      </c>
      <c r="J2087">
        <v>2285</v>
      </c>
      <c r="K2087">
        <v>2484</v>
      </c>
    </row>
    <row r="2088" spans="1:11">
      <c r="A2088">
        <v>90</v>
      </c>
      <c r="B2088" t="b">
        <v>0</v>
      </c>
      <c r="C2088" t="s">
        <v>44754</v>
      </c>
      <c r="D2088">
        <v>1037022454355</v>
      </c>
      <c r="E2088">
        <v>1</v>
      </c>
      <c r="F2088">
        <v>6151611837</v>
      </c>
      <c r="G2088">
        <v>45000000</v>
      </c>
      <c r="H2088" t="s">
        <v>40293</v>
      </c>
      <c r="I2088">
        <v>11400</v>
      </c>
      <c r="J2088">
        <v>1</v>
      </c>
      <c r="K2088">
        <v>5</v>
      </c>
    </row>
    <row r="2089" spans="1:11">
      <c r="A2089">
        <v>90</v>
      </c>
      <c r="B2089" t="b">
        <v>0</v>
      </c>
      <c r="C2089" t="s">
        <v>45340</v>
      </c>
      <c r="D2089">
        <v>1037022454355</v>
      </c>
      <c r="E2089">
        <v>1</v>
      </c>
      <c r="F2089">
        <v>6157452256</v>
      </c>
      <c r="G2089">
        <v>45000000</v>
      </c>
      <c r="H2089" t="s">
        <v>40293</v>
      </c>
      <c r="I2089">
        <v>11400</v>
      </c>
      <c r="J2089">
        <v>8</v>
      </c>
      <c r="K2089">
        <v>8</v>
      </c>
    </row>
    <row r="2090" spans="1:11">
      <c r="A2090">
        <v>90</v>
      </c>
      <c r="B2090" t="b">
        <v>0</v>
      </c>
      <c r="C2090" t="s">
        <v>44910</v>
      </c>
      <c r="D2090">
        <v>1037022454355</v>
      </c>
      <c r="E2090">
        <v>1</v>
      </c>
      <c r="F2090">
        <v>6155339674</v>
      </c>
      <c r="G2090">
        <v>44920000</v>
      </c>
      <c r="H2090" t="s">
        <v>40293</v>
      </c>
      <c r="I2090">
        <v>11400</v>
      </c>
      <c r="J2090">
        <v>2</v>
      </c>
      <c r="K2090">
        <v>3</v>
      </c>
    </row>
    <row r="2091" spans="1:11">
      <c r="A2091">
        <v>90</v>
      </c>
      <c r="B2091" t="b">
        <v>0</v>
      </c>
      <c r="C2091" t="s">
        <v>46151</v>
      </c>
      <c r="D2091">
        <v>1037022454355</v>
      </c>
      <c r="E2091">
        <v>1</v>
      </c>
      <c r="F2091">
        <v>6155725592</v>
      </c>
      <c r="G2091">
        <v>15000000</v>
      </c>
      <c r="H2091" t="s">
        <v>40293</v>
      </c>
      <c r="I2091">
        <v>11433</v>
      </c>
      <c r="J2091">
        <v>1</v>
      </c>
      <c r="K2091">
        <v>1</v>
      </c>
    </row>
    <row r="2092" spans="1:11">
      <c r="A2092">
        <v>90</v>
      </c>
      <c r="B2092" t="b">
        <v>0</v>
      </c>
      <c r="C2092" t="s">
        <v>46314</v>
      </c>
      <c r="D2092">
        <v>1037022454355</v>
      </c>
      <c r="E2092">
        <v>1</v>
      </c>
      <c r="F2092">
        <v>6157202218</v>
      </c>
      <c r="G2092">
        <v>14000000</v>
      </c>
      <c r="H2092" t="s">
        <v>40293</v>
      </c>
      <c r="I2092">
        <v>11433</v>
      </c>
      <c r="J2092">
        <v>1</v>
      </c>
      <c r="K2092">
        <v>1</v>
      </c>
    </row>
    <row r="2093" spans="1:11">
      <c r="A2093">
        <v>30</v>
      </c>
      <c r="B2093" t="b">
        <v>0</v>
      </c>
      <c r="C2093" t="s">
        <v>42807</v>
      </c>
      <c r="D2093">
        <v>1037022454355</v>
      </c>
      <c r="E2093">
        <v>1</v>
      </c>
      <c r="F2093">
        <v>6137770665</v>
      </c>
      <c r="G2093">
        <v>15010000</v>
      </c>
      <c r="H2093" t="s">
        <v>40293</v>
      </c>
      <c r="I2093">
        <v>11450</v>
      </c>
      <c r="J2093">
        <v>1</v>
      </c>
      <c r="K2093">
        <v>1</v>
      </c>
    </row>
    <row r="2094" spans="1:11">
      <c r="A2094">
        <v>90</v>
      </c>
      <c r="B2094" t="b">
        <v>0</v>
      </c>
      <c r="C2094" t="s">
        <v>40584</v>
      </c>
      <c r="D2094">
        <v>1037022454355</v>
      </c>
      <c r="E2094">
        <v>1</v>
      </c>
      <c r="F2094">
        <v>6117562839</v>
      </c>
      <c r="G2094">
        <v>448</v>
      </c>
      <c r="H2094" t="s">
        <v>40293</v>
      </c>
      <c r="I2094">
        <v>11481</v>
      </c>
      <c r="J2094">
        <v>27783</v>
      </c>
      <c r="K2094">
        <v>28073</v>
      </c>
    </row>
    <row r="2095" spans="1:11">
      <c r="A2095">
        <v>90</v>
      </c>
      <c r="B2095" t="b">
        <v>0</v>
      </c>
      <c r="C2095" t="s">
        <v>40584</v>
      </c>
      <c r="D2095">
        <v>1037022454355</v>
      </c>
      <c r="E2095">
        <v>1</v>
      </c>
      <c r="F2095">
        <v>6117562838</v>
      </c>
      <c r="G2095">
        <v>1198</v>
      </c>
      <c r="H2095" t="s">
        <v>40293</v>
      </c>
      <c r="I2095">
        <v>11482</v>
      </c>
      <c r="J2095">
        <v>32637</v>
      </c>
      <c r="K2095">
        <v>32790</v>
      </c>
    </row>
    <row r="2096" spans="1:11">
      <c r="A2096">
        <v>90</v>
      </c>
      <c r="B2096" t="b">
        <v>0</v>
      </c>
      <c r="C2096" t="s">
        <v>41571</v>
      </c>
      <c r="D2096">
        <v>1037022454355</v>
      </c>
      <c r="E2096">
        <v>1</v>
      </c>
      <c r="F2096">
        <v>6070529740</v>
      </c>
      <c r="G2096">
        <v>398</v>
      </c>
      <c r="H2096" t="s">
        <v>40293</v>
      </c>
      <c r="I2096">
        <v>11484</v>
      </c>
      <c r="J2096">
        <v>23625</v>
      </c>
      <c r="K2096">
        <v>40000</v>
      </c>
    </row>
    <row r="2097" spans="1:11">
      <c r="A2097">
        <v>90</v>
      </c>
      <c r="B2097" t="b">
        <v>0</v>
      </c>
      <c r="C2097" t="s">
        <v>41788</v>
      </c>
      <c r="D2097">
        <v>1037022454355</v>
      </c>
      <c r="E2097">
        <v>1</v>
      </c>
      <c r="F2097">
        <v>6096979449</v>
      </c>
      <c r="G2097">
        <v>700</v>
      </c>
      <c r="H2097" t="s">
        <v>40293</v>
      </c>
      <c r="I2097">
        <v>11486</v>
      </c>
      <c r="J2097">
        <v>480</v>
      </c>
      <c r="K2097">
        <v>500</v>
      </c>
    </row>
    <row r="2098" spans="1:11">
      <c r="A2098">
        <v>90</v>
      </c>
      <c r="B2098" t="b">
        <v>0</v>
      </c>
      <c r="C2098" t="s">
        <v>45912</v>
      </c>
      <c r="D2098">
        <v>1037022454355</v>
      </c>
      <c r="E2098">
        <v>1</v>
      </c>
      <c r="F2098">
        <v>6094151141</v>
      </c>
      <c r="G2098">
        <v>76010</v>
      </c>
      <c r="H2098" t="s">
        <v>40293</v>
      </c>
      <c r="I2098">
        <v>11539</v>
      </c>
      <c r="J2098">
        <v>1768</v>
      </c>
      <c r="K2098">
        <v>2468</v>
      </c>
    </row>
    <row r="2099" spans="1:11">
      <c r="A2099">
        <v>90</v>
      </c>
      <c r="B2099" t="b">
        <v>0</v>
      </c>
      <c r="C2099" t="s">
        <v>45262</v>
      </c>
      <c r="D2099">
        <v>1037022454355</v>
      </c>
      <c r="E2099">
        <v>1</v>
      </c>
      <c r="F2099">
        <v>6094143455</v>
      </c>
      <c r="G2099">
        <v>16310</v>
      </c>
      <c r="H2099" t="s">
        <v>40293</v>
      </c>
      <c r="I2099">
        <v>11543</v>
      </c>
      <c r="J2099">
        <v>12567</v>
      </c>
      <c r="K2099">
        <v>14265</v>
      </c>
    </row>
    <row r="2100" spans="1:11">
      <c r="A2100">
        <v>90</v>
      </c>
      <c r="B2100" t="b">
        <v>0</v>
      </c>
      <c r="C2100" t="s">
        <v>40893</v>
      </c>
      <c r="D2100">
        <v>1037022454355</v>
      </c>
      <c r="E2100">
        <v>1</v>
      </c>
      <c r="F2100">
        <v>6094140938</v>
      </c>
      <c r="G2100">
        <v>16870</v>
      </c>
      <c r="H2100" t="s">
        <v>40293</v>
      </c>
      <c r="I2100">
        <v>11544</v>
      </c>
      <c r="J2100">
        <v>7500</v>
      </c>
      <c r="K2100">
        <v>7500</v>
      </c>
    </row>
    <row r="2101" spans="1:11">
      <c r="A2101">
        <v>90</v>
      </c>
      <c r="B2101" t="b">
        <v>0</v>
      </c>
      <c r="C2101" t="s">
        <v>43878</v>
      </c>
      <c r="D2101">
        <v>1037022454355</v>
      </c>
      <c r="E2101">
        <v>1</v>
      </c>
      <c r="F2101">
        <v>6138950850</v>
      </c>
      <c r="G2101">
        <v>16000</v>
      </c>
      <c r="H2101" t="s">
        <v>40293</v>
      </c>
      <c r="I2101">
        <v>11545</v>
      </c>
      <c r="J2101">
        <v>5000</v>
      </c>
      <c r="K2101">
        <v>5000</v>
      </c>
    </row>
    <row r="2102" spans="1:11">
      <c r="A2102">
        <v>90</v>
      </c>
      <c r="B2102" t="b">
        <v>0</v>
      </c>
      <c r="C2102" t="s">
        <v>45814</v>
      </c>
      <c r="D2102">
        <v>1037022454355</v>
      </c>
      <c r="E2102">
        <v>1</v>
      </c>
      <c r="F2102">
        <v>6094150169</v>
      </c>
      <c r="G2102">
        <v>147100</v>
      </c>
      <c r="H2102" t="s">
        <v>40293</v>
      </c>
      <c r="I2102">
        <v>11549</v>
      </c>
      <c r="J2102">
        <v>533</v>
      </c>
      <c r="K2102">
        <v>648</v>
      </c>
    </row>
    <row r="2103" spans="1:11">
      <c r="A2103">
        <v>90</v>
      </c>
      <c r="B2103" t="b">
        <v>0</v>
      </c>
      <c r="C2103" t="s">
        <v>43928</v>
      </c>
      <c r="D2103">
        <v>1037022454355</v>
      </c>
      <c r="E2103">
        <v>1</v>
      </c>
      <c r="F2103">
        <v>6140250414</v>
      </c>
      <c r="G2103">
        <v>100000</v>
      </c>
      <c r="H2103" t="s">
        <v>40293</v>
      </c>
      <c r="I2103">
        <v>11551</v>
      </c>
      <c r="J2103">
        <v>500</v>
      </c>
      <c r="K2103">
        <v>500</v>
      </c>
    </row>
    <row r="2104" spans="1:11">
      <c r="A2104">
        <v>90</v>
      </c>
      <c r="B2104" t="b">
        <v>0</v>
      </c>
      <c r="C2104" t="s">
        <v>40832</v>
      </c>
      <c r="D2104">
        <v>1037022454355</v>
      </c>
      <c r="E2104">
        <v>1</v>
      </c>
      <c r="F2104">
        <v>6078476298</v>
      </c>
      <c r="G2104">
        <v>49750</v>
      </c>
      <c r="H2104" t="s">
        <v>40293</v>
      </c>
      <c r="I2104">
        <v>11555</v>
      </c>
      <c r="J2104">
        <v>4736</v>
      </c>
      <c r="K2104">
        <v>4737</v>
      </c>
    </row>
    <row r="2105" spans="1:11">
      <c r="A2105">
        <v>90</v>
      </c>
      <c r="B2105" t="b">
        <v>0</v>
      </c>
      <c r="C2105" t="s">
        <v>40993</v>
      </c>
      <c r="D2105">
        <v>1037022454355</v>
      </c>
      <c r="E2105">
        <v>1</v>
      </c>
      <c r="F2105">
        <v>6093782784</v>
      </c>
      <c r="G2105">
        <v>74980</v>
      </c>
      <c r="H2105" t="s">
        <v>40293</v>
      </c>
      <c r="I2105">
        <v>11556</v>
      </c>
      <c r="J2105">
        <v>577</v>
      </c>
      <c r="K2105">
        <v>1000</v>
      </c>
    </row>
    <row r="2106" spans="1:11">
      <c r="A2106">
        <v>90</v>
      </c>
      <c r="B2106" t="b">
        <v>0</v>
      </c>
      <c r="C2106" t="s">
        <v>44971</v>
      </c>
      <c r="D2106">
        <v>1037022454355</v>
      </c>
      <c r="E2106">
        <v>1</v>
      </c>
      <c r="F2106">
        <v>6094139497</v>
      </c>
      <c r="G2106">
        <v>64910</v>
      </c>
      <c r="H2106" t="s">
        <v>40293</v>
      </c>
      <c r="I2106">
        <v>11558</v>
      </c>
      <c r="J2106">
        <v>4787</v>
      </c>
      <c r="K2106">
        <v>8000</v>
      </c>
    </row>
    <row r="2107" spans="1:11">
      <c r="A2107">
        <v>90</v>
      </c>
      <c r="B2107" t="b">
        <v>0</v>
      </c>
      <c r="C2107" t="s">
        <v>42252</v>
      </c>
      <c r="D2107">
        <v>1037022454355</v>
      </c>
      <c r="E2107">
        <v>1</v>
      </c>
      <c r="F2107">
        <v>6129907228</v>
      </c>
      <c r="G2107">
        <v>1000000</v>
      </c>
      <c r="H2107" t="s">
        <v>40293</v>
      </c>
      <c r="I2107">
        <v>11561</v>
      </c>
      <c r="J2107">
        <v>2</v>
      </c>
      <c r="K2107">
        <v>2</v>
      </c>
    </row>
    <row r="2108" spans="1:11">
      <c r="A2108">
        <v>90</v>
      </c>
      <c r="B2108" t="b">
        <v>0</v>
      </c>
      <c r="C2108" t="s">
        <v>42504</v>
      </c>
      <c r="D2108">
        <v>1037022454355</v>
      </c>
      <c r="E2108">
        <v>1</v>
      </c>
      <c r="F2108">
        <v>6132643126</v>
      </c>
      <c r="G2108">
        <v>999900</v>
      </c>
      <c r="H2108" t="s">
        <v>40293</v>
      </c>
      <c r="I2108">
        <v>11561</v>
      </c>
      <c r="J2108">
        <v>2</v>
      </c>
      <c r="K2108">
        <v>4</v>
      </c>
    </row>
    <row r="2109" spans="1:11">
      <c r="A2109">
        <v>90</v>
      </c>
      <c r="B2109" t="b">
        <v>0</v>
      </c>
      <c r="C2109" t="s">
        <v>40922</v>
      </c>
      <c r="D2109">
        <v>1037022454355</v>
      </c>
      <c r="E2109">
        <v>1</v>
      </c>
      <c r="F2109">
        <v>6092699670</v>
      </c>
      <c r="G2109">
        <v>439600</v>
      </c>
      <c r="H2109" t="s">
        <v>40293</v>
      </c>
      <c r="I2109">
        <v>11563</v>
      </c>
      <c r="J2109">
        <v>8</v>
      </c>
      <c r="K2109">
        <v>10</v>
      </c>
    </row>
    <row r="2110" spans="1:11">
      <c r="A2110">
        <v>90</v>
      </c>
      <c r="B2110" t="b">
        <v>0</v>
      </c>
      <c r="C2110" t="s">
        <v>41551</v>
      </c>
      <c r="D2110">
        <v>1037022454355</v>
      </c>
      <c r="E2110">
        <v>1</v>
      </c>
      <c r="F2110">
        <v>6094089408</v>
      </c>
      <c r="G2110">
        <v>385000</v>
      </c>
      <c r="H2110" t="s">
        <v>40293</v>
      </c>
      <c r="I2110">
        <v>11563</v>
      </c>
      <c r="J2110">
        <v>495</v>
      </c>
      <c r="K2110">
        <v>500</v>
      </c>
    </row>
    <row r="2111" spans="1:11">
      <c r="A2111">
        <v>90</v>
      </c>
      <c r="B2111" t="b">
        <v>0</v>
      </c>
      <c r="C2111" t="s">
        <v>46309</v>
      </c>
      <c r="D2111">
        <v>1037022454355</v>
      </c>
      <c r="E2111">
        <v>1</v>
      </c>
      <c r="F2111">
        <v>6147273458</v>
      </c>
      <c r="G2111">
        <v>384000</v>
      </c>
      <c r="H2111" t="s">
        <v>40293</v>
      </c>
      <c r="I2111">
        <v>11563</v>
      </c>
      <c r="J2111">
        <v>2</v>
      </c>
      <c r="K2111">
        <v>2</v>
      </c>
    </row>
    <row r="2112" spans="1:11">
      <c r="A2112">
        <v>90</v>
      </c>
      <c r="B2112" t="b">
        <v>0</v>
      </c>
      <c r="C2112" t="s">
        <v>44427</v>
      </c>
      <c r="D2112">
        <v>1037022454355</v>
      </c>
      <c r="E2112">
        <v>1</v>
      </c>
      <c r="F2112">
        <v>6155212077</v>
      </c>
      <c r="G2112">
        <v>383900</v>
      </c>
      <c r="H2112" t="s">
        <v>40293</v>
      </c>
      <c r="I2112">
        <v>11563</v>
      </c>
      <c r="J2112">
        <v>17</v>
      </c>
      <c r="K2112">
        <v>25</v>
      </c>
    </row>
    <row r="2113" spans="1:11">
      <c r="A2113">
        <v>30</v>
      </c>
      <c r="B2113" t="b">
        <v>0</v>
      </c>
      <c r="C2113" t="s">
        <v>45058</v>
      </c>
      <c r="D2113">
        <v>1037022454355</v>
      </c>
      <c r="E2113">
        <v>1</v>
      </c>
      <c r="F2113">
        <v>6156596434</v>
      </c>
      <c r="G2113">
        <v>9601000</v>
      </c>
      <c r="H2113" t="s">
        <v>40293</v>
      </c>
      <c r="I2113">
        <v>11577</v>
      </c>
      <c r="J2113">
        <v>34</v>
      </c>
      <c r="K2113">
        <v>40</v>
      </c>
    </row>
    <row r="2114" spans="1:11">
      <c r="A2114">
        <v>90</v>
      </c>
      <c r="B2114" t="b">
        <v>0</v>
      </c>
      <c r="C2114" t="s">
        <v>44708</v>
      </c>
      <c r="D2114">
        <v>1037022454355</v>
      </c>
      <c r="E2114">
        <v>1</v>
      </c>
      <c r="F2114">
        <v>6154593249</v>
      </c>
      <c r="G2114">
        <v>8000000</v>
      </c>
      <c r="H2114" t="s">
        <v>40293</v>
      </c>
      <c r="I2114">
        <v>11578</v>
      </c>
      <c r="J2114">
        <v>8</v>
      </c>
      <c r="K2114">
        <v>40</v>
      </c>
    </row>
    <row r="2115" spans="1:11">
      <c r="A2115">
        <v>90</v>
      </c>
      <c r="B2115" t="b">
        <v>0</v>
      </c>
      <c r="C2115" t="s">
        <v>45955</v>
      </c>
      <c r="D2115">
        <v>1037022454355</v>
      </c>
      <c r="E2115">
        <v>1</v>
      </c>
      <c r="F2115">
        <v>6148546562</v>
      </c>
      <c r="G2115">
        <v>900000</v>
      </c>
      <c r="H2115" t="s">
        <v>40293</v>
      </c>
      <c r="I2115">
        <v>11612</v>
      </c>
      <c r="J2115">
        <v>6</v>
      </c>
      <c r="K2115">
        <v>6</v>
      </c>
    </row>
    <row r="2116" spans="1:11">
      <c r="A2116">
        <v>90</v>
      </c>
      <c r="B2116" t="b">
        <v>0</v>
      </c>
      <c r="C2116" t="s">
        <v>41337</v>
      </c>
      <c r="D2116">
        <v>1037022454355</v>
      </c>
      <c r="E2116">
        <v>1</v>
      </c>
      <c r="F2116">
        <v>6094608216</v>
      </c>
      <c r="G2116">
        <v>2099000</v>
      </c>
      <c r="H2116" t="s">
        <v>40293</v>
      </c>
      <c r="I2116">
        <v>11640</v>
      </c>
      <c r="J2116">
        <v>23</v>
      </c>
      <c r="K2116">
        <v>37</v>
      </c>
    </row>
    <row r="2117" spans="1:11">
      <c r="A2117">
        <v>90</v>
      </c>
      <c r="B2117" t="b">
        <v>0</v>
      </c>
      <c r="C2117" t="s">
        <v>45854</v>
      </c>
      <c r="D2117">
        <v>1037022454355</v>
      </c>
      <c r="E2117">
        <v>1</v>
      </c>
      <c r="F2117">
        <v>6153395070</v>
      </c>
      <c r="G2117">
        <v>2090000</v>
      </c>
      <c r="H2117" t="s">
        <v>40293</v>
      </c>
      <c r="I2117">
        <v>11640</v>
      </c>
      <c r="J2117">
        <v>1</v>
      </c>
      <c r="K2117">
        <v>5</v>
      </c>
    </row>
    <row r="2118" spans="1:11">
      <c r="A2118">
        <v>30</v>
      </c>
      <c r="B2118" t="b">
        <v>0</v>
      </c>
      <c r="C2118" t="s">
        <v>44081</v>
      </c>
      <c r="D2118">
        <v>1037022454355</v>
      </c>
      <c r="E2118">
        <v>1</v>
      </c>
      <c r="F2118">
        <v>6154463553</v>
      </c>
      <c r="G2118">
        <v>1340000</v>
      </c>
      <c r="H2118" t="s">
        <v>40293</v>
      </c>
      <c r="I2118">
        <v>11640</v>
      </c>
      <c r="J2118">
        <v>2</v>
      </c>
      <c r="K2118">
        <v>4</v>
      </c>
    </row>
    <row r="2119" spans="1:11">
      <c r="A2119">
        <v>14</v>
      </c>
      <c r="B2119" t="b">
        <v>0</v>
      </c>
      <c r="C2119" t="s">
        <v>46427</v>
      </c>
      <c r="D2119">
        <v>1037022454355</v>
      </c>
      <c r="E2119">
        <v>1</v>
      </c>
      <c r="F2119">
        <v>6156974612</v>
      </c>
      <c r="G2119">
        <v>1332000</v>
      </c>
      <c r="H2119" t="s">
        <v>40293</v>
      </c>
      <c r="I2119">
        <v>11640</v>
      </c>
      <c r="J2119">
        <v>66</v>
      </c>
      <c r="K2119">
        <v>66</v>
      </c>
    </row>
    <row r="2120" spans="1:11">
      <c r="A2120">
        <v>90</v>
      </c>
      <c r="B2120" t="b">
        <v>0</v>
      </c>
      <c r="C2120" t="s">
        <v>45111</v>
      </c>
      <c r="D2120">
        <v>1037022454355</v>
      </c>
      <c r="E2120">
        <v>1</v>
      </c>
      <c r="F2120">
        <v>6157306149</v>
      </c>
      <c r="G2120">
        <v>1331000</v>
      </c>
      <c r="H2120" t="s">
        <v>40293</v>
      </c>
      <c r="I2120">
        <v>11640</v>
      </c>
      <c r="J2120">
        <v>17</v>
      </c>
      <c r="K2120">
        <v>20</v>
      </c>
    </row>
    <row r="2121" spans="1:11">
      <c r="A2121">
        <v>90</v>
      </c>
      <c r="B2121" t="b">
        <v>0</v>
      </c>
      <c r="C2121" t="s">
        <v>46328</v>
      </c>
      <c r="D2121">
        <v>1037022454355</v>
      </c>
      <c r="E2121">
        <v>1</v>
      </c>
      <c r="F2121">
        <v>6149927969</v>
      </c>
      <c r="G2121">
        <v>3100000</v>
      </c>
      <c r="H2121" t="s">
        <v>40293</v>
      </c>
      <c r="I2121">
        <v>11642</v>
      </c>
      <c r="J2121">
        <v>7</v>
      </c>
      <c r="K2121">
        <v>10</v>
      </c>
    </row>
    <row r="2122" spans="1:11">
      <c r="A2122">
        <v>90</v>
      </c>
      <c r="B2122" t="b">
        <v>0</v>
      </c>
      <c r="C2122" t="s">
        <v>46236</v>
      </c>
      <c r="D2122">
        <v>1037022454355</v>
      </c>
      <c r="E2122">
        <v>1</v>
      </c>
      <c r="F2122">
        <v>6154055563</v>
      </c>
      <c r="G2122">
        <v>2800000</v>
      </c>
      <c r="H2122" t="s">
        <v>40293</v>
      </c>
      <c r="I2122">
        <v>11642</v>
      </c>
      <c r="J2122">
        <v>15</v>
      </c>
      <c r="K2122">
        <v>16</v>
      </c>
    </row>
    <row r="2123" spans="1:11">
      <c r="A2123">
        <v>90</v>
      </c>
      <c r="B2123" t="b">
        <v>0</v>
      </c>
      <c r="C2123" t="s">
        <v>45590</v>
      </c>
      <c r="D2123">
        <v>1037022454355</v>
      </c>
      <c r="E2123">
        <v>1</v>
      </c>
      <c r="F2123">
        <v>6156733750</v>
      </c>
      <c r="G2123">
        <v>2775000</v>
      </c>
      <c r="H2123" t="s">
        <v>40293</v>
      </c>
      <c r="I2123">
        <v>11642</v>
      </c>
      <c r="J2123">
        <v>10</v>
      </c>
      <c r="K2123">
        <v>10</v>
      </c>
    </row>
    <row r="2124" spans="1:11">
      <c r="A2124">
        <v>90</v>
      </c>
      <c r="B2124" t="b">
        <v>0</v>
      </c>
      <c r="C2124" t="s">
        <v>46267</v>
      </c>
      <c r="D2124">
        <v>1037022454355</v>
      </c>
      <c r="E2124">
        <v>1</v>
      </c>
      <c r="F2124">
        <v>6153498935</v>
      </c>
      <c r="G2124">
        <v>2774000</v>
      </c>
      <c r="H2124" t="s">
        <v>40293</v>
      </c>
      <c r="I2124">
        <v>11642</v>
      </c>
      <c r="J2124">
        <v>1</v>
      </c>
      <c r="K2124">
        <v>1</v>
      </c>
    </row>
    <row r="2125" spans="1:11">
      <c r="A2125">
        <v>90</v>
      </c>
      <c r="B2125" t="b">
        <v>0</v>
      </c>
      <c r="C2125" t="s">
        <v>45976</v>
      </c>
      <c r="D2125">
        <v>1037022454355</v>
      </c>
      <c r="E2125">
        <v>1</v>
      </c>
      <c r="F2125">
        <v>6156706033</v>
      </c>
      <c r="G2125">
        <v>2773000</v>
      </c>
      <c r="H2125" t="s">
        <v>40293</v>
      </c>
      <c r="I2125">
        <v>11642</v>
      </c>
      <c r="J2125">
        <v>1</v>
      </c>
      <c r="K2125">
        <v>1</v>
      </c>
    </row>
    <row r="2126" spans="1:11">
      <c r="A2126">
        <v>90</v>
      </c>
      <c r="B2126" t="b">
        <v>0</v>
      </c>
      <c r="C2126" t="s">
        <v>45369</v>
      </c>
      <c r="D2126">
        <v>1037022454355</v>
      </c>
      <c r="E2126">
        <v>1</v>
      </c>
      <c r="F2126">
        <v>6149752127</v>
      </c>
      <c r="G2126">
        <v>2772000</v>
      </c>
      <c r="H2126" t="s">
        <v>40293</v>
      </c>
      <c r="I2126">
        <v>11642</v>
      </c>
      <c r="J2126">
        <v>4</v>
      </c>
      <c r="K2126">
        <v>6</v>
      </c>
    </row>
    <row r="2127" spans="1:11">
      <c r="A2127">
        <v>90</v>
      </c>
      <c r="B2127" t="b">
        <v>0</v>
      </c>
      <c r="C2127" t="s">
        <v>41113</v>
      </c>
      <c r="D2127">
        <v>1037022454355</v>
      </c>
      <c r="E2127">
        <v>1</v>
      </c>
      <c r="F2127">
        <v>6089558103</v>
      </c>
      <c r="G2127">
        <v>2680000</v>
      </c>
      <c r="H2127" t="s">
        <v>40293</v>
      </c>
      <c r="I2127">
        <v>11644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41401</v>
      </c>
      <c r="D2128">
        <v>1037022454355</v>
      </c>
      <c r="E2128">
        <v>1</v>
      </c>
      <c r="F2128">
        <v>6119873924</v>
      </c>
      <c r="G2128">
        <v>2600000</v>
      </c>
      <c r="H2128" t="s">
        <v>40293</v>
      </c>
      <c r="I2128">
        <v>11644</v>
      </c>
      <c r="J2128">
        <v>2</v>
      </c>
      <c r="K2128">
        <v>2</v>
      </c>
    </row>
    <row r="2129" spans="1:11">
      <c r="A2129">
        <v>90</v>
      </c>
      <c r="B2129" t="b">
        <v>0</v>
      </c>
      <c r="C2129" t="s">
        <v>41319</v>
      </c>
      <c r="D2129">
        <v>1037022454355</v>
      </c>
      <c r="E2129">
        <v>1</v>
      </c>
      <c r="F2129">
        <v>6077797972</v>
      </c>
      <c r="G2129">
        <v>2597000</v>
      </c>
      <c r="H2129" t="s">
        <v>40293</v>
      </c>
      <c r="I2129">
        <v>11644</v>
      </c>
      <c r="J2129">
        <v>1</v>
      </c>
      <c r="K2129">
        <v>1</v>
      </c>
    </row>
    <row r="2130" spans="1:11">
      <c r="A2130">
        <v>90</v>
      </c>
      <c r="B2130" t="b">
        <v>0</v>
      </c>
      <c r="C2130" t="s">
        <v>42151</v>
      </c>
      <c r="D2130">
        <v>1037022454355</v>
      </c>
      <c r="E2130">
        <v>1</v>
      </c>
      <c r="F2130">
        <v>6099618309</v>
      </c>
      <c r="G2130">
        <v>2591000</v>
      </c>
      <c r="H2130" t="s">
        <v>40293</v>
      </c>
      <c r="I2130">
        <v>11644</v>
      </c>
      <c r="J2130">
        <v>5</v>
      </c>
      <c r="K2130">
        <v>30</v>
      </c>
    </row>
    <row r="2131" spans="1:11">
      <c r="A2131">
        <v>90</v>
      </c>
      <c r="B2131" t="b">
        <v>0</v>
      </c>
      <c r="C2131" t="s">
        <v>41110</v>
      </c>
      <c r="D2131">
        <v>1037022454355</v>
      </c>
      <c r="E2131">
        <v>1</v>
      </c>
      <c r="F2131">
        <v>6089558060</v>
      </c>
      <c r="G2131">
        <v>2750000</v>
      </c>
      <c r="H2131" t="s">
        <v>40293</v>
      </c>
      <c r="I2131">
        <v>11646</v>
      </c>
      <c r="J2131">
        <v>1</v>
      </c>
      <c r="K2131">
        <v>1</v>
      </c>
    </row>
    <row r="2132" spans="1:11">
      <c r="A2132">
        <v>90</v>
      </c>
      <c r="B2132" t="b">
        <v>0</v>
      </c>
      <c r="C2132" t="s">
        <v>40319</v>
      </c>
      <c r="D2132">
        <v>1037022454355</v>
      </c>
      <c r="E2132">
        <v>1</v>
      </c>
      <c r="F2132">
        <v>6119873639</v>
      </c>
      <c r="G2132">
        <v>2750000</v>
      </c>
      <c r="H2132" t="s">
        <v>40293</v>
      </c>
      <c r="I2132">
        <v>11646</v>
      </c>
      <c r="J2132">
        <v>2</v>
      </c>
      <c r="K2132">
        <v>2</v>
      </c>
    </row>
    <row r="2133" spans="1:11">
      <c r="A2133">
        <v>90</v>
      </c>
      <c r="B2133" t="b">
        <v>0</v>
      </c>
      <c r="C2133" t="s">
        <v>40992</v>
      </c>
      <c r="D2133">
        <v>1037022454355</v>
      </c>
      <c r="E2133">
        <v>1</v>
      </c>
      <c r="F2133">
        <v>6110297782</v>
      </c>
      <c r="G2133">
        <v>2749000</v>
      </c>
      <c r="H2133" t="s">
        <v>40293</v>
      </c>
      <c r="I2133">
        <v>11646</v>
      </c>
      <c r="J2133">
        <v>2</v>
      </c>
      <c r="K2133">
        <v>2</v>
      </c>
    </row>
    <row r="2134" spans="1:11">
      <c r="A2134">
        <v>90</v>
      </c>
      <c r="B2134" t="b">
        <v>0</v>
      </c>
      <c r="C2134" t="s">
        <v>41318</v>
      </c>
      <c r="D2134">
        <v>1037022454355</v>
      </c>
      <c r="E2134">
        <v>1</v>
      </c>
      <c r="F2134">
        <v>6077797971</v>
      </c>
      <c r="G2134">
        <v>2736000</v>
      </c>
      <c r="H2134" t="s">
        <v>40293</v>
      </c>
      <c r="I2134">
        <v>11646</v>
      </c>
      <c r="J2134">
        <v>1</v>
      </c>
      <c r="K2134">
        <v>1</v>
      </c>
    </row>
    <row r="2135" spans="1:11">
      <c r="A2135">
        <v>90</v>
      </c>
      <c r="B2135" t="b">
        <v>0</v>
      </c>
      <c r="C2135" t="s">
        <v>41235</v>
      </c>
      <c r="D2135">
        <v>1037022454355</v>
      </c>
      <c r="E2135">
        <v>1</v>
      </c>
      <c r="F2135">
        <v>6122918149</v>
      </c>
      <c r="G2135">
        <v>2732000</v>
      </c>
      <c r="H2135" t="s">
        <v>40293</v>
      </c>
      <c r="I2135">
        <v>11646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42632</v>
      </c>
      <c r="D2136">
        <v>1037022454355</v>
      </c>
      <c r="E2136">
        <v>1</v>
      </c>
      <c r="F2136">
        <v>6096276783</v>
      </c>
      <c r="G2136">
        <v>2728000</v>
      </c>
      <c r="H2136" t="s">
        <v>40293</v>
      </c>
      <c r="I2136">
        <v>11646</v>
      </c>
      <c r="J2136">
        <v>13</v>
      </c>
      <c r="K2136">
        <v>20</v>
      </c>
    </row>
    <row r="2137" spans="1:11">
      <c r="A2137">
        <v>90</v>
      </c>
      <c r="B2137" t="b">
        <v>0</v>
      </c>
      <c r="C2137" t="s">
        <v>44420</v>
      </c>
      <c r="D2137">
        <v>1037022454355</v>
      </c>
      <c r="E2137">
        <v>1</v>
      </c>
      <c r="F2137">
        <v>6105765085</v>
      </c>
      <c r="G2137">
        <v>2727000</v>
      </c>
      <c r="H2137" t="s">
        <v>40293</v>
      </c>
      <c r="I2137">
        <v>11646</v>
      </c>
      <c r="J2137">
        <v>9</v>
      </c>
      <c r="K2137">
        <v>9</v>
      </c>
    </row>
    <row r="2138" spans="1:11">
      <c r="A2138">
        <v>90</v>
      </c>
      <c r="B2138" t="b">
        <v>0</v>
      </c>
      <c r="C2138" t="s">
        <v>45990</v>
      </c>
      <c r="D2138">
        <v>1037022454355</v>
      </c>
      <c r="E2138">
        <v>1</v>
      </c>
      <c r="F2138">
        <v>6156706238</v>
      </c>
      <c r="G2138">
        <v>2726000</v>
      </c>
      <c r="H2138" t="s">
        <v>40293</v>
      </c>
      <c r="I2138">
        <v>11646</v>
      </c>
      <c r="J2138">
        <v>1</v>
      </c>
      <c r="K2138">
        <v>1</v>
      </c>
    </row>
    <row r="2139" spans="1:11">
      <c r="A2139">
        <v>90</v>
      </c>
      <c r="B2139" t="b">
        <v>0</v>
      </c>
      <c r="C2139" t="s">
        <v>40769</v>
      </c>
      <c r="D2139">
        <v>1037022454355</v>
      </c>
      <c r="E2139">
        <v>1</v>
      </c>
      <c r="F2139">
        <v>6106458563</v>
      </c>
      <c r="G2139">
        <v>2950000</v>
      </c>
      <c r="H2139" t="s">
        <v>40293</v>
      </c>
      <c r="I2139">
        <v>11648</v>
      </c>
      <c r="J2139">
        <v>1</v>
      </c>
      <c r="K2139">
        <v>1</v>
      </c>
    </row>
    <row r="2140" spans="1:11">
      <c r="A2140">
        <v>90</v>
      </c>
      <c r="B2140" t="b">
        <v>0</v>
      </c>
      <c r="C2140" t="s">
        <v>42849</v>
      </c>
      <c r="D2140">
        <v>1037022454355</v>
      </c>
      <c r="E2140">
        <v>1</v>
      </c>
      <c r="F2140">
        <v>6132628505</v>
      </c>
      <c r="G2140">
        <v>2942000</v>
      </c>
      <c r="H2140" t="s">
        <v>40293</v>
      </c>
      <c r="I2140">
        <v>11648</v>
      </c>
      <c r="J2140">
        <v>5</v>
      </c>
      <c r="K2140">
        <v>5</v>
      </c>
    </row>
    <row r="2141" spans="1:11">
      <c r="A2141">
        <v>90</v>
      </c>
      <c r="B2141" t="b">
        <v>0</v>
      </c>
      <c r="C2141" t="s">
        <v>42709</v>
      </c>
      <c r="D2141">
        <v>1037022454355</v>
      </c>
      <c r="E2141">
        <v>1</v>
      </c>
      <c r="F2141">
        <v>6106406666</v>
      </c>
      <c r="G2141">
        <v>2941000</v>
      </c>
      <c r="H2141" t="s">
        <v>40293</v>
      </c>
      <c r="I2141">
        <v>11648</v>
      </c>
      <c r="J2141">
        <v>70</v>
      </c>
      <c r="K2141">
        <v>70</v>
      </c>
    </row>
    <row r="2142" spans="1:11">
      <c r="A2142">
        <v>90</v>
      </c>
      <c r="B2142" t="b">
        <v>0</v>
      </c>
      <c r="C2142" t="s">
        <v>42744</v>
      </c>
      <c r="D2142">
        <v>1037022454355</v>
      </c>
      <c r="E2142">
        <v>1</v>
      </c>
      <c r="F2142">
        <v>6081275238</v>
      </c>
      <c r="G2142">
        <v>2940000</v>
      </c>
      <c r="H2142" t="s">
        <v>40293</v>
      </c>
      <c r="I2142">
        <v>11648</v>
      </c>
      <c r="J2142">
        <v>23</v>
      </c>
      <c r="K2142">
        <v>25</v>
      </c>
    </row>
    <row r="2143" spans="1:11">
      <c r="A2143">
        <v>90</v>
      </c>
      <c r="B2143" t="b">
        <v>0</v>
      </c>
      <c r="C2143" t="s">
        <v>45159</v>
      </c>
      <c r="D2143">
        <v>1037022454355</v>
      </c>
      <c r="E2143">
        <v>1</v>
      </c>
      <c r="F2143">
        <v>6155352634</v>
      </c>
      <c r="G2143">
        <v>2939000</v>
      </c>
      <c r="H2143" t="s">
        <v>40293</v>
      </c>
      <c r="I2143">
        <v>11648</v>
      </c>
      <c r="J2143">
        <v>1</v>
      </c>
      <c r="K2143">
        <v>1</v>
      </c>
    </row>
    <row r="2144" spans="1:11">
      <c r="A2144">
        <v>90</v>
      </c>
      <c r="B2144" t="b">
        <v>0</v>
      </c>
      <c r="C2144" t="s">
        <v>45951</v>
      </c>
      <c r="D2144">
        <v>1037022454355</v>
      </c>
      <c r="E2144">
        <v>1</v>
      </c>
      <c r="F2144">
        <v>6155526076</v>
      </c>
      <c r="G2144">
        <v>2925000</v>
      </c>
      <c r="H2144" t="s">
        <v>40293</v>
      </c>
      <c r="I2144">
        <v>11648</v>
      </c>
      <c r="J2144">
        <v>10</v>
      </c>
      <c r="K2144">
        <v>10</v>
      </c>
    </row>
    <row r="2145" spans="1:11">
      <c r="A2145">
        <v>90</v>
      </c>
      <c r="B2145" t="b">
        <v>0</v>
      </c>
      <c r="C2145" t="s">
        <v>43224</v>
      </c>
      <c r="D2145">
        <v>1037022454355</v>
      </c>
      <c r="E2145">
        <v>1</v>
      </c>
      <c r="F2145">
        <v>6145124251</v>
      </c>
      <c r="G2145">
        <v>24980</v>
      </c>
      <c r="H2145" t="s">
        <v>40293</v>
      </c>
      <c r="I2145">
        <v>11688</v>
      </c>
      <c r="J2145">
        <v>947</v>
      </c>
      <c r="K2145">
        <v>957</v>
      </c>
    </row>
    <row r="2146" spans="1:11">
      <c r="A2146">
        <v>90</v>
      </c>
      <c r="B2146" t="b">
        <v>0</v>
      </c>
      <c r="C2146" t="s">
        <v>45297</v>
      </c>
      <c r="D2146">
        <v>1037022454355</v>
      </c>
      <c r="E2146">
        <v>1</v>
      </c>
      <c r="F2146">
        <v>6093783495</v>
      </c>
      <c r="G2146">
        <v>24970</v>
      </c>
      <c r="H2146" t="s">
        <v>40293</v>
      </c>
      <c r="I2146">
        <v>11688</v>
      </c>
      <c r="J2146">
        <v>990</v>
      </c>
      <c r="K2146">
        <v>1000</v>
      </c>
    </row>
    <row r="2147" spans="1:11">
      <c r="A2147">
        <v>30</v>
      </c>
      <c r="B2147" t="b">
        <v>0</v>
      </c>
      <c r="C2147" t="s">
        <v>44835</v>
      </c>
      <c r="D2147">
        <v>1037022454355</v>
      </c>
      <c r="E2147">
        <v>1</v>
      </c>
      <c r="F2147">
        <v>6149450174</v>
      </c>
      <c r="G2147">
        <v>32000</v>
      </c>
      <c r="H2147" t="s">
        <v>40293</v>
      </c>
      <c r="I2147">
        <v>11694</v>
      </c>
      <c r="J2147">
        <v>1000</v>
      </c>
      <c r="K2147">
        <v>1000</v>
      </c>
    </row>
    <row r="2148" spans="1:11">
      <c r="A2148">
        <v>90</v>
      </c>
      <c r="B2148" t="b">
        <v>0</v>
      </c>
      <c r="C2148" t="s">
        <v>41053</v>
      </c>
      <c r="D2148">
        <v>1037022454355</v>
      </c>
      <c r="E2148">
        <v>1</v>
      </c>
      <c r="F2148">
        <v>6121603891</v>
      </c>
      <c r="G2148">
        <v>10000</v>
      </c>
      <c r="H2148" t="s">
        <v>40293</v>
      </c>
      <c r="I2148">
        <v>11736</v>
      </c>
      <c r="J2148">
        <v>7</v>
      </c>
      <c r="K2148">
        <v>7</v>
      </c>
    </row>
    <row r="2149" spans="1:11">
      <c r="A2149">
        <v>90</v>
      </c>
      <c r="B2149" t="b">
        <v>0</v>
      </c>
      <c r="C2149" t="s">
        <v>41420</v>
      </c>
      <c r="D2149">
        <v>1037022454355</v>
      </c>
      <c r="E2149">
        <v>1</v>
      </c>
      <c r="F2149">
        <v>6090395611</v>
      </c>
      <c r="G2149">
        <v>243100000</v>
      </c>
      <c r="H2149" t="s">
        <v>40293</v>
      </c>
      <c r="I2149">
        <v>11957</v>
      </c>
      <c r="J2149">
        <v>2</v>
      </c>
      <c r="K2149">
        <v>5</v>
      </c>
    </row>
    <row r="2150" spans="1:11">
      <c r="A2150">
        <v>90</v>
      </c>
      <c r="B2150" t="b">
        <v>0</v>
      </c>
      <c r="C2150" t="s">
        <v>45846</v>
      </c>
      <c r="D2150">
        <v>1037022454355</v>
      </c>
      <c r="E2150">
        <v>1</v>
      </c>
      <c r="F2150">
        <v>6150642490</v>
      </c>
      <c r="G2150">
        <v>241900000</v>
      </c>
      <c r="H2150" t="s">
        <v>40293</v>
      </c>
      <c r="I2150">
        <v>11957</v>
      </c>
      <c r="J2150">
        <v>2</v>
      </c>
      <c r="K2150">
        <v>2</v>
      </c>
    </row>
    <row r="2151" spans="1:11">
      <c r="A2151">
        <v>90</v>
      </c>
      <c r="B2151" t="b">
        <v>0</v>
      </c>
      <c r="C2151" t="s">
        <v>46200</v>
      </c>
      <c r="D2151">
        <v>1037022454355</v>
      </c>
      <c r="E2151">
        <v>1</v>
      </c>
      <c r="F2151">
        <v>6092647831</v>
      </c>
      <c r="G2151">
        <v>239900000</v>
      </c>
      <c r="H2151" t="s">
        <v>40293</v>
      </c>
      <c r="I2151">
        <v>11957</v>
      </c>
      <c r="J2151">
        <v>7</v>
      </c>
      <c r="K2151">
        <v>8</v>
      </c>
    </row>
    <row r="2152" spans="1:11">
      <c r="A2152">
        <v>90</v>
      </c>
      <c r="B2152" t="b">
        <v>0</v>
      </c>
      <c r="C2152" t="s">
        <v>45324</v>
      </c>
      <c r="D2152">
        <v>1037022454355</v>
      </c>
      <c r="E2152">
        <v>1</v>
      </c>
      <c r="F2152">
        <v>6153388875</v>
      </c>
      <c r="G2152">
        <v>239000000</v>
      </c>
      <c r="H2152" t="s">
        <v>40293</v>
      </c>
      <c r="I2152">
        <v>11957</v>
      </c>
      <c r="J2152">
        <v>2</v>
      </c>
      <c r="K2152">
        <v>2</v>
      </c>
    </row>
    <row r="2153" spans="1:11">
      <c r="A2153">
        <v>90</v>
      </c>
      <c r="B2153" t="b">
        <v>0</v>
      </c>
      <c r="C2153" t="s">
        <v>44782</v>
      </c>
      <c r="D2153">
        <v>1037022454355</v>
      </c>
      <c r="E2153">
        <v>1</v>
      </c>
      <c r="F2153">
        <v>6156101339</v>
      </c>
      <c r="G2153">
        <v>238000000</v>
      </c>
      <c r="H2153" t="s">
        <v>40293</v>
      </c>
      <c r="I2153">
        <v>11957</v>
      </c>
      <c r="J2153">
        <v>2</v>
      </c>
      <c r="K2153">
        <v>2</v>
      </c>
    </row>
    <row r="2154" spans="1:11">
      <c r="A2154">
        <v>90</v>
      </c>
      <c r="B2154" t="b">
        <v>0</v>
      </c>
      <c r="C2154" t="s">
        <v>45421</v>
      </c>
      <c r="D2154">
        <v>1037022454355</v>
      </c>
      <c r="E2154">
        <v>1</v>
      </c>
      <c r="F2154">
        <v>6156994485</v>
      </c>
      <c r="G2154">
        <v>237100000</v>
      </c>
      <c r="H2154" t="s">
        <v>40293</v>
      </c>
      <c r="I2154">
        <v>11957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45949</v>
      </c>
      <c r="D2155">
        <v>1037022454355</v>
      </c>
      <c r="E2155">
        <v>1</v>
      </c>
      <c r="F2155">
        <v>6150643620</v>
      </c>
      <c r="G2155">
        <v>275000000</v>
      </c>
      <c r="H2155" t="s">
        <v>40293</v>
      </c>
      <c r="I2155">
        <v>11959</v>
      </c>
      <c r="J2155">
        <v>2</v>
      </c>
      <c r="K2155">
        <v>2</v>
      </c>
    </row>
    <row r="2156" spans="1:11">
      <c r="A2156">
        <v>90</v>
      </c>
      <c r="B2156" t="b">
        <v>0</v>
      </c>
      <c r="C2156" t="s">
        <v>45665</v>
      </c>
      <c r="D2156">
        <v>1037022454355</v>
      </c>
      <c r="E2156">
        <v>1</v>
      </c>
      <c r="F2156">
        <v>6148117326</v>
      </c>
      <c r="G2156">
        <v>248000000</v>
      </c>
      <c r="H2156" t="s">
        <v>40293</v>
      </c>
      <c r="I2156">
        <v>11961</v>
      </c>
      <c r="J2156">
        <v>2</v>
      </c>
      <c r="K2156">
        <v>2</v>
      </c>
    </row>
    <row r="2157" spans="1:11">
      <c r="A2157">
        <v>90</v>
      </c>
      <c r="B2157" t="b">
        <v>0</v>
      </c>
      <c r="C2157" t="s">
        <v>40492</v>
      </c>
      <c r="D2157">
        <v>1037022454355</v>
      </c>
      <c r="E2157">
        <v>1</v>
      </c>
      <c r="F2157">
        <v>6078567034</v>
      </c>
      <c r="G2157">
        <v>266700000</v>
      </c>
      <c r="H2157" t="s">
        <v>40293</v>
      </c>
      <c r="I2157">
        <v>11963</v>
      </c>
      <c r="J2157">
        <v>1</v>
      </c>
      <c r="K2157">
        <v>1</v>
      </c>
    </row>
    <row r="2158" spans="1:11">
      <c r="A2158">
        <v>90</v>
      </c>
      <c r="B2158" t="b">
        <v>0</v>
      </c>
      <c r="C2158" t="s">
        <v>42020</v>
      </c>
      <c r="D2158">
        <v>1037022454355</v>
      </c>
      <c r="E2158">
        <v>1</v>
      </c>
      <c r="F2158">
        <v>6130993939</v>
      </c>
      <c r="G2158">
        <v>255000000</v>
      </c>
      <c r="H2158" t="s">
        <v>40293</v>
      </c>
      <c r="I2158">
        <v>11963</v>
      </c>
      <c r="J2158">
        <v>1</v>
      </c>
      <c r="K2158">
        <v>1</v>
      </c>
    </row>
    <row r="2159" spans="1:11">
      <c r="A2159">
        <v>90</v>
      </c>
      <c r="B2159" t="b">
        <v>0</v>
      </c>
      <c r="C2159" t="s">
        <v>41693</v>
      </c>
      <c r="D2159">
        <v>1037022454355</v>
      </c>
      <c r="E2159">
        <v>1</v>
      </c>
      <c r="F2159">
        <v>6098156149</v>
      </c>
      <c r="G2159">
        <v>255000000</v>
      </c>
      <c r="H2159" t="s">
        <v>40293</v>
      </c>
      <c r="I2159">
        <v>11963</v>
      </c>
      <c r="J2159">
        <v>4</v>
      </c>
      <c r="K2159">
        <v>4</v>
      </c>
    </row>
    <row r="2160" spans="1:11">
      <c r="A2160">
        <v>90</v>
      </c>
      <c r="B2160" t="b">
        <v>0</v>
      </c>
      <c r="C2160" t="s">
        <v>40890</v>
      </c>
      <c r="D2160">
        <v>1037022454355</v>
      </c>
      <c r="E2160">
        <v>1</v>
      </c>
      <c r="F2160">
        <v>6124287481</v>
      </c>
      <c r="G2160">
        <v>254900000</v>
      </c>
      <c r="H2160" t="s">
        <v>40293</v>
      </c>
      <c r="I2160">
        <v>11963</v>
      </c>
      <c r="J2160">
        <v>3</v>
      </c>
      <c r="K2160">
        <v>3</v>
      </c>
    </row>
    <row r="2161" spans="1:11">
      <c r="A2161">
        <v>90</v>
      </c>
      <c r="B2161" t="b">
        <v>0</v>
      </c>
      <c r="C2161" t="s">
        <v>44162</v>
      </c>
      <c r="D2161">
        <v>1037022454355</v>
      </c>
      <c r="E2161">
        <v>1</v>
      </c>
      <c r="F2161">
        <v>6156191401</v>
      </c>
      <c r="G2161">
        <v>254800000</v>
      </c>
      <c r="H2161" t="s">
        <v>40293</v>
      </c>
      <c r="I2161">
        <v>11963</v>
      </c>
      <c r="J2161">
        <v>1</v>
      </c>
      <c r="K2161">
        <v>1</v>
      </c>
    </row>
    <row r="2162" spans="1:11">
      <c r="A2162">
        <v>90</v>
      </c>
      <c r="B2162" t="b">
        <v>0</v>
      </c>
      <c r="C2162" t="s">
        <v>41197</v>
      </c>
      <c r="D2162">
        <v>1037022454355</v>
      </c>
      <c r="E2162">
        <v>1</v>
      </c>
      <c r="F2162">
        <v>6090509942</v>
      </c>
      <c r="G2162">
        <v>300000000</v>
      </c>
      <c r="H2162" t="s">
        <v>40293</v>
      </c>
      <c r="I2162">
        <v>11965</v>
      </c>
      <c r="J2162">
        <v>1</v>
      </c>
      <c r="K2162">
        <v>1</v>
      </c>
    </row>
    <row r="2163" spans="1:11">
      <c r="A2163">
        <v>90</v>
      </c>
      <c r="B2163" t="b">
        <v>0</v>
      </c>
      <c r="C2163" t="s">
        <v>41789</v>
      </c>
      <c r="D2163">
        <v>1037022454355</v>
      </c>
      <c r="E2163">
        <v>1</v>
      </c>
      <c r="F2163">
        <v>6127089320</v>
      </c>
      <c r="G2163">
        <v>244800000</v>
      </c>
      <c r="H2163" t="s">
        <v>40293</v>
      </c>
      <c r="I2163">
        <v>11965</v>
      </c>
      <c r="J2163">
        <v>1</v>
      </c>
      <c r="K2163">
        <v>1</v>
      </c>
    </row>
    <row r="2164" spans="1:11">
      <c r="A2164">
        <v>90</v>
      </c>
      <c r="B2164" t="b">
        <v>0</v>
      </c>
      <c r="C2164" t="s">
        <v>42857</v>
      </c>
      <c r="D2164">
        <v>1037022454355</v>
      </c>
      <c r="E2164">
        <v>1</v>
      </c>
      <c r="F2164">
        <v>6134710135</v>
      </c>
      <c r="G2164">
        <v>244700000</v>
      </c>
      <c r="H2164" t="s">
        <v>40293</v>
      </c>
      <c r="I2164">
        <v>11965</v>
      </c>
      <c r="J2164">
        <v>1</v>
      </c>
      <c r="K2164">
        <v>2</v>
      </c>
    </row>
    <row r="2165" spans="1:11">
      <c r="A2165">
        <v>90</v>
      </c>
      <c r="B2165" t="b">
        <v>0</v>
      </c>
      <c r="C2165" t="s">
        <v>46247</v>
      </c>
      <c r="D2165">
        <v>1037022454355</v>
      </c>
      <c r="E2165">
        <v>1</v>
      </c>
      <c r="F2165">
        <v>6092648570</v>
      </c>
      <c r="G2165">
        <v>244600000</v>
      </c>
      <c r="H2165" t="s">
        <v>40293</v>
      </c>
      <c r="I2165">
        <v>11965</v>
      </c>
      <c r="J2165">
        <v>1</v>
      </c>
      <c r="K2165">
        <v>1</v>
      </c>
    </row>
    <row r="2166" spans="1:11">
      <c r="A2166">
        <v>90</v>
      </c>
      <c r="B2166" t="b">
        <v>0</v>
      </c>
      <c r="C2166" t="s">
        <v>45331</v>
      </c>
      <c r="D2166">
        <v>1037022454355</v>
      </c>
      <c r="E2166">
        <v>1</v>
      </c>
      <c r="F2166">
        <v>6153388957</v>
      </c>
      <c r="G2166">
        <v>244000000</v>
      </c>
      <c r="H2166" t="s">
        <v>40293</v>
      </c>
      <c r="I2166">
        <v>11965</v>
      </c>
      <c r="J2166">
        <v>1</v>
      </c>
      <c r="K2166">
        <v>1</v>
      </c>
    </row>
    <row r="2167" spans="1:11">
      <c r="A2167">
        <v>90</v>
      </c>
      <c r="B2167" t="b">
        <v>0</v>
      </c>
      <c r="C2167" t="s">
        <v>44714</v>
      </c>
      <c r="D2167">
        <v>1037022454355</v>
      </c>
      <c r="E2167">
        <v>1</v>
      </c>
      <c r="F2167">
        <v>6154921003</v>
      </c>
      <c r="G2167">
        <v>250000000</v>
      </c>
      <c r="H2167" t="s">
        <v>40293</v>
      </c>
      <c r="I2167">
        <v>11969</v>
      </c>
      <c r="J2167">
        <v>1</v>
      </c>
      <c r="K2167">
        <v>1</v>
      </c>
    </row>
    <row r="2168" spans="1:11">
      <c r="A2168">
        <v>90</v>
      </c>
      <c r="B2168" t="b">
        <v>0</v>
      </c>
      <c r="C2168" t="s">
        <v>41359</v>
      </c>
      <c r="D2168">
        <v>1037022454355</v>
      </c>
      <c r="E2168">
        <v>1</v>
      </c>
      <c r="F2168">
        <v>6107978066</v>
      </c>
      <c r="G2168">
        <v>270000000</v>
      </c>
      <c r="H2168" t="s">
        <v>40293</v>
      </c>
      <c r="I2168">
        <v>11971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45129</v>
      </c>
      <c r="D2169">
        <v>1037022454355</v>
      </c>
      <c r="E2169">
        <v>1</v>
      </c>
      <c r="F2169">
        <v>6145646254</v>
      </c>
      <c r="G2169">
        <v>264600000</v>
      </c>
      <c r="H2169" t="s">
        <v>40293</v>
      </c>
      <c r="I2169">
        <v>11971</v>
      </c>
      <c r="J2169">
        <v>1</v>
      </c>
      <c r="K2169">
        <v>1</v>
      </c>
    </row>
    <row r="2170" spans="1:11">
      <c r="A2170">
        <v>90</v>
      </c>
      <c r="B2170" t="b">
        <v>0</v>
      </c>
      <c r="C2170" t="s">
        <v>45290</v>
      </c>
      <c r="D2170">
        <v>1037022454355</v>
      </c>
      <c r="E2170">
        <v>1</v>
      </c>
      <c r="F2170">
        <v>6152012115</v>
      </c>
      <c r="G2170">
        <v>246300000</v>
      </c>
      <c r="H2170" t="s">
        <v>40293</v>
      </c>
      <c r="I2170">
        <v>11971</v>
      </c>
      <c r="J2170">
        <v>4</v>
      </c>
      <c r="K2170">
        <v>4</v>
      </c>
    </row>
    <row r="2171" spans="1:11">
      <c r="A2171">
        <v>30</v>
      </c>
      <c r="B2171" t="b">
        <v>0</v>
      </c>
      <c r="C2171" t="s">
        <v>44558</v>
      </c>
      <c r="D2171">
        <v>1037022454355</v>
      </c>
      <c r="E2171">
        <v>1</v>
      </c>
      <c r="F2171">
        <v>6140239012</v>
      </c>
      <c r="G2171">
        <v>246200000</v>
      </c>
      <c r="H2171" t="s">
        <v>40293</v>
      </c>
      <c r="I2171">
        <v>11971</v>
      </c>
      <c r="J2171">
        <v>1</v>
      </c>
      <c r="K2171">
        <v>2</v>
      </c>
    </row>
    <row r="2172" spans="1:11">
      <c r="A2172">
        <v>90</v>
      </c>
      <c r="B2172" t="b">
        <v>0</v>
      </c>
      <c r="C2172" t="s">
        <v>41547</v>
      </c>
      <c r="D2172">
        <v>1037022454355</v>
      </c>
      <c r="E2172">
        <v>1</v>
      </c>
      <c r="F2172">
        <v>6123022186</v>
      </c>
      <c r="G2172">
        <v>210000000</v>
      </c>
      <c r="H2172" t="s">
        <v>40293</v>
      </c>
      <c r="I2172">
        <v>11978</v>
      </c>
      <c r="J2172">
        <v>9</v>
      </c>
      <c r="K2172">
        <v>9</v>
      </c>
    </row>
    <row r="2173" spans="1:11">
      <c r="A2173">
        <v>90</v>
      </c>
      <c r="B2173" t="b">
        <v>0</v>
      </c>
      <c r="C2173" t="s">
        <v>43874</v>
      </c>
      <c r="D2173">
        <v>1037022454355</v>
      </c>
      <c r="E2173">
        <v>1</v>
      </c>
      <c r="F2173">
        <v>6138696559</v>
      </c>
      <c r="G2173">
        <v>209000000</v>
      </c>
      <c r="H2173" t="s">
        <v>40293</v>
      </c>
      <c r="I2173">
        <v>11978</v>
      </c>
      <c r="J2173">
        <v>14</v>
      </c>
      <c r="K2173">
        <v>14</v>
      </c>
    </row>
    <row r="2174" spans="1:11">
      <c r="A2174">
        <v>90</v>
      </c>
      <c r="B2174" t="b">
        <v>0</v>
      </c>
      <c r="C2174" t="s">
        <v>42915</v>
      </c>
      <c r="D2174">
        <v>1037022454355</v>
      </c>
      <c r="E2174">
        <v>1</v>
      </c>
      <c r="F2174">
        <v>6139151234</v>
      </c>
      <c r="G2174">
        <v>200000000</v>
      </c>
      <c r="H2174" t="s">
        <v>40293</v>
      </c>
      <c r="I2174">
        <v>11978</v>
      </c>
      <c r="J2174">
        <v>4</v>
      </c>
      <c r="K2174">
        <v>5</v>
      </c>
    </row>
    <row r="2175" spans="1:11">
      <c r="A2175">
        <v>90</v>
      </c>
      <c r="B2175" t="b">
        <v>0</v>
      </c>
      <c r="C2175" t="s">
        <v>41722</v>
      </c>
      <c r="D2175">
        <v>1037022454355</v>
      </c>
      <c r="E2175">
        <v>1</v>
      </c>
      <c r="F2175">
        <v>6069812335</v>
      </c>
      <c r="G2175">
        <v>185000000</v>
      </c>
      <c r="H2175" t="s">
        <v>40293</v>
      </c>
      <c r="I2175">
        <v>11985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42433</v>
      </c>
      <c r="D2176">
        <v>1037022454355</v>
      </c>
      <c r="E2176">
        <v>1</v>
      </c>
      <c r="F2176">
        <v>6067823928</v>
      </c>
      <c r="G2176">
        <v>184000000</v>
      </c>
      <c r="H2176" t="s">
        <v>40293</v>
      </c>
      <c r="I2176">
        <v>11985</v>
      </c>
      <c r="J2176">
        <v>3</v>
      </c>
      <c r="K2176">
        <v>9</v>
      </c>
    </row>
    <row r="2177" spans="1:11">
      <c r="A2177">
        <v>90</v>
      </c>
      <c r="B2177" t="b">
        <v>0</v>
      </c>
      <c r="C2177" t="s">
        <v>46463</v>
      </c>
      <c r="D2177">
        <v>1037022454355</v>
      </c>
      <c r="E2177">
        <v>1</v>
      </c>
      <c r="F2177">
        <v>6152027070</v>
      </c>
      <c r="G2177">
        <v>200000000</v>
      </c>
      <c r="H2177" t="s">
        <v>40293</v>
      </c>
      <c r="I2177">
        <v>11987</v>
      </c>
      <c r="J2177">
        <v>8</v>
      </c>
      <c r="K2177">
        <v>10</v>
      </c>
    </row>
    <row r="2178" spans="1:11">
      <c r="A2178">
        <v>90</v>
      </c>
      <c r="B2178" t="b">
        <v>0</v>
      </c>
      <c r="C2178" t="s">
        <v>43249</v>
      </c>
      <c r="D2178">
        <v>1037022454355</v>
      </c>
      <c r="E2178">
        <v>1</v>
      </c>
      <c r="F2178">
        <v>6140504469</v>
      </c>
      <c r="G2178">
        <v>170000000</v>
      </c>
      <c r="H2178" t="s">
        <v>40293</v>
      </c>
      <c r="I2178">
        <v>11989</v>
      </c>
      <c r="J2178">
        <v>1</v>
      </c>
      <c r="K2178">
        <v>1</v>
      </c>
    </row>
    <row r="2179" spans="1:11">
      <c r="A2179">
        <v>90</v>
      </c>
      <c r="B2179" t="b">
        <v>0</v>
      </c>
      <c r="C2179" t="s">
        <v>43271</v>
      </c>
      <c r="D2179">
        <v>1037022454355</v>
      </c>
      <c r="E2179">
        <v>1</v>
      </c>
      <c r="F2179">
        <v>6141946682</v>
      </c>
      <c r="G2179">
        <v>227900000</v>
      </c>
      <c r="H2179" t="s">
        <v>40293</v>
      </c>
      <c r="I2179">
        <v>11993</v>
      </c>
      <c r="J2179">
        <v>1</v>
      </c>
      <c r="K2179">
        <v>1</v>
      </c>
    </row>
    <row r="2180" spans="1:11">
      <c r="A2180">
        <v>90</v>
      </c>
      <c r="B2180" t="b">
        <v>0</v>
      </c>
      <c r="C2180" t="s">
        <v>43929</v>
      </c>
      <c r="D2180">
        <v>1037022454355</v>
      </c>
      <c r="E2180">
        <v>1</v>
      </c>
      <c r="F2180">
        <v>6142956418</v>
      </c>
      <c r="G2180">
        <v>227800000</v>
      </c>
      <c r="H2180" t="s">
        <v>40293</v>
      </c>
      <c r="I2180">
        <v>11993</v>
      </c>
      <c r="J2180">
        <v>1</v>
      </c>
      <c r="K2180">
        <v>1</v>
      </c>
    </row>
    <row r="2181" spans="1:11">
      <c r="A2181">
        <v>90</v>
      </c>
      <c r="B2181" t="b">
        <v>0</v>
      </c>
      <c r="C2181" t="s">
        <v>45171</v>
      </c>
      <c r="D2181">
        <v>1037022454355</v>
      </c>
      <c r="E2181">
        <v>1</v>
      </c>
      <c r="F2181">
        <v>6139132579</v>
      </c>
      <c r="G2181">
        <v>227000000</v>
      </c>
      <c r="H2181" t="s">
        <v>40293</v>
      </c>
      <c r="I2181">
        <v>11993</v>
      </c>
      <c r="J2181">
        <v>1</v>
      </c>
      <c r="K2181">
        <v>1</v>
      </c>
    </row>
    <row r="2182" spans="1:11">
      <c r="A2182">
        <v>90</v>
      </c>
      <c r="B2182" t="b">
        <v>0</v>
      </c>
      <c r="C2182" t="s">
        <v>45380</v>
      </c>
      <c r="D2182">
        <v>1037022454355</v>
      </c>
      <c r="E2182">
        <v>1</v>
      </c>
      <c r="F2182">
        <v>6153389457</v>
      </c>
      <c r="G2182">
        <v>225000000</v>
      </c>
      <c r="H2182" t="s">
        <v>40293</v>
      </c>
      <c r="I2182">
        <v>11993</v>
      </c>
      <c r="J2182">
        <v>1</v>
      </c>
      <c r="K2182">
        <v>1</v>
      </c>
    </row>
    <row r="2183" spans="1:11">
      <c r="A2183">
        <v>90</v>
      </c>
      <c r="B2183" t="b">
        <v>0</v>
      </c>
      <c r="C2183" t="s">
        <v>44931</v>
      </c>
      <c r="D2183">
        <v>1037022454355</v>
      </c>
      <c r="E2183">
        <v>1</v>
      </c>
      <c r="F2183">
        <v>6151057062</v>
      </c>
      <c r="G2183">
        <v>220000000</v>
      </c>
      <c r="H2183" t="s">
        <v>40293</v>
      </c>
      <c r="I2183">
        <v>11993</v>
      </c>
      <c r="J2183">
        <v>1</v>
      </c>
      <c r="K2183">
        <v>1</v>
      </c>
    </row>
    <row r="2184" spans="1:11">
      <c r="A2184">
        <v>90</v>
      </c>
      <c r="B2184" t="b">
        <v>0</v>
      </c>
      <c r="C2184" t="s">
        <v>44069</v>
      </c>
      <c r="D2184">
        <v>1037022454355</v>
      </c>
      <c r="E2184">
        <v>1</v>
      </c>
      <c r="F2184">
        <v>6156583349</v>
      </c>
      <c r="G2184">
        <v>170300000</v>
      </c>
      <c r="H2184" t="s">
        <v>40293</v>
      </c>
      <c r="I2184">
        <v>11993</v>
      </c>
      <c r="J2184">
        <v>1</v>
      </c>
      <c r="K2184">
        <v>1</v>
      </c>
    </row>
    <row r="2185" spans="1:11">
      <c r="A2185">
        <v>90</v>
      </c>
      <c r="B2185" t="b">
        <v>0</v>
      </c>
      <c r="C2185" t="s">
        <v>42692</v>
      </c>
      <c r="D2185">
        <v>1037022454355</v>
      </c>
      <c r="E2185">
        <v>1</v>
      </c>
      <c r="F2185">
        <v>6132980410</v>
      </c>
      <c r="G2185">
        <v>380000000</v>
      </c>
      <c r="H2185" t="s">
        <v>40293</v>
      </c>
      <c r="I2185">
        <v>11995</v>
      </c>
      <c r="J2185">
        <v>1</v>
      </c>
      <c r="K2185">
        <v>1</v>
      </c>
    </row>
    <row r="2186" spans="1:11">
      <c r="A2186">
        <v>90</v>
      </c>
      <c r="B2186" t="b">
        <v>0</v>
      </c>
      <c r="C2186" t="s">
        <v>41543</v>
      </c>
      <c r="D2186">
        <v>1037022454355</v>
      </c>
      <c r="E2186">
        <v>1</v>
      </c>
      <c r="F2186">
        <v>6124497939</v>
      </c>
      <c r="G2186">
        <v>370000000</v>
      </c>
      <c r="H2186" t="s">
        <v>40293</v>
      </c>
      <c r="I2186">
        <v>11995</v>
      </c>
      <c r="J2186">
        <v>1</v>
      </c>
      <c r="K2186">
        <v>1</v>
      </c>
    </row>
    <row r="2187" spans="1:11">
      <c r="A2187">
        <v>90</v>
      </c>
      <c r="B2187" t="b">
        <v>0</v>
      </c>
      <c r="C2187" t="s">
        <v>45531</v>
      </c>
      <c r="D2187">
        <v>1037022454355</v>
      </c>
      <c r="E2187">
        <v>1</v>
      </c>
      <c r="F2187">
        <v>6153391277</v>
      </c>
      <c r="G2187">
        <v>350000000</v>
      </c>
      <c r="H2187" t="s">
        <v>40293</v>
      </c>
      <c r="I2187">
        <v>11995</v>
      </c>
      <c r="J2187">
        <v>1</v>
      </c>
      <c r="K2187">
        <v>1</v>
      </c>
    </row>
    <row r="2188" spans="1:11">
      <c r="A2188">
        <v>90</v>
      </c>
      <c r="B2188" t="b">
        <v>0</v>
      </c>
      <c r="C2188" t="s">
        <v>43430</v>
      </c>
      <c r="D2188">
        <v>1037022454355</v>
      </c>
      <c r="E2188">
        <v>1</v>
      </c>
      <c r="F2188">
        <v>6145646399</v>
      </c>
      <c r="G2188">
        <v>275000000</v>
      </c>
      <c r="H2188" t="s">
        <v>40293</v>
      </c>
      <c r="I2188">
        <v>12003</v>
      </c>
      <c r="J2188">
        <v>1</v>
      </c>
      <c r="K2188">
        <v>1</v>
      </c>
    </row>
    <row r="2189" spans="1:11">
      <c r="A2189">
        <v>90</v>
      </c>
      <c r="B2189" t="b">
        <v>0</v>
      </c>
      <c r="C2189" t="s">
        <v>43815</v>
      </c>
      <c r="D2189">
        <v>1037022454355</v>
      </c>
      <c r="E2189">
        <v>1</v>
      </c>
      <c r="F2189">
        <v>6139637077</v>
      </c>
      <c r="G2189">
        <v>289100000</v>
      </c>
      <c r="H2189" t="s">
        <v>40293</v>
      </c>
      <c r="I2189">
        <v>12005</v>
      </c>
      <c r="J2189">
        <v>24</v>
      </c>
      <c r="K2189">
        <v>24</v>
      </c>
    </row>
    <row r="2190" spans="1:11">
      <c r="A2190">
        <v>90</v>
      </c>
      <c r="B2190" t="b">
        <v>0</v>
      </c>
      <c r="C2190" t="s">
        <v>43817</v>
      </c>
      <c r="D2190">
        <v>1037022454355</v>
      </c>
      <c r="E2190">
        <v>1</v>
      </c>
      <c r="F2190">
        <v>6141242752</v>
      </c>
      <c r="G2190">
        <v>289000000</v>
      </c>
      <c r="H2190" t="s">
        <v>40293</v>
      </c>
      <c r="I2190">
        <v>12005</v>
      </c>
      <c r="J2190">
        <v>1</v>
      </c>
      <c r="K2190">
        <v>1</v>
      </c>
    </row>
    <row r="2191" spans="1:11">
      <c r="A2191">
        <v>90</v>
      </c>
      <c r="B2191" t="b">
        <v>0</v>
      </c>
      <c r="C2191" t="s">
        <v>43773</v>
      </c>
      <c r="D2191">
        <v>1037022454355</v>
      </c>
      <c r="E2191">
        <v>1</v>
      </c>
      <c r="F2191">
        <v>6139799793</v>
      </c>
      <c r="G2191">
        <v>250000000</v>
      </c>
      <c r="H2191" t="s">
        <v>40293</v>
      </c>
      <c r="I2191">
        <v>12005</v>
      </c>
      <c r="J2191">
        <v>6</v>
      </c>
      <c r="K2191">
        <v>10</v>
      </c>
    </row>
    <row r="2192" spans="1:11">
      <c r="A2192">
        <v>90</v>
      </c>
      <c r="B2192" t="b">
        <v>0</v>
      </c>
      <c r="C2192" t="s">
        <v>43099</v>
      </c>
      <c r="D2192">
        <v>1037022454355</v>
      </c>
      <c r="E2192">
        <v>1</v>
      </c>
      <c r="F2192">
        <v>6142826968</v>
      </c>
      <c r="G2192">
        <v>245300000</v>
      </c>
      <c r="H2192" t="s">
        <v>40293</v>
      </c>
      <c r="I2192">
        <v>12005</v>
      </c>
      <c r="J2192">
        <v>4</v>
      </c>
      <c r="K2192">
        <v>4</v>
      </c>
    </row>
    <row r="2193" spans="1:11">
      <c r="A2193">
        <v>90</v>
      </c>
      <c r="B2193" t="b">
        <v>0</v>
      </c>
      <c r="C2193" t="s">
        <v>43789</v>
      </c>
      <c r="D2193">
        <v>1037022454355</v>
      </c>
      <c r="E2193">
        <v>1</v>
      </c>
      <c r="F2193">
        <v>6141602410</v>
      </c>
      <c r="G2193">
        <v>235800000</v>
      </c>
      <c r="H2193" t="s">
        <v>40293</v>
      </c>
      <c r="I2193">
        <v>12005</v>
      </c>
      <c r="J2193">
        <v>2</v>
      </c>
      <c r="K2193">
        <v>2</v>
      </c>
    </row>
    <row r="2194" spans="1:11">
      <c r="A2194">
        <v>90</v>
      </c>
      <c r="B2194" t="b">
        <v>0</v>
      </c>
      <c r="C2194" t="s">
        <v>43819</v>
      </c>
      <c r="D2194">
        <v>1037022454355</v>
      </c>
      <c r="E2194">
        <v>1</v>
      </c>
      <c r="F2194">
        <v>6145699242</v>
      </c>
      <c r="G2194">
        <v>235600000</v>
      </c>
      <c r="H2194" t="s">
        <v>40293</v>
      </c>
      <c r="I2194">
        <v>12005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43463</v>
      </c>
      <c r="D2195">
        <v>1037022454355</v>
      </c>
      <c r="E2195">
        <v>1</v>
      </c>
      <c r="F2195">
        <v>6145949373</v>
      </c>
      <c r="G2195">
        <v>230000000</v>
      </c>
      <c r="H2195" t="s">
        <v>40293</v>
      </c>
      <c r="I2195">
        <v>12005</v>
      </c>
      <c r="J2195">
        <v>3</v>
      </c>
      <c r="K2195">
        <v>4</v>
      </c>
    </row>
    <row r="2196" spans="1:11">
      <c r="A2196">
        <v>90</v>
      </c>
      <c r="B2196" t="b">
        <v>0</v>
      </c>
      <c r="C2196" t="s">
        <v>45715</v>
      </c>
      <c r="D2196">
        <v>1037022454355</v>
      </c>
      <c r="E2196">
        <v>1</v>
      </c>
      <c r="F2196">
        <v>6144972226</v>
      </c>
      <c r="G2196">
        <v>224800000</v>
      </c>
      <c r="H2196" t="s">
        <v>40293</v>
      </c>
      <c r="I2196">
        <v>12005</v>
      </c>
      <c r="J2196">
        <v>1</v>
      </c>
      <c r="K2196">
        <v>2</v>
      </c>
    </row>
    <row r="2197" spans="1:11">
      <c r="A2197">
        <v>90</v>
      </c>
      <c r="B2197" t="b">
        <v>0</v>
      </c>
      <c r="C2197" t="s">
        <v>46095</v>
      </c>
      <c r="D2197">
        <v>1037022454355</v>
      </c>
      <c r="E2197">
        <v>1</v>
      </c>
      <c r="F2197">
        <v>6152677255</v>
      </c>
      <c r="G2197">
        <v>224600000</v>
      </c>
      <c r="H2197" t="s">
        <v>40293</v>
      </c>
      <c r="I2197">
        <v>12005</v>
      </c>
      <c r="J2197">
        <v>3</v>
      </c>
      <c r="K2197">
        <v>3</v>
      </c>
    </row>
    <row r="2198" spans="1:11">
      <c r="A2198">
        <v>90</v>
      </c>
      <c r="B2198" t="b">
        <v>0</v>
      </c>
      <c r="C2198" t="s">
        <v>46096</v>
      </c>
      <c r="D2198">
        <v>1037022454355</v>
      </c>
      <c r="E2198">
        <v>1</v>
      </c>
      <c r="F2198">
        <v>6152677256</v>
      </c>
      <c r="G2198">
        <v>224600000</v>
      </c>
      <c r="H2198" t="s">
        <v>40293</v>
      </c>
      <c r="I2198">
        <v>12005</v>
      </c>
      <c r="J2198">
        <v>25</v>
      </c>
      <c r="K2198">
        <v>25</v>
      </c>
    </row>
    <row r="2199" spans="1:11">
      <c r="A2199">
        <v>90</v>
      </c>
      <c r="B2199" t="b">
        <v>0</v>
      </c>
      <c r="C2199" t="s">
        <v>45086</v>
      </c>
      <c r="D2199">
        <v>1037022454355</v>
      </c>
      <c r="E2199">
        <v>1</v>
      </c>
      <c r="F2199">
        <v>6152566217</v>
      </c>
      <c r="G2199">
        <v>220000000</v>
      </c>
      <c r="H2199" t="s">
        <v>40293</v>
      </c>
      <c r="I2199">
        <v>12005</v>
      </c>
      <c r="J2199">
        <v>25</v>
      </c>
      <c r="K2199">
        <v>30</v>
      </c>
    </row>
    <row r="2200" spans="1:11">
      <c r="A2200">
        <v>90</v>
      </c>
      <c r="B2200" t="b">
        <v>0</v>
      </c>
      <c r="C2200" t="s">
        <v>44069</v>
      </c>
      <c r="D2200">
        <v>1037022454355</v>
      </c>
      <c r="E2200">
        <v>1</v>
      </c>
      <c r="F2200">
        <v>6156583350</v>
      </c>
      <c r="G2200">
        <v>217600000</v>
      </c>
      <c r="H2200" t="s">
        <v>40293</v>
      </c>
      <c r="I2200">
        <v>12005</v>
      </c>
      <c r="J2200">
        <v>1</v>
      </c>
      <c r="K2200">
        <v>1</v>
      </c>
    </row>
    <row r="2201" spans="1:11">
      <c r="A2201">
        <v>3</v>
      </c>
      <c r="B2201" t="b">
        <v>0</v>
      </c>
      <c r="C2201" t="s">
        <v>45570</v>
      </c>
      <c r="D2201">
        <v>1037022454355</v>
      </c>
      <c r="E2201">
        <v>1</v>
      </c>
      <c r="F2201">
        <v>6157553192</v>
      </c>
      <c r="G2201">
        <v>216900000</v>
      </c>
      <c r="H2201" t="s">
        <v>40293</v>
      </c>
      <c r="I2201">
        <v>12005</v>
      </c>
      <c r="J2201">
        <v>1</v>
      </c>
      <c r="K2201">
        <v>1</v>
      </c>
    </row>
    <row r="2202" spans="1:11">
      <c r="A2202">
        <v>90</v>
      </c>
      <c r="B2202" t="b">
        <v>0</v>
      </c>
      <c r="C2202" t="s">
        <v>41283</v>
      </c>
      <c r="D2202">
        <v>1037022454355</v>
      </c>
      <c r="E2202">
        <v>1</v>
      </c>
      <c r="F2202">
        <v>6101161013</v>
      </c>
      <c r="G2202">
        <v>199900000</v>
      </c>
      <c r="H2202" t="s">
        <v>40293</v>
      </c>
      <c r="I2202">
        <v>12011</v>
      </c>
      <c r="J2202">
        <v>3</v>
      </c>
      <c r="K2202">
        <v>3</v>
      </c>
    </row>
    <row r="2203" spans="1:11">
      <c r="A2203">
        <v>90</v>
      </c>
      <c r="B2203" t="b">
        <v>0</v>
      </c>
      <c r="C2203" t="s">
        <v>43024</v>
      </c>
      <c r="D2203">
        <v>1037022454355</v>
      </c>
      <c r="E2203">
        <v>1</v>
      </c>
      <c r="F2203">
        <v>6138696210</v>
      </c>
      <c r="G2203">
        <v>195000000</v>
      </c>
      <c r="H2203" t="s">
        <v>40293</v>
      </c>
      <c r="I2203">
        <v>12011</v>
      </c>
      <c r="J2203">
        <v>11</v>
      </c>
      <c r="K2203">
        <v>11</v>
      </c>
    </row>
    <row r="2204" spans="1:11">
      <c r="A2204">
        <v>90</v>
      </c>
      <c r="B2204" t="b">
        <v>0</v>
      </c>
      <c r="C2204" t="s">
        <v>42394</v>
      </c>
      <c r="D2204">
        <v>1037022454355</v>
      </c>
      <c r="E2204">
        <v>1</v>
      </c>
      <c r="F2204">
        <v>6098759510</v>
      </c>
      <c r="G2204">
        <v>195000000</v>
      </c>
      <c r="H2204" t="s">
        <v>40293</v>
      </c>
      <c r="I2204">
        <v>12011</v>
      </c>
      <c r="J2204">
        <v>3</v>
      </c>
      <c r="K2204">
        <v>3</v>
      </c>
    </row>
    <row r="2205" spans="1:11">
      <c r="A2205">
        <v>90</v>
      </c>
      <c r="B2205" t="b">
        <v>0</v>
      </c>
      <c r="C2205" t="s">
        <v>42350</v>
      </c>
      <c r="D2205">
        <v>1037022454355</v>
      </c>
      <c r="E2205">
        <v>1</v>
      </c>
      <c r="F2205">
        <v>6091883231</v>
      </c>
      <c r="G2205">
        <v>194900000</v>
      </c>
      <c r="H2205" t="s">
        <v>40293</v>
      </c>
      <c r="I2205">
        <v>12011</v>
      </c>
      <c r="J2205">
        <v>2</v>
      </c>
      <c r="K2205">
        <v>3</v>
      </c>
    </row>
    <row r="2206" spans="1:11">
      <c r="A2206">
        <v>90</v>
      </c>
      <c r="B2206" t="b">
        <v>0</v>
      </c>
      <c r="C2206" t="s">
        <v>43180</v>
      </c>
      <c r="D2206">
        <v>1037022454355</v>
      </c>
      <c r="E2206">
        <v>1</v>
      </c>
      <c r="F2206">
        <v>6079160741</v>
      </c>
      <c r="G2206">
        <v>190000000</v>
      </c>
      <c r="H2206" t="s">
        <v>40293</v>
      </c>
      <c r="I2206">
        <v>12011</v>
      </c>
      <c r="J2206">
        <v>67</v>
      </c>
      <c r="K2206">
        <v>68</v>
      </c>
    </row>
    <row r="2207" spans="1:11">
      <c r="A2207">
        <v>90</v>
      </c>
      <c r="B2207" t="b">
        <v>0</v>
      </c>
      <c r="C2207" t="s">
        <v>45383</v>
      </c>
      <c r="D2207">
        <v>1037022454355</v>
      </c>
      <c r="E2207">
        <v>1</v>
      </c>
      <c r="F2207">
        <v>6153389516</v>
      </c>
      <c r="G2207">
        <v>189100000</v>
      </c>
      <c r="H2207" t="s">
        <v>40293</v>
      </c>
      <c r="I2207">
        <v>12011</v>
      </c>
      <c r="J2207">
        <v>1</v>
      </c>
      <c r="K2207">
        <v>1</v>
      </c>
    </row>
    <row r="2208" spans="1:11">
      <c r="A2208">
        <v>90</v>
      </c>
      <c r="B2208" t="b">
        <v>0</v>
      </c>
      <c r="C2208" t="s">
        <v>40458</v>
      </c>
      <c r="D2208">
        <v>1037022454355</v>
      </c>
      <c r="E2208">
        <v>1</v>
      </c>
      <c r="F2208">
        <v>6122999480</v>
      </c>
      <c r="G2208">
        <v>350000000</v>
      </c>
      <c r="H2208" t="s">
        <v>40293</v>
      </c>
      <c r="I2208">
        <v>12013</v>
      </c>
      <c r="J2208">
        <v>1</v>
      </c>
      <c r="K2208">
        <v>3</v>
      </c>
    </row>
    <row r="2209" spans="1:11">
      <c r="A2209">
        <v>90</v>
      </c>
      <c r="B2209" t="b">
        <v>0</v>
      </c>
      <c r="C2209" t="s">
        <v>42206</v>
      </c>
      <c r="D2209">
        <v>1037022454355</v>
      </c>
      <c r="E2209">
        <v>1</v>
      </c>
      <c r="F2209">
        <v>6130197858</v>
      </c>
      <c r="G2209">
        <v>350000000</v>
      </c>
      <c r="H2209" t="s">
        <v>40293</v>
      </c>
      <c r="I2209">
        <v>12013</v>
      </c>
      <c r="J2209">
        <v>1</v>
      </c>
      <c r="K2209">
        <v>1</v>
      </c>
    </row>
    <row r="2210" spans="1:11">
      <c r="A2210">
        <v>90</v>
      </c>
      <c r="B2210" t="b">
        <v>0</v>
      </c>
      <c r="C2210" t="s">
        <v>42795</v>
      </c>
      <c r="D2210">
        <v>1037022454355</v>
      </c>
      <c r="E2210">
        <v>1</v>
      </c>
      <c r="F2210">
        <v>6133903380</v>
      </c>
      <c r="G2210">
        <v>350000000</v>
      </c>
      <c r="H2210" t="s">
        <v>40293</v>
      </c>
      <c r="I2210">
        <v>12013</v>
      </c>
      <c r="J2210">
        <v>1</v>
      </c>
      <c r="K2210">
        <v>1</v>
      </c>
    </row>
    <row r="2211" spans="1:11">
      <c r="A2211">
        <v>90</v>
      </c>
      <c r="B2211" t="b">
        <v>0</v>
      </c>
      <c r="C2211" t="s">
        <v>42483</v>
      </c>
      <c r="D2211">
        <v>1037022454355</v>
      </c>
      <c r="E2211">
        <v>1</v>
      </c>
      <c r="F2211">
        <v>6132412481</v>
      </c>
      <c r="G2211">
        <v>349900000</v>
      </c>
      <c r="H2211" t="s">
        <v>40293</v>
      </c>
      <c r="I2211">
        <v>12013</v>
      </c>
      <c r="J2211">
        <v>1</v>
      </c>
      <c r="K2211">
        <v>1</v>
      </c>
    </row>
    <row r="2212" spans="1:11">
      <c r="A2212">
        <v>90</v>
      </c>
      <c r="B2212" t="b">
        <v>0</v>
      </c>
      <c r="C2212" t="s">
        <v>44857</v>
      </c>
      <c r="D2212">
        <v>1037022454355</v>
      </c>
      <c r="E2212">
        <v>1</v>
      </c>
      <c r="F2212">
        <v>6156430068</v>
      </c>
      <c r="G2212">
        <v>230000000</v>
      </c>
      <c r="H2212" t="s">
        <v>40293</v>
      </c>
      <c r="I2212">
        <v>12015</v>
      </c>
      <c r="J2212">
        <v>1</v>
      </c>
      <c r="K2212">
        <v>1</v>
      </c>
    </row>
    <row r="2213" spans="1:11">
      <c r="A2213">
        <v>90</v>
      </c>
      <c r="B2213" t="b">
        <v>0</v>
      </c>
      <c r="C2213" t="s">
        <v>42522</v>
      </c>
      <c r="D2213">
        <v>1037022454355</v>
      </c>
      <c r="E2213">
        <v>1</v>
      </c>
      <c r="F2213">
        <v>6132185233</v>
      </c>
      <c r="G2213">
        <v>230000000</v>
      </c>
      <c r="H2213" t="s">
        <v>40293</v>
      </c>
      <c r="I2213">
        <v>12015</v>
      </c>
      <c r="J2213">
        <v>1</v>
      </c>
      <c r="K2213">
        <v>2</v>
      </c>
    </row>
    <row r="2214" spans="1:11">
      <c r="A2214">
        <v>90</v>
      </c>
      <c r="B2214" t="b">
        <v>0</v>
      </c>
      <c r="C2214" t="s">
        <v>45325</v>
      </c>
      <c r="D2214">
        <v>1037022454355</v>
      </c>
      <c r="E2214">
        <v>1</v>
      </c>
      <c r="F2214">
        <v>6156632910</v>
      </c>
      <c r="G2214">
        <v>230000000</v>
      </c>
      <c r="H2214" t="s">
        <v>40293</v>
      </c>
      <c r="I2214">
        <v>12015</v>
      </c>
      <c r="J2214">
        <v>2</v>
      </c>
      <c r="K2214">
        <v>2</v>
      </c>
    </row>
    <row r="2215" spans="1:11">
      <c r="A2215">
        <v>90</v>
      </c>
      <c r="B2215" t="b">
        <v>0</v>
      </c>
      <c r="C2215" t="s">
        <v>44047</v>
      </c>
      <c r="D2215">
        <v>1037022454355</v>
      </c>
      <c r="E2215">
        <v>1</v>
      </c>
      <c r="F2215">
        <v>6148161745</v>
      </c>
      <c r="G2215">
        <v>229900000</v>
      </c>
      <c r="H2215" t="s">
        <v>40293</v>
      </c>
      <c r="I2215">
        <v>12015</v>
      </c>
      <c r="J2215">
        <v>3</v>
      </c>
      <c r="K2215">
        <v>4</v>
      </c>
    </row>
    <row r="2216" spans="1:11">
      <c r="A2216">
        <v>90</v>
      </c>
      <c r="B2216" t="b">
        <v>0</v>
      </c>
      <c r="C2216" t="s">
        <v>45863</v>
      </c>
      <c r="D2216">
        <v>1037022454355</v>
      </c>
      <c r="E2216">
        <v>1</v>
      </c>
      <c r="F2216">
        <v>6149626853</v>
      </c>
      <c r="G2216">
        <v>229900000</v>
      </c>
      <c r="H2216" t="s">
        <v>40293</v>
      </c>
      <c r="I2216">
        <v>12015</v>
      </c>
      <c r="J2216">
        <v>1</v>
      </c>
      <c r="K2216">
        <v>1</v>
      </c>
    </row>
    <row r="2217" spans="1:11">
      <c r="A2217">
        <v>90</v>
      </c>
      <c r="B2217" t="b">
        <v>0</v>
      </c>
      <c r="C2217" t="s">
        <v>41554</v>
      </c>
      <c r="D2217">
        <v>1037022454355</v>
      </c>
      <c r="E2217">
        <v>1</v>
      </c>
      <c r="F2217">
        <v>6096940342</v>
      </c>
      <c r="G2217">
        <v>380000000</v>
      </c>
      <c r="H2217" t="s">
        <v>40293</v>
      </c>
      <c r="I2217">
        <v>12017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41604</v>
      </c>
      <c r="D2218">
        <v>1037022454355</v>
      </c>
      <c r="E2218">
        <v>1</v>
      </c>
      <c r="F2218">
        <v>6107754903</v>
      </c>
      <c r="G2218">
        <v>375000000</v>
      </c>
      <c r="H2218" t="s">
        <v>40293</v>
      </c>
      <c r="I2218">
        <v>12017</v>
      </c>
      <c r="J2218">
        <v>1</v>
      </c>
      <c r="K2218">
        <v>1</v>
      </c>
    </row>
    <row r="2219" spans="1:11">
      <c r="A2219">
        <v>90</v>
      </c>
      <c r="B2219" t="b">
        <v>0</v>
      </c>
      <c r="C2219" t="s">
        <v>42369</v>
      </c>
      <c r="D2219">
        <v>1037022454355</v>
      </c>
      <c r="E2219">
        <v>1</v>
      </c>
      <c r="F2219">
        <v>6138009098</v>
      </c>
      <c r="G2219">
        <v>274000000</v>
      </c>
      <c r="H2219" t="s">
        <v>40293</v>
      </c>
      <c r="I2219">
        <v>12019</v>
      </c>
      <c r="J2219">
        <v>1</v>
      </c>
      <c r="K2219">
        <v>3</v>
      </c>
    </row>
    <row r="2220" spans="1:11">
      <c r="A2220">
        <v>90</v>
      </c>
      <c r="B2220" t="b">
        <v>0</v>
      </c>
      <c r="C2220" t="s">
        <v>45132</v>
      </c>
      <c r="D2220">
        <v>1037022454355</v>
      </c>
      <c r="E2220">
        <v>1</v>
      </c>
      <c r="F2220">
        <v>6134380600</v>
      </c>
      <c r="G2220">
        <v>273900000</v>
      </c>
      <c r="H2220" t="s">
        <v>40293</v>
      </c>
      <c r="I2220">
        <v>12019</v>
      </c>
      <c r="J2220">
        <v>1</v>
      </c>
      <c r="K2220">
        <v>2</v>
      </c>
    </row>
    <row r="2221" spans="1:11">
      <c r="A2221">
        <v>90</v>
      </c>
      <c r="B2221" t="b">
        <v>0</v>
      </c>
      <c r="C2221" t="s">
        <v>46502</v>
      </c>
      <c r="D2221">
        <v>1037022454355</v>
      </c>
      <c r="E2221">
        <v>1</v>
      </c>
      <c r="F2221">
        <v>6147767621</v>
      </c>
      <c r="G2221">
        <v>280000000</v>
      </c>
      <c r="H2221" t="s">
        <v>40293</v>
      </c>
      <c r="I2221">
        <v>12023</v>
      </c>
      <c r="J2221">
        <v>2</v>
      </c>
      <c r="K2221">
        <v>2</v>
      </c>
    </row>
    <row r="2222" spans="1:11">
      <c r="A2222">
        <v>90</v>
      </c>
      <c r="B2222" t="b">
        <v>0</v>
      </c>
      <c r="C2222" t="s">
        <v>44668</v>
      </c>
      <c r="D2222">
        <v>1037022454355</v>
      </c>
      <c r="E2222">
        <v>1</v>
      </c>
      <c r="F2222">
        <v>6140928555</v>
      </c>
      <c r="G2222">
        <v>30000000</v>
      </c>
      <c r="H2222" t="s">
        <v>40293</v>
      </c>
      <c r="I2222">
        <v>12034</v>
      </c>
      <c r="J2222">
        <v>2</v>
      </c>
      <c r="K2222">
        <v>2</v>
      </c>
    </row>
    <row r="2223" spans="1:11">
      <c r="A2223">
        <v>90</v>
      </c>
      <c r="B2223" t="b">
        <v>0</v>
      </c>
      <c r="C2223" t="s">
        <v>44757</v>
      </c>
      <c r="D2223">
        <v>1037022454355</v>
      </c>
      <c r="E2223">
        <v>1</v>
      </c>
      <c r="F2223">
        <v>6133903609</v>
      </c>
      <c r="G2223">
        <v>30000000</v>
      </c>
      <c r="H2223" t="s">
        <v>40293</v>
      </c>
      <c r="I2223">
        <v>12034</v>
      </c>
      <c r="J2223">
        <v>5</v>
      </c>
      <c r="K2223">
        <v>6</v>
      </c>
    </row>
    <row r="2224" spans="1:11">
      <c r="A2224">
        <v>90</v>
      </c>
      <c r="B2224" t="b">
        <v>0</v>
      </c>
      <c r="C2224" t="s">
        <v>46365</v>
      </c>
      <c r="D2224">
        <v>1037022454355</v>
      </c>
      <c r="E2224">
        <v>1</v>
      </c>
      <c r="F2224">
        <v>6154155622</v>
      </c>
      <c r="G2224">
        <v>30000000</v>
      </c>
      <c r="H2224" t="s">
        <v>40293</v>
      </c>
      <c r="I2224">
        <v>12034</v>
      </c>
      <c r="J2224">
        <v>6</v>
      </c>
      <c r="K2224">
        <v>6</v>
      </c>
    </row>
    <row r="2225" spans="1:11">
      <c r="A2225">
        <v>90</v>
      </c>
      <c r="B2225" t="b">
        <v>0</v>
      </c>
      <c r="C2225" t="s">
        <v>44520</v>
      </c>
      <c r="D2225">
        <v>1037022454355</v>
      </c>
      <c r="E2225">
        <v>1</v>
      </c>
      <c r="F2225">
        <v>6153159791</v>
      </c>
      <c r="G2225">
        <v>29990000</v>
      </c>
      <c r="H2225" t="s">
        <v>40293</v>
      </c>
      <c r="I2225">
        <v>12034</v>
      </c>
      <c r="J2225">
        <v>2</v>
      </c>
      <c r="K2225">
        <v>4</v>
      </c>
    </row>
    <row r="2226" spans="1:11">
      <c r="A2226">
        <v>90</v>
      </c>
      <c r="B2226" t="b">
        <v>0</v>
      </c>
      <c r="C2226" t="s">
        <v>45804</v>
      </c>
      <c r="D2226">
        <v>1037022454355</v>
      </c>
      <c r="E2226">
        <v>1</v>
      </c>
      <c r="F2226">
        <v>6155196863</v>
      </c>
      <c r="G2226">
        <v>29500000</v>
      </c>
      <c r="H2226" t="s">
        <v>40293</v>
      </c>
      <c r="I2226">
        <v>12034</v>
      </c>
      <c r="J2226">
        <v>1</v>
      </c>
      <c r="K2226">
        <v>1</v>
      </c>
    </row>
    <row r="2227" spans="1:11">
      <c r="A2227">
        <v>90</v>
      </c>
      <c r="B2227" t="b">
        <v>0</v>
      </c>
      <c r="C2227" t="s">
        <v>45699</v>
      </c>
      <c r="D2227">
        <v>1037022454355</v>
      </c>
      <c r="E2227">
        <v>1</v>
      </c>
      <c r="F2227">
        <v>6155883818</v>
      </c>
      <c r="G2227">
        <v>29490000</v>
      </c>
      <c r="H2227" t="s">
        <v>40293</v>
      </c>
      <c r="I2227">
        <v>12038</v>
      </c>
      <c r="J2227">
        <v>1</v>
      </c>
      <c r="K2227">
        <v>1</v>
      </c>
    </row>
    <row r="2228" spans="1:11">
      <c r="A2228">
        <v>90</v>
      </c>
      <c r="B2228" t="b">
        <v>0</v>
      </c>
      <c r="C2228" t="s">
        <v>45902</v>
      </c>
      <c r="D2228">
        <v>1037022454355</v>
      </c>
      <c r="E2228">
        <v>1</v>
      </c>
      <c r="F2228">
        <v>6150643071</v>
      </c>
      <c r="G2228">
        <v>41000000</v>
      </c>
      <c r="H2228" t="s">
        <v>40293</v>
      </c>
      <c r="I2228">
        <v>12042</v>
      </c>
      <c r="J2228">
        <v>2</v>
      </c>
      <c r="K2228">
        <v>2</v>
      </c>
    </row>
    <row r="2229" spans="1:11">
      <c r="A2229">
        <v>90</v>
      </c>
      <c r="B2229" t="b">
        <v>0</v>
      </c>
      <c r="C2229" t="s">
        <v>45823</v>
      </c>
      <c r="D2229">
        <v>1037022454355</v>
      </c>
      <c r="E2229">
        <v>1</v>
      </c>
      <c r="F2229">
        <v>6150642296</v>
      </c>
      <c r="G2229">
        <v>40000000</v>
      </c>
      <c r="H2229" t="s">
        <v>40293</v>
      </c>
      <c r="I2229">
        <v>12044</v>
      </c>
      <c r="J2229">
        <v>1</v>
      </c>
      <c r="K2229">
        <v>2</v>
      </c>
    </row>
    <row r="2230" spans="1:11">
      <c r="A2230">
        <v>90</v>
      </c>
      <c r="B2230" t="b">
        <v>0</v>
      </c>
      <c r="C2230" t="s">
        <v>42563</v>
      </c>
      <c r="D2230">
        <v>1037022454355</v>
      </c>
      <c r="E2230">
        <v>1</v>
      </c>
      <c r="F2230">
        <v>6134631110</v>
      </c>
      <c r="G2230">
        <v>600000</v>
      </c>
      <c r="H2230" t="s">
        <v>40293</v>
      </c>
      <c r="I2230">
        <v>12052</v>
      </c>
      <c r="J2230">
        <v>3</v>
      </c>
      <c r="K2230">
        <v>10</v>
      </c>
    </row>
    <row r="2231" spans="1:11">
      <c r="A2231">
        <v>90</v>
      </c>
      <c r="B2231" t="b">
        <v>0</v>
      </c>
      <c r="C2231" t="s">
        <v>42914</v>
      </c>
      <c r="D2231">
        <v>1037022454355</v>
      </c>
      <c r="E2231">
        <v>1</v>
      </c>
      <c r="F2231">
        <v>6145213300</v>
      </c>
      <c r="G2231">
        <v>4500000</v>
      </c>
      <c r="H2231" t="s">
        <v>40293</v>
      </c>
      <c r="I2231">
        <v>12058</v>
      </c>
      <c r="J2231">
        <v>47</v>
      </c>
      <c r="K2231">
        <v>65</v>
      </c>
    </row>
    <row r="2232" spans="1:11">
      <c r="A2232">
        <v>30</v>
      </c>
      <c r="B2232" t="b">
        <v>0</v>
      </c>
      <c r="C2232" t="s">
        <v>44748</v>
      </c>
      <c r="D2232">
        <v>1037022454355</v>
      </c>
      <c r="E2232">
        <v>1</v>
      </c>
      <c r="F2232">
        <v>6147941748</v>
      </c>
      <c r="G2232">
        <v>4499000</v>
      </c>
      <c r="H2232" t="s">
        <v>40293</v>
      </c>
      <c r="I2232">
        <v>12058</v>
      </c>
      <c r="J2232">
        <v>81</v>
      </c>
      <c r="K2232">
        <v>83</v>
      </c>
    </row>
    <row r="2233" spans="1:11">
      <c r="A2233">
        <v>90</v>
      </c>
      <c r="B2233" t="b">
        <v>0</v>
      </c>
      <c r="C2233" t="s">
        <v>46556</v>
      </c>
      <c r="D2233">
        <v>1037022454355</v>
      </c>
      <c r="E2233">
        <v>1</v>
      </c>
      <c r="F2233">
        <v>6148035893</v>
      </c>
      <c r="G2233">
        <v>4480000</v>
      </c>
      <c r="H2233" t="s">
        <v>40293</v>
      </c>
      <c r="I2233">
        <v>12058</v>
      </c>
      <c r="J2233">
        <v>72</v>
      </c>
      <c r="K2233">
        <v>100</v>
      </c>
    </row>
    <row r="2234" spans="1:11">
      <c r="A2234">
        <v>90</v>
      </c>
      <c r="B2234" t="b">
        <v>0</v>
      </c>
      <c r="C2234" t="s">
        <v>43823</v>
      </c>
      <c r="D2234">
        <v>1037022454355</v>
      </c>
      <c r="E2234">
        <v>1</v>
      </c>
      <c r="F2234">
        <v>6141951228</v>
      </c>
      <c r="G2234">
        <v>5453000</v>
      </c>
      <c r="H2234" t="s">
        <v>40293</v>
      </c>
      <c r="I2234">
        <v>12068</v>
      </c>
      <c r="J2234">
        <v>1</v>
      </c>
      <c r="K2234">
        <v>1</v>
      </c>
    </row>
    <row r="2235" spans="1:11">
      <c r="A2235">
        <v>90</v>
      </c>
      <c r="B2235" t="b">
        <v>0</v>
      </c>
      <c r="C2235" t="s">
        <v>42987</v>
      </c>
      <c r="D2235">
        <v>1037022454355</v>
      </c>
      <c r="E2235">
        <v>1</v>
      </c>
      <c r="F2235">
        <v>6139317734</v>
      </c>
      <c r="G2235">
        <v>5375000</v>
      </c>
      <c r="H2235" t="s">
        <v>40293</v>
      </c>
      <c r="I2235">
        <v>12068</v>
      </c>
      <c r="J2235">
        <v>2</v>
      </c>
      <c r="K2235">
        <v>10</v>
      </c>
    </row>
    <row r="2236" spans="1:11">
      <c r="A2236">
        <v>90</v>
      </c>
      <c r="B2236" t="b">
        <v>0</v>
      </c>
      <c r="C2236" t="s">
        <v>43534</v>
      </c>
      <c r="D2236">
        <v>1037022454355</v>
      </c>
      <c r="E2236">
        <v>1</v>
      </c>
      <c r="F2236">
        <v>6139234464</v>
      </c>
      <c r="G2236">
        <v>5374000</v>
      </c>
      <c r="H2236" t="s">
        <v>40293</v>
      </c>
      <c r="I2236">
        <v>12068</v>
      </c>
      <c r="J2236">
        <v>4</v>
      </c>
      <c r="K2236">
        <v>10</v>
      </c>
    </row>
    <row r="2237" spans="1:11">
      <c r="A2237">
        <v>90</v>
      </c>
      <c r="B2237" t="b">
        <v>0</v>
      </c>
      <c r="C2237" t="s">
        <v>45533</v>
      </c>
      <c r="D2237">
        <v>1037022454355</v>
      </c>
      <c r="E2237">
        <v>1</v>
      </c>
      <c r="F2237">
        <v>6148432413</v>
      </c>
      <c r="G2237">
        <v>5373000</v>
      </c>
      <c r="H2237" t="s">
        <v>40293</v>
      </c>
      <c r="I2237">
        <v>12068</v>
      </c>
      <c r="J2237">
        <v>1</v>
      </c>
      <c r="K2237">
        <v>2</v>
      </c>
    </row>
    <row r="2238" spans="1:11">
      <c r="A2238">
        <v>90</v>
      </c>
      <c r="B2238" t="b">
        <v>0</v>
      </c>
      <c r="C2238" t="s">
        <v>46321</v>
      </c>
      <c r="D2238">
        <v>1037022454355</v>
      </c>
      <c r="E2238">
        <v>1</v>
      </c>
      <c r="F2238">
        <v>6149927796</v>
      </c>
      <c r="G2238">
        <v>5350000</v>
      </c>
      <c r="H2238" t="s">
        <v>40293</v>
      </c>
      <c r="I2238">
        <v>12068</v>
      </c>
      <c r="J2238">
        <v>32</v>
      </c>
      <c r="K2238">
        <v>40</v>
      </c>
    </row>
    <row r="2239" spans="1:11">
      <c r="A2239">
        <v>90</v>
      </c>
      <c r="B2239" t="b">
        <v>0</v>
      </c>
      <c r="C2239" t="s">
        <v>46302</v>
      </c>
      <c r="D2239">
        <v>1037022454355</v>
      </c>
      <c r="E2239">
        <v>1</v>
      </c>
      <c r="F2239">
        <v>6134133408</v>
      </c>
      <c r="G2239">
        <v>5348000</v>
      </c>
      <c r="H2239" t="s">
        <v>40293</v>
      </c>
      <c r="I2239">
        <v>12068</v>
      </c>
      <c r="J2239">
        <v>15</v>
      </c>
      <c r="K2239">
        <v>25</v>
      </c>
    </row>
    <row r="2240" spans="1:11">
      <c r="A2240">
        <v>90</v>
      </c>
      <c r="B2240" t="b">
        <v>0</v>
      </c>
      <c r="C2240" t="s">
        <v>46118</v>
      </c>
      <c r="D2240">
        <v>1037022454355</v>
      </c>
      <c r="E2240">
        <v>1</v>
      </c>
      <c r="F2240">
        <v>6153627927</v>
      </c>
      <c r="G2240">
        <v>5347000</v>
      </c>
      <c r="H2240" t="s">
        <v>40293</v>
      </c>
      <c r="I2240">
        <v>12068</v>
      </c>
      <c r="J2240">
        <v>1</v>
      </c>
      <c r="K2240">
        <v>1</v>
      </c>
    </row>
    <row r="2241" spans="1:11">
      <c r="A2241">
        <v>90</v>
      </c>
      <c r="B2241" t="b">
        <v>0</v>
      </c>
      <c r="C2241" t="s">
        <v>45298</v>
      </c>
      <c r="D2241">
        <v>1037022454355</v>
      </c>
      <c r="E2241">
        <v>1</v>
      </c>
      <c r="F2241">
        <v>6154404319</v>
      </c>
      <c r="G2241">
        <v>5000000</v>
      </c>
      <c r="H2241" t="s">
        <v>40293</v>
      </c>
      <c r="I2241">
        <v>12068</v>
      </c>
      <c r="J2241">
        <v>8</v>
      </c>
      <c r="K2241">
        <v>9</v>
      </c>
    </row>
    <row r="2242" spans="1:11">
      <c r="A2242">
        <v>90</v>
      </c>
      <c r="B2242" t="b">
        <v>0</v>
      </c>
      <c r="C2242" t="s">
        <v>45993</v>
      </c>
      <c r="D2242">
        <v>1037022454355</v>
      </c>
      <c r="E2242">
        <v>1</v>
      </c>
      <c r="F2242">
        <v>6138749397</v>
      </c>
      <c r="G2242">
        <v>4975000</v>
      </c>
      <c r="H2242" t="s">
        <v>40293</v>
      </c>
      <c r="I2242">
        <v>12068</v>
      </c>
      <c r="J2242">
        <v>6</v>
      </c>
      <c r="K2242">
        <v>10</v>
      </c>
    </row>
    <row r="2243" spans="1:11">
      <c r="A2243">
        <v>30</v>
      </c>
      <c r="B2243" t="b">
        <v>0</v>
      </c>
      <c r="C2243" t="s">
        <v>43197</v>
      </c>
      <c r="D2243">
        <v>1037022454355</v>
      </c>
      <c r="E2243">
        <v>1</v>
      </c>
      <c r="F2243">
        <v>6144648026</v>
      </c>
      <c r="G2243">
        <v>7948000</v>
      </c>
      <c r="H2243" t="s">
        <v>40293</v>
      </c>
      <c r="I2243">
        <v>12076</v>
      </c>
      <c r="J2243">
        <v>5</v>
      </c>
      <c r="K2243">
        <v>5</v>
      </c>
    </row>
    <row r="2244" spans="1:11">
      <c r="A2244">
        <v>90</v>
      </c>
      <c r="B2244" t="b">
        <v>0</v>
      </c>
      <c r="C2244" t="s">
        <v>46153</v>
      </c>
      <c r="D2244">
        <v>1037022454355</v>
      </c>
      <c r="E2244">
        <v>1</v>
      </c>
      <c r="F2244">
        <v>6149925698</v>
      </c>
      <c r="G2244">
        <v>7925000</v>
      </c>
      <c r="H2244" t="s">
        <v>40293</v>
      </c>
      <c r="I2244">
        <v>12076</v>
      </c>
      <c r="J2244">
        <v>31</v>
      </c>
      <c r="K2244">
        <v>31</v>
      </c>
    </row>
    <row r="2245" spans="1:11">
      <c r="A2245">
        <v>90</v>
      </c>
      <c r="B2245" t="b">
        <v>0</v>
      </c>
      <c r="C2245" t="s">
        <v>45473</v>
      </c>
      <c r="D2245">
        <v>1037022454355</v>
      </c>
      <c r="E2245">
        <v>1</v>
      </c>
      <c r="F2245">
        <v>6098354091</v>
      </c>
      <c r="G2245">
        <v>7923000</v>
      </c>
      <c r="H2245" t="s">
        <v>40293</v>
      </c>
      <c r="I2245">
        <v>12076</v>
      </c>
      <c r="J2245">
        <v>3</v>
      </c>
      <c r="K2245">
        <v>25</v>
      </c>
    </row>
    <row r="2246" spans="1:11">
      <c r="A2246">
        <v>30</v>
      </c>
      <c r="B2246" t="b">
        <v>0</v>
      </c>
      <c r="C2246" t="s">
        <v>46036</v>
      </c>
      <c r="D2246">
        <v>1037022454355</v>
      </c>
      <c r="E2246">
        <v>1</v>
      </c>
      <c r="F2246">
        <v>6150284324</v>
      </c>
      <c r="G2246">
        <v>7922000</v>
      </c>
      <c r="H2246" t="s">
        <v>40293</v>
      </c>
      <c r="I2246">
        <v>12076</v>
      </c>
      <c r="J2246">
        <v>8</v>
      </c>
      <c r="K2246">
        <v>20</v>
      </c>
    </row>
    <row r="2247" spans="1:11">
      <c r="A2247">
        <v>90</v>
      </c>
      <c r="B2247" t="b">
        <v>0</v>
      </c>
      <c r="C2247" t="s">
        <v>44523</v>
      </c>
      <c r="D2247">
        <v>1037022454355</v>
      </c>
      <c r="E2247">
        <v>1</v>
      </c>
      <c r="F2247">
        <v>6156393150</v>
      </c>
      <c r="G2247">
        <v>14500000</v>
      </c>
      <c r="H2247" t="s">
        <v>40293</v>
      </c>
      <c r="I2247">
        <v>12084</v>
      </c>
      <c r="J2247">
        <v>2</v>
      </c>
      <c r="K2247">
        <v>2</v>
      </c>
    </row>
    <row r="2248" spans="1:11">
      <c r="A2248">
        <v>90</v>
      </c>
      <c r="B2248" t="b">
        <v>0</v>
      </c>
      <c r="C2248" t="s">
        <v>42435</v>
      </c>
      <c r="D2248">
        <v>1037022454355</v>
      </c>
      <c r="E2248">
        <v>1</v>
      </c>
      <c r="F2248">
        <v>6074672576</v>
      </c>
      <c r="G2248">
        <v>4991000</v>
      </c>
      <c r="H2248" t="s">
        <v>40293</v>
      </c>
      <c r="I2248">
        <v>12102</v>
      </c>
      <c r="J2248">
        <v>2</v>
      </c>
      <c r="K2248">
        <v>4</v>
      </c>
    </row>
    <row r="2249" spans="1:11">
      <c r="A2249">
        <v>90</v>
      </c>
      <c r="B2249" t="b">
        <v>0</v>
      </c>
      <c r="C2249" t="s">
        <v>43767</v>
      </c>
      <c r="D2249">
        <v>1037022454355</v>
      </c>
      <c r="E2249">
        <v>1</v>
      </c>
      <c r="F2249">
        <v>6075541507</v>
      </c>
      <c r="G2249">
        <v>4890000</v>
      </c>
      <c r="H2249" t="s">
        <v>40293</v>
      </c>
      <c r="I2249">
        <v>12102</v>
      </c>
      <c r="J2249">
        <v>3</v>
      </c>
      <c r="K2249">
        <v>3</v>
      </c>
    </row>
    <row r="2250" spans="1:11">
      <c r="A2250">
        <v>90</v>
      </c>
      <c r="B2250" t="b">
        <v>0</v>
      </c>
      <c r="C2250" t="s">
        <v>44881</v>
      </c>
      <c r="D2250">
        <v>1037022454355</v>
      </c>
      <c r="E2250">
        <v>1</v>
      </c>
      <c r="F2250">
        <v>6091090963</v>
      </c>
      <c r="G2250">
        <v>4888000</v>
      </c>
      <c r="H2250" t="s">
        <v>40293</v>
      </c>
      <c r="I2250">
        <v>12102</v>
      </c>
      <c r="J2250">
        <v>19</v>
      </c>
      <c r="K2250">
        <v>25</v>
      </c>
    </row>
    <row r="2251" spans="1:11">
      <c r="A2251">
        <v>30</v>
      </c>
      <c r="B2251" t="b">
        <v>0</v>
      </c>
      <c r="C2251" t="s">
        <v>45734</v>
      </c>
      <c r="D2251">
        <v>1037022454355</v>
      </c>
      <c r="E2251">
        <v>1</v>
      </c>
      <c r="F2251">
        <v>6143334026</v>
      </c>
      <c r="G2251">
        <v>4887000</v>
      </c>
      <c r="H2251" t="s">
        <v>40293</v>
      </c>
      <c r="I2251">
        <v>12102</v>
      </c>
      <c r="J2251">
        <v>10</v>
      </c>
      <c r="K2251">
        <v>10</v>
      </c>
    </row>
    <row r="2252" spans="1:11">
      <c r="A2252">
        <v>90</v>
      </c>
      <c r="B2252" t="b">
        <v>0</v>
      </c>
      <c r="C2252" t="s">
        <v>45979</v>
      </c>
      <c r="D2252">
        <v>1037022454355</v>
      </c>
      <c r="E2252">
        <v>1</v>
      </c>
      <c r="F2252">
        <v>6073367255</v>
      </c>
      <c r="G2252">
        <v>1476000</v>
      </c>
      <c r="H2252" t="s">
        <v>40293</v>
      </c>
      <c r="I2252">
        <v>12108</v>
      </c>
      <c r="J2252">
        <v>5</v>
      </c>
      <c r="K2252">
        <v>25</v>
      </c>
    </row>
    <row r="2253" spans="1:11">
      <c r="A2253">
        <v>90</v>
      </c>
      <c r="B2253" t="b">
        <v>0</v>
      </c>
      <c r="C2253" t="s">
        <v>44929</v>
      </c>
      <c r="D2253">
        <v>1037022454355</v>
      </c>
      <c r="E2253">
        <v>1</v>
      </c>
      <c r="F2253">
        <v>6155447960</v>
      </c>
      <c r="G2253">
        <v>1587000</v>
      </c>
      <c r="H2253" t="s">
        <v>40293</v>
      </c>
      <c r="I2253">
        <v>12198</v>
      </c>
      <c r="J2253">
        <v>44</v>
      </c>
      <c r="K2253">
        <v>44</v>
      </c>
    </row>
    <row r="2254" spans="1:11">
      <c r="A2254">
        <v>90</v>
      </c>
      <c r="B2254" t="b">
        <v>0</v>
      </c>
      <c r="C2254" t="s">
        <v>40762</v>
      </c>
      <c r="D2254">
        <v>1037022454355</v>
      </c>
      <c r="E2254">
        <v>1</v>
      </c>
      <c r="F2254">
        <v>6102100347</v>
      </c>
      <c r="G2254">
        <v>6995000</v>
      </c>
      <c r="H2254" t="s">
        <v>40293</v>
      </c>
      <c r="I2254">
        <v>12199</v>
      </c>
      <c r="J2254">
        <v>5</v>
      </c>
      <c r="K2254">
        <v>5</v>
      </c>
    </row>
    <row r="2255" spans="1:11">
      <c r="A2255">
        <v>90</v>
      </c>
      <c r="B2255" t="b">
        <v>0</v>
      </c>
      <c r="C2255" t="s">
        <v>40677</v>
      </c>
      <c r="D2255">
        <v>1037022454355</v>
      </c>
      <c r="E2255">
        <v>1</v>
      </c>
      <c r="F2255">
        <v>6119956634</v>
      </c>
      <c r="G2255">
        <v>6994000</v>
      </c>
      <c r="H2255" t="s">
        <v>40293</v>
      </c>
      <c r="I2255">
        <v>12199</v>
      </c>
      <c r="J2255">
        <v>1</v>
      </c>
      <c r="K2255">
        <v>2</v>
      </c>
    </row>
    <row r="2256" spans="1:11">
      <c r="A2256">
        <v>90</v>
      </c>
      <c r="B2256" t="b">
        <v>0</v>
      </c>
      <c r="C2256" t="s">
        <v>40616</v>
      </c>
      <c r="D2256">
        <v>1037022454355</v>
      </c>
      <c r="E2256">
        <v>1</v>
      </c>
      <c r="F2256">
        <v>6123625636</v>
      </c>
      <c r="G2256">
        <v>4990000</v>
      </c>
      <c r="H2256" t="s">
        <v>40293</v>
      </c>
      <c r="I2256">
        <v>12199</v>
      </c>
      <c r="J2256">
        <v>8</v>
      </c>
      <c r="K2256">
        <v>15</v>
      </c>
    </row>
    <row r="2257" spans="1:11">
      <c r="A2257">
        <v>90</v>
      </c>
      <c r="B2257" t="b">
        <v>0</v>
      </c>
      <c r="C2257" t="s">
        <v>44208</v>
      </c>
      <c r="D2257">
        <v>1037022454355</v>
      </c>
      <c r="E2257">
        <v>1</v>
      </c>
      <c r="F2257">
        <v>6153406695</v>
      </c>
      <c r="G2257">
        <v>25000000</v>
      </c>
      <c r="H2257" t="s">
        <v>40293</v>
      </c>
      <c r="I2257">
        <v>12219</v>
      </c>
      <c r="J2257">
        <v>1</v>
      </c>
      <c r="K2257">
        <v>1</v>
      </c>
    </row>
    <row r="2258" spans="1:11">
      <c r="A2258">
        <v>30</v>
      </c>
      <c r="B2258" t="b">
        <v>0</v>
      </c>
      <c r="C2258" t="s">
        <v>43627</v>
      </c>
      <c r="D2258">
        <v>1037022454355</v>
      </c>
      <c r="E2258">
        <v>1</v>
      </c>
      <c r="F2258">
        <v>6144742646</v>
      </c>
      <c r="G2258">
        <v>4999000</v>
      </c>
      <c r="H2258" t="s">
        <v>40293</v>
      </c>
      <c r="I2258">
        <v>12221</v>
      </c>
      <c r="J2258">
        <v>1</v>
      </c>
      <c r="K2258">
        <v>1</v>
      </c>
    </row>
    <row r="2259" spans="1:11">
      <c r="A2259">
        <v>90</v>
      </c>
      <c r="B2259" t="b">
        <v>0</v>
      </c>
      <c r="C2259" t="s">
        <v>44815</v>
      </c>
      <c r="D2259">
        <v>1037022454355</v>
      </c>
      <c r="E2259">
        <v>1</v>
      </c>
      <c r="F2259">
        <v>6148630659</v>
      </c>
      <c r="G2259">
        <v>2500000</v>
      </c>
      <c r="H2259" t="s">
        <v>40293</v>
      </c>
      <c r="I2259">
        <v>12221</v>
      </c>
      <c r="J2259">
        <v>30</v>
      </c>
      <c r="K2259">
        <v>30</v>
      </c>
    </row>
    <row r="2260" spans="1:11">
      <c r="A2260">
        <v>30</v>
      </c>
      <c r="B2260" t="b">
        <v>0</v>
      </c>
      <c r="C2260" t="s">
        <v>44081</v>
      </c>
      <c r="D2260">
        <v>1037022454355</v>
      </c>
      <c r="E2260">
        <v>1</v>
      </c>
      <c r="F2260">
        <v>6154463546</v>
      </c>
      <c r="G2260">
        <v>5898000</v>
      </c>
      <c r="H2260" t="s">
        <v>40293</v>
      </c>
      <c r="I2260">
        <v>12259</v>
      </c>
      <c r="J2260">
        <v>2</v>
      </c>
      <c r="K2260">
        <v>2</v>
      </c>
    </row>
    <row r="2261" spans="1:11">
      <c r="A2261">
        <v>90</v>
      </c>
      <c r="B2261" t="b">
        <v>0</v>
      </c>
      <c r="C2261" t="s">
        <v>45693</v>
      </c>
      <c r="D2261">
        <v>1037022454355</v>
      </c>
      <c r="E2261">
        <v>1</v>
      </c>
      <c r="F2261">
        <v>6153426140</v>
      </c>
      <c r="G2261">
        <v>5895000</v>
      </c>
      <c r="H2261" t="s">
        <v>40293</v>
      </c>
      <c r="I2261">
        <v>12259</v>
      </c>
      <c r="J2261">
        <v>1</v>
      </c>
      <c r="K2261">
        <v>1</v>
      </c>
    </row>
    <row r="2262" spans="1:11">
      <c r="A2262">
        <v>90</v>
      </c>
      <c r="B2262" t="b">
        <v>0</v>
      </c>
      <c r="C2262" t="s">
        <v>45358</v>
      </c>
      <c r="D2262">
        <v>1037022454355</v>
      </c>
      <c r="E2262">
        <v>1</v>
      </c>
      <c r="F2262">
        <v>6113784600</v>
      </c>
      <c r="G2262">
        <v>5892000</v>
      </c>
      <c r="H2262" t="s">
        <v>40293</v>
      </c>
      <c r="I2262">
        <v>12259</v>
      </c>
      <c r="J2262">
        <v>23</v>
      </c>
      <c r="K2262">
        <v>25</v>
      </c>
    </row>
    <row r="2263" spans="1:11">
      <c r="A2263">
        <v>14</v>
      </c>
      <c r="B2263" t="b">
        <v>0</v>
      </c>
      <c r="C2263" t="s">
        <v>44331</v>
      </c>
      <c r="D2263">
        <v>1037022454355</v>
      </c>
      <c r="E2263">
        <v>1</v>
      </c>
      <c r="F2263">
        <v>6134566914</v>
      </c>
      <c r="G2263">
        <v>5891000</v>
      </c>
      <c r="H2263" t="s">
        <v>40293</v>
      </c>
      <c r="I2263">
        <v>12259</v>
      </c>
      <c r="J2263">
        <v>7</v>
      </c>
      <c r="K2263">
        <v>16</v>
      </c>
    </row>
    <row r="2264" spans="1:11">
      <c r="A2264">
        <v>90</v>
      </c>
      <c r="B2264" t="b">
        <v>0</v>
      </c>
      <c r="C2264" t="s">
        <v>41811</v>
      </c>
      <c r="D2264">
        <v>1037022454355</v>
      </c>
      <c r="E2264">
        <v>1</v>
      </c>
      <c r="F2264">
        <v>6126146714</v>
      </c>
      <c r="G2264">
        <v>9000000</v>
      </c>
      <c r="H2264" t="s">
        <v>40293</v>
      </c>
      <c r="I2264">
        <v>12263</v>
      </c>
      <c r="J2264">
        <v>21</v>
      </c>
      <c r="K2264">
        <v>25</v>
      </c>
    </row>
    <row r="2265" spans="1:11">
      <c r="A2265">
        <v>90</v>
      </c>
      <c r="B2265" t="b">
        <v>0</v>
      </c>
      <c r="C2265" t="s">
        <v>43542</v>
      </c>
      <c r="D2265">
        <v>1037022454355</v>
      </c>
      <c r="E2265">
        <v>1</v>
      </c>
      <c r="F2265">
        <v>6140774861</v>
      </c>
      <c r="G2265">
        <v>5300000</v>
      </c>
      <c r="H2265" t="s">
        <v>40293</v>
      </c>
      <c r="I2265">
        <v>12267</v>
      </c>
      <c r="J2265">
        <v>1</v>
      </c>
      <c r="K2265">
        <v>1</v>
      </c>
    </row>
    <row r="2266" spans="1:11">
      <c r="A2266">
        <v>90</v>
      </c>
      <c r="B2266" t="b">
        <v>0</v>
      </c>
      <c r="C2266" t="s">
        <v>43337</v>
      </c>
      <c r="D2266">
        <v>1037022454355</v>
      </c>
      <c r="E2266">
        <v>1</v>
      </c>
      <c r="F2266">
        <v>6131036651</v>
      </c>
      <c r="G2266">
        <v>5290000</v>
      </c>
      <c r="H2266" t="s">
        <v>40293</v>
      </c>
      <c r="I2266">
        <v>12267</v>
      </c>
      <c r="J2266">
        <v>1</v>
      </c>
      <c r="K2266">
        <v>1</v>
      </c>
    </row>
    <row r="2267" spans="1:11">
      <c r="A2267">
        <v>90</v>
      </c>
      <c r="B2267" t="b">
        <v>0</v>
      </c>
      <c r="C2267" t="s">
        <v>43611</v>
      </c>
      <c r="D2267">
        <v>1037022454355</v>
      </c>
      <c r="E2267">
        <v>1</v>
      </c>
      <c r="F2267">
        <v>6139236850</v>
      </c>
      <c r="G2267">
        <v>5273000</v>
      </c>
      <c r="H2267" t="s">
        <v>40293</v>
      </c>
      <c r="I2267">
        <v>12267</v>
      </c>
      <c r="J2267">
        <v>14</v>
      </c>
      <c r="K2267">
        <v>14</v>
      </c>
    </row>
    <row r="2268" spans="1:11">
      <c r="A2268">
        <v>90</v>
      </c>
      <c r="B2268" t="b">
        <v>0</v>
      </c>
      <c r="C2268" t="s">
        <v>45395</v>
      </c>
      <c r="D2268">
        <v>1037022454355</v>
      </c>
      <c r="E2268">
        <v>1</v>
      </c>
      <c r="F2268">
        <v>6138381973</v>
      </c>
      <c r="G2268">
        <v>5250000</v>
      </c>
      <c r="H2268" t="s">
        <v>40293</v>
      </c>
      <c r="I2268">
        <v>12267</v>
      </c>
      <c r="J2268">
        <v>5</v>
      </c>
      <c r="K2268">
        <v>5</v>
      </c>
    </row>
    <row r="2269" spans="1:11">
      <c r="A2269">
        <v>30</v>
      </c>
      <c r="B2269" t="b">
        <v>0</v>
      </c>
      <c r="C2269" t="s">
        <v>44081</v>
      </c>
      <c r="D2269">
        <v>1037022454355</v>
      </c>
      <c r="E2269">
        <v>1</v>
      </c>
      <c r="F2269">
        <v>6154463545</v>
      </c>
      <c r="G2269">
        <v>5202000</v>
      </c>
      <c r="H2269" t="s">
        <v>40293</v>
      </c>
      <c r="I2269">
        <v>12267</v>
      </c>
      <c r="J2269">
        <v>3</v>
      </c>
      <c r="K2269">
        <v>3</v>
      </c>
    </row>
    <row r="2270" spans="1:11">
      <c r="A2270">
        <v>90</v>
      </c>
      <c r="B2270" t="b">
        <v>0</v>
      </c>
      <c r="C2270" t="s">
        <v>45726</v>
      </c>
      <c r="D2270">
        <v>1037022454355</v>
      </c>
      <c r="E2270">
        <v>1</v>
      </c>
      <c r="F2270">
        <v>6153426469</v>
      </c>
      <c r="G2270">
        <v>5198000</v>
      </c>
      <c r="H2270" t="s">
        <v>40293</v>
      </c>
      <c r="I2270">
        <v>12267</v>
      </c>
      <c r="J2270">
        <v>2</v>
      </c>
      <c r="K2270">
        <v>2</v>
      </c>
    </row>
    <row r="2271" spans="1:11">
      <c r="A2271">
        <v>90</v>
      </c>
      <c r="B2271" t="b">
        <v>0</v>
      </c>
      <c r="C2271" t="s">
        <v>45780</v>
      </c>
      <c r="D2271">
        <v>1037022454355</v>
      </c>
      <c r="E2271">
        <v>1</v>
      </c>
      <c r="F2271">
        <v>6134192259</v>
      </c>
      <c r="G2271">
        <v>5000000</v>
      </c>
      <c r="H2271" t="s">
        <v>40293</v>
      </c>
      <c r="I2271">
        <v>12267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46089</v>
      </c>
      <c r="D2272">
        <v>1037022454355</v>
      </c>
      <c r="E2272">
        <v>1</v>
      </c>
      <c r="F2272">
        <v>6134130549</v>
      </c>
      <c r="G2272">
        <v>4996000</v>
      </c>
      <c r="H2272" t="s">
        <v>40293</v>
      </c>
      <c r="I2272">
        <v>12267</v>
      </c>
      <c r="J2272">
        <v>23</v>
      </c>
      <c r="K2272">
        <v>25</v>
      </c>
    </row>
    <row r="2273" spans="1:11">
      <c r="A2273">
        <v>90</v>
      </c>
      <c r="B2273" t="b">
        <v>0</v>
      </c>
      <c r="C2273" t="s">
        <v>44393</v>
      </c>
      <c r="D2273">
        <v>1037022454355</v>
      </c>
      <c r="E2273">
        <v>1</v>
      </c>
      <c r="F2273">
        <v>6139319092</v>
      </c>
      <c r="G2273">
        <v>4975000</v>
      </c>
      <c r="H2273" t="s">
        <v>40293</v>
      </c>
      <c r="I2273">
        <v>12267</v>
      </c>
      <c r="J2273">
        <v>22</v>
      </c>
      <c r="K2273">
        <v>25</v>
      </c>
    </row>
    <row r="2274" spans="1:11">
      <c r="A2274">
        <v>90</v>
      </c>
      <c r="B2274" t="b">
        <v>0</v>
      </c>
      <c r="C2274" t="s">
        <v>44892</v>
      </c>
      <c r="D2274">
        <v>1037022454355</v>
      </c>
      <c r="E2274">
        <v>1</v>
      </c>
      <c r="F2274">
        <v>6149680287</v>
      </c>
      <c r="G2274">
        <v>4971000</v>
      </c>
      <c r="H2274" t="s">
        <v>40293</v>
      </c>
      <c r="I2274">
        <v>12267</v>
      </c>
      <c r="J2274">
        <v>3</v>
      </c>
      <c r="K2274">
        <v>3</v>
      </c>
    </row>
    <row r="2275" spans="1:11">
      <c r="A2275">
        <v>30</v>
      </c>
      <c r="B2275" t="b">
        <v>0</v>
      </c>
      <c r="C2275" t="s">
        <v>46548</v>
      </c>
      <c r="D2275">
        <v>1037022454355</v>
      </c>
      <c r="E2275">
        <v>1</v>
      </c>
      <c r="F2275">
        <v>6150291186</v>
      </c>
      <c r="G2275">
        <v>4970000</v>
      </c>
      <c r="H2275" t="s">
        <v>40293</v>
      </c>
      <c r="I2275">
        <v>12267</v>
      </c>
      <c r="J2275">
        <v>21</v>
      </c>
      <c r="K2275">
        <v>27</v>
      </c>
    </row>
    <row r="2276" spans="1:11">
      <c r="A2276">
        <v>90</v>
      </c>
      <c r="B2276" t="b">
        <v>0</v>
      </c>
      <c r="C2276" t="s">
        <v>40590</v>
      </c>
      <c r="D2276">
        <v>1037022454355</v>
      </c>
      <c r="E2276">
        <v>1</v>
      </c>
      <c r="F2276">
        <v>6095269649</v>
      </c>
      <c r="G2276">
        <v>6500000</v>
      </c>
      <c r="H2276" t="s">
        <v>40293</v>
      </c>
      <c r="I2276">
        <v>12271</v>
      </c>
      <c r="J2276">
        <v>3</v>
      </c>
      <c r="K2276">
        <v>30</v>
      </c>
    </row>
    <row r="2277" spans="1:11">
      <c r="A2277">
        <v>90</v>
      </c>
      <c r="B2277" t="b">
        <v>0</v>
      </c>
      <c r="C2277" t="s">
        <v>40943</v>
      </c>
      <c r="D2277">
        <v>1037022454355</v>
      </c>
      <c r="E2277">
        <v>1</v>
      </c>
      <c r="F2277">
        <v>6119930507</v>
      </c>
      <c r="G2277">
        <v>6495000</v>
      </c>
      <c r="H2277" t="s">
        <v>40293</v>
      </c>
      <c r="I2277">
        <v>12271</v>
      </c>
      <c r="J2277">
        <v>7</v>
      </c>
      <c r="K2277">
        <v>10</v>
      </c>
    </row>
    <row r="2278" spans="1:11">
      <c r="A2278">
        <v>90</v>
      </c>
      <c r="B2278" t="b">
        <v>0</v>
      </c>
      <c r="C2278" t="s">
        <v>40798</v>
      </c>
      <c r="D2278">
        <v>1037022454355</v>
      </c>
      <c r="E2278">
        <v>1</v>
      </c>
      <c r="F2278">
        <v>6123859075</v>
      </c>
      <c r="G2278">
        <v>6100000</v>
      </c>
      <c r="H2278" t="s">
        <v>40293</v>
      </c>
      <c r="I2278">
        <v>12271</v>
      </c>
      <c r="J2278">
        <v>5</v>
      </c>
      <c r="K2278">
        <v>5</v>
      </c>
    </row>
    <row r="2279" spans="1:11">
      <c r="A2279">
        <v>90</v>
      </c>
      <c r="B2279" t="b">
        <v>0</v>
      </c>
      <c r="C2279" t="s">
        <v>43396</v>
      </c>
      <c r="D2279">
        <v>1037022454355</v>
      </c>
      <c r="E2279">
        <v>1</v>
      </c>
      <c r="F2279">
        <v>6138247145</v>
      </c>
      <c r="G2279">
        <v>5500000</v>
      </c>
      <c r="H2279" t="s">
        <v>40293</v>
      </c>
      <c r="I2279">
        <v>12271</v>
      </c>
      <c r="J2279">
        <v>15</v>
      </c>
      <c r="K2279">
        <v>17</v>
      </c>
    </row>
    <row r="2280" spans="1:11">
      <c r="A2280">
        <v>90</v>
      </c>
      <c r="B2280" t="b">
        <v>0</v>
      </c>
      <c r="C2280" t="s">
        <v>45813</v>
      </c>
      <c r="D2280">
        <v>1037022454355</v>
      </c>
      <c r="E2280">
        <v>1</v>
      </c>
      <c r="F2280">
        <v>6152944044</v>
      </c>
      <c r="G2280">
        <v>5498000</v>
      </c>
      <c r="H2280" t="s">
        <v>40293</v>
      </c>
      <c r="I2280">
        <v>12271</v>
      </c>
      <c r="J2280">
        <v>18</v>
      </c>
      <c r="K2280">
        <v>25</v>
      </c>
    </row>
    <row r="2281" spans="1:11">
      <c r="A2281">
        <v>90</v>
      </c>
      <c r="B2281" t="b">
        <v>0</v>
      </c>
      <c r="C2281" t="s">
        <v>43002</v>
      </c>
      <c r="D2281">
        <v>1037022454355</v>
      </c>
      <c r="E2281">
        <v>1</v>
      </c>
      <c r="F2281">
        <v>6128701351</v>
      </c>
      <c r="G2281">
        <v>98500</v>
      </c>
      <c r="H2281" t="s">
        <v>40293</v>
      </c>
      <c r="I2281">
        <v>12274</v>
      </c>
      <c r="J2281">
        <v>3</v>
      </c>
      <c r="K2281">
        <v>3</v>
      </c>
    </row>
    <row r="2282" spans="1:11">
      <c r="A2282">
        <v>90</v>
      </c>
      <c r="B2282" t="b">
        <v>0</v>
      </c>
      <c r="C2282" t="s">
        <v>44561</v>
      </c>
      <c r="D2282">
        <v>1037022454355</v>
      </c>
      <c r="E2282">
        <v>1</v>
      </c>
      <c r="F2282">
        <v>6127688883</v>
      </c>
      <c r="G2282">
        <v>98250</v>
      </c>
      <c r="H2282" t="s">
        <v>40293</v>
      </c>
      <c r="I2282">
        <v>12274</v>
      </c>
      <c r="J2282">
        <v>15</v>
      </c>
      <c r="K2282">
        <v>25</v>
      </c>
    </row>
    <row r="2283" spans="1:11">
      <c r="A2283">
        <v>90</v>
      </c>
      <c r="B2283" t="b">
        <v>0</v>
      </c>
      <c r="C2283" t="s">
        <v>44369</v>
      </c>
      <c r="D2283">
        <v>1037022454355</v>
      </c>
      <c r="E2283">
        <v>1</v>
      </c>
      <c r="F2283">
        <v>6132634166</v>
      </c>
      <c r="G2283">
        <v>98130</v>
      </c>
      <c r="H2283" t="s">
        <v>40293</v>
      </c>
      <c r="I2283">
        <v>12274</v>
      </c>
      <c r="J2283">
        <v>8</v>
      </c>
      <c r="K2283">
        <v>20</v>
      </c>
    </row>
    <row r="2284" spans="1:11">
      <c r="A2284">
        <v>90</v>
      </c>
      <c r="B2284" t="b">
        <v>0</v>
      </c>
      <c r="C2284" t="s">
        <v>41742</v>
      </c>
      <c r="D2284">
        <v>1037022454355</v>
      </c>
      <c r="E2284">
        <v>1</v>
      </c>
      <c r="F2284">
        <v>6098222607</v>
      </c>
      <c r="G2284">
        <v>1996000</v>
      </c>
      <c r="H2284" t="s">
        <v>40293</v>
      </c>
      <c r="I2284">
        <v>12346</v>
      </c>
      <c r="J2284">
        <v>36</v>
      </c>
      <c r="K2284">
        <v>41</v>
      </c>
    </row>
    <row r="2285" spans="1:11">
      <c r="A2285">
        <v>90</v>
      </c>
      <c r="B2285" t="b">
        <v>0</v>
      </c>
      <c r="C2285" t="s">
        <v>42663</v>
      </c>
      <c r="D2285">
        <v>1037022454355</v>
      </c>
      <c r="E2285">
        <v>1</v>
      </c>
      <c r="F2285">
        <v>6114169333</v>
      </c>
      <c r="G2285">
        <v>1925000</v>
      </c>
      <c r="H2285" t="s">
        <v>40293</v>
      </c>
      <c r="I2285">
        <v>12346</v>
      </c>
      <c r="J2285">
        <v>1</v>
      </c>
      <c r="K2285">
        <v>10</v>
      </c>
    </row>
    <row r="2286" spans="1:11">
      <c r="A2286">
        <v>90</v>
      </c>
      <c r="B2286" t="b">
        <v>0</v>
      </c>
      <c r="C2286" t="s">
        <v>43305</v>
      </c>
      <c r="D2286">
        <v>1037022454355</v>
      </c>
      <c r="E2286">
        <v>1</v>
      </c>
      <c r="F2286">
        <v>6139317949</v>
      </c>
      <c r="G2286">
        <v>1900000</v>
      </c>
      <c r="H2286" t="s">
        <v>40293</v>
      </c>
      <c r="I2286">
        <v>12346</v>
      </c>
      <c r="J2286">
        <v>11</v>
      </c>
      <c r="K2286">
        <v>20</v>
      </c>
    </row>
    <row r="2287" spans="1:11">
      <c r="A2287">
        <v>30</v>
      </c>
      <c r="B2287" t="b">
        <v>0</v>
      </c>
      <c r="C2287" t="s">
        <v>43156</v>
      </c>
      <c r="D2287">
        <v>1037022454355</v>
      </c>
      <c r="E2287">
        <v>1</v>
      </c>
      <c r="F2287">
        <v>6144401118</v>
      </c>
      <c r="G2287">
        <v>1899000</v>
      </c>
      <c r="H2287" t="s">
        <v>40293</v>
      </c>
      <c r="I2287">
        <v>12346</v>
      </c>
      <c r="J2287">
        <v>30</v>
      </c>
      <c r="K2287">
        <v>31</v>
      </c>
    </row>
    <row r="2288" spans="1:11">
      <c r="A2288">
        <v>90</v>
      </c>
      <c r="B2288" t="b">
        <v>0</v>
      </c>
      <c r="C2288" t="s">
        <v>46343</v>
      </c>
      <c r="D2288">
        <v>1037022454355</v>
      </c>
      <c r="E2288">
        <v>1</v>
      </c>
      <c r="F2288">
        <v>6126073073</v>
      </c>
      <c r="G2288">
        <v>1875000</v>
      </c>
      <c r="H2288" t="s">
        <v>40293</v>
      </c>
      <c r="I2288">
        <v>12346</v>
      </c>
      <c r="J2288">
        <v>15</v>
      </c>
      <c r="K2288">
        <v>20</v>
      </c>
    </row>
    <row r="2289" spans="1:11">
      <c r="A2289">
        <v>90</v>
      </c>
      <c r="B2289" t="b">
        <v>0</v>
      </c>
      <c r="C2289" t="s">
        <v>45717</v>
      </c>
      <c r="D2289">
        <v>1037022454355</v>
      </c>
      <c r="E2289">
        <v>1</v>
      </c>
      <c r="F2289">
        <v>6149690850</v>
      </c>
      <c r="G2289">
        <v>1874000</v>
      </c>
      <c r="H2289" t="s">
        <v>40293</v>
      </c>
      <c r="I2289">
        <v>12346</v>
      </c>
      <c r="J2289">
        <v>4</v>
      </c>
      <c r="K2289">
        <v>4</v>
      </c>
    </row>
    <row r="2290" spans="1:11">
      <c r="A2290">
        <v>90</v>
      </c>
      <c r="B2290" t="b">
        <v>0</v>
      </c>
      <c r="C2290" t="s">
        <v>42737</v>
      </c>
      <c r="D2290">
        <v>1037022454355</v>
      </c>
      <c r="E2290">
        <v>1</v>
      </c>
      <c r="F2290">
        <v>6134653894</v>
      </c>
      <c r="G2290">
        <v>624800</v>
      </c>
      <c r="H2290" t="s">
        <v>40293</v>
      </c>
      <c r="I2290">
        <v>12557</v>
      </c>
      <c r="J2290">
        <v>195</v>
      </c>
      <c r="K2290">
        <v>203</v>
      </c>
    </row>
    <row r="2291" spans="1:11">
      <c r="A2291">
        <v>90</v>
      </c>
      <c r="B2291" t="b">
        <v>0</v>
      </c>
      <c r="C2291" t="s">
        <v>42471</v>
      </c>
      <c r="D2291">
        <v>1037022454355</v>
      </c>
      <c r="E2291">
        <v>1</v>
      </c>
      <c r="F2291">
        <v>6104460632</v>
      </c>
      <c r="G2291">
        <v>600000</v>
      </c>
      <c r="H2291" t="s">
        <v>40293</v>
      </c>
      <c r="I2291">
        <v>12557</v>
      </c>
      <c r="J2291">
        <v>152</v>
      </c>
      <c r="K2291">
        <v>200</v>
      </c>
    </row>
    <row r="2292" spans="1:11">
      <c r="A2292">
        <v>90</v>
      </c>
      <c r="B2292" t="b">
        <v>0</v>
      </c>
      <c r="C2292" t="s">
        <v>43655</v>
      </c>
      <c r="D2292">
        <v>1037022454355</v>
      </c>
      <c r="E2292">
        <v>1</v>
      </c>
      <c r="F2292">
        <v>6098246000</v>
      </c>
      <c r="G2292">
        <v>475000</v>
      </c>
      <c r="H2292" t="s">
        <v>40293</v>
      </c>
      <c r="I2292">
        <v>12557</v>
      </c>
      <c r="J2292">
        <v>25</v>
      </c>
      <c r="K2292">
        <v>50</v>
      </c>
    </row>
    <row r="2293" spans="1:11">
      <c r="A2293">
        <v>90</v>
      </c>
      <c r="B2293" t="b">
        <v>0</v>
      </c>
      <c r="C2293" t="s">
        <v>45667</v>
      </c>
      <c r="D2293">
        <v>1037022454355</v>
      </c>
      <c r="E2293">
        <v>1</v>
      </c>
      <c r="F2293">
        <v>6154244955</v>
      </c>
      <c r="G2293">
        <v>695000</v>
      </c>
      <c r="H2293" t="s">
        <v>40293</v>
      </c>
      <c r="I2293">
        <v>12559</v>
      </c>
      <c r="J2293">
        <v>4</v>
      </c>
      <c r="K2293">
        <v>20</v>
      </c>
    </row>
    <row r="2294" spans="1:11">
      <c r="A2294">
        <v>90</v>
      </c>
      <c r="B2294" t="b">
        <v>0</v>
      </c>
      <c r="C2294" t="s">
        <v>44034</v>
      </c>
      <c r="D2294">
        <v>1037022454355</v>
      </c>
      <c r="E2294">
        <v>1</v>
      </c>
      <c r="F2294">
        <v>6154747925</v>
      </c>
      <c r="G2294">
        <v>693000</v>
      </c>
      <c r="H2294" t="s">
        <v>40293</v>
      </c>
      <c r="I2294">
        <v>12559</v>
      </c>
      <c r="J2294">
        <v>16</v>
      </c>
      <c r="K2294">
        <v>20</v>
      </c>
    </row>
    <row r="2295" spans="1:11">
      <c r="A2295">
        <v>90</v>
      </c>
      <c r="B2295" t="b">
        <v>0</v>
      </c>
      <c r="C2295" t="s">
        <v>44686</v>
      </c>
      <c r="D2295">
        <v>1037022454355</v>
      </c>
      <c r="E2295">
        <v>1</v>
      </c>
      <c r="F2295">
        <v>6154101439</v>
      </c>
      <c r="G2295">
        <v>692000</v>
      </c>
      <c r="H2295" t="s">
        <v>40293</v>
      </c>
      <c r="I2295">
        <v>12559</v>
      </c>
      <c r="J2295">
        <v>384</v>
      </c>
      <c r="K2295">
        <v>400</v>
      </c>
    </row>
    <row r="2296" spans="1:11">
      <c r="A2296">
        <v>90</v>
      </c>
      <c r="B2296" t="b">
        <v>0</v>
      </c>
      <c r="C2296" t="s">
        <v>40447</v>
      </c>
      <c r="D2296">
        <v>1037022454355</v>
      </c>
      <c r="E2296">
        <v>1</v>
      </c>
      <c r="F2296">
        <v>6108384896</v>
      </c>
      <c r="G2296">
        <v>150000</v>
      </c>
      <c r="H2296" t="s">
        <v>40293</v>
      </c>
      <c r="I2296">
        <v>12563</v>
      </c>
      <c r="J2296">
        <v>2</v>
      </c>
      <c r="K2296">
        <v>10</v>
      </c>
    </row>
    <row r="2297" spans="1:11">
      <c r="A2297">
        <v>90</v>
      </c>
      <c r="B2297" t="b">
        <v>0</v>
      </c>
      <c r="C2297" t="s">
        <v>44381</v>
      </c>
      <c r="D2297">
        <v>1037022454355</v>
      </c>
      <c r="E2297">
        <v>1</v>
      </c>
      <c r="F2297">
        <v>6155408115</v>
      </c>
      <c r="G2297">
        <v>99990</v>
      </c>
      <c r="H2297" t="s">
        <v>40293</v>
      </c>
      <c r="I2297">
        <v>12563</v>
      </c>
      <c r="J2297">
        <v>61</v>
      </c>
      <c r="K2297">
        <v>61</v>
      </c>
    </row>
    <row r="2298" spans="1:11">
      <c r="A2298">
        <v>90</v>
      </c>
      <c r="B2298" t="b">
        <v>0</v>
      </c>
      <c r="C2298" t="s">
        <v>44560</v>
      </c>
      <c r="D2298">
        <v>1037022454355</v>
      </c>
      <c r="E2298">
        <v>1</v>
      </c>
      <c r="F2298">
        <v>6155213999</v>
      </c>
      <c r="G2298">
        <v>99980</v>
      </c>
      <c r="H2298" t="s">
        <v>40293</v>
      </c>
      <c r="I2298">
        <v>12563</v>
      </c>
      <c r="J2298">
        <v>501</v>
      </c>
      <c r="K2298">
        <v>501</v>
      </c>
    </row>
    <row r="2299" spans="1:11">
      <c r="A2299">
        <v>90</v>
      </c>
      <c r="B2299" t="b">
        <v>0</v>
      </c>
      <c r="C2299" t="s">
        <v>40692</v>
      </c>
      <c r="D2299">
        <v>1037022454355</v>
      </c>
      <c r="E2299">
        <v>1</v>
      </c>
      <c r="F2299">
        <v>6095643272</v>
      </c>
      <c r="G2299">
        <v>399800</v>
      </c>
      <c r="H2299" t="s">
        <v>40293</v>
      </c>
      <c r="I2299">
        <v>12565</v>
      </c>
      <c r="J2299">
        <v>4</v>
      </c>
      <c r="K2299">
        <v>4</v>
      </c>
    </row>
    <row r="2300" spans="1:11">
      <c r="A2300">
        <v>90</v>
      </c>
      <c r="B2300" t="b">
        <v>0</v>
      </c>
      <c r="C2300" t="s">
        <v>41102</v>
      </c>
      <c r="D2300">
        <v>1037022454355</v>
      </c>
      <c r="E2300">
        <v>1</v>
      </c>
      <c r="F2300">
        <v>6077400938</v>
      </c>
      <c r="G2300">
        <v>399300</v>
      </c>
      <c r="H2300" t="s">
        <v>40293</v>
      </c>
      <c r="I2300">
        <v>12565</v>
      </c>
      <c r="J2300">
        <v>218</v>
      </c>
      <c r="K2300">
        <v>520</v>
      </c>
    </row>
    <row r="2301" spans="1:11">
      <c r="A2301">
        <v>90</v>
      </c>
      <c r="B2301" t="b">
        <v>0</v>
      </c>
      <c r="C2301" t="s">
        <v>42624</v>
      </c>
      <c r="D2301">
        <v>1037022454355</v>
      </c>
      <c r="E2301">
        <v>1</v>
      </c>
      <c r="F2301">
        <v>6079171354</v>
      </c>
      <c r="G2301">
        <v>398800</v>
      </c>
      <c r="H2301" t="s">
        <v>40293</v>
      </c>
      <c r="I2301">
        <v>12565</v>
      </c>
      <c r="J2301">
        <v>11</v>
      </c>
      <c r="K2301">
        <v>112</v>
      </c>
    </row>
    <row r="2302" spans="1:11">
      <c r="A2302">
        <v>90</v>
      </c>
      <c r="B2302" t="b">
        <v>0</v>
      </c>
      <c r="C2302" t="s">
        <v>43608</v>
      </c>
      <c r="D2302">
        <v>1037022454355</v>
      </c>
      <c r="E2302">
        <v>1</v>
      </c>
      <c r="F2302">
        <v>6141956460</v>
      </c>
      <c r="G2302">
        <v>500</v>
      </c>
      <c r="H2302" t="s">
        <v>40293</v>
      </c>
      <c r="I2302">
        <v>12608</v>
      </c>
      <c r="J2302">
        <v>380</v>
      </c>
      <c r="K2302">
        <v>2880</v>
      </c>
    </row>
    <row r="2303" spans="1:11">
      <c r="A2303">
        <v>90</v>
      </c>
      <c r="B2303" t="b">
        <v>0</v>
      </c>
      <c r="C2303" t="s">
        <v>42923</v>
      </c>
      <c r="D2303">
        <v>1037022454355</v>
      </c>
      <c r="E2303">
        <v>1</v>
      </c>
      <c r="F2303">
        <v>6143739056</v>
      </c>
      <c r="G2303">
        <v>449</v>
      </c>
      <c r="H2303" t="s">
        <v>40293</v>
      </c>
      <c r="I2303">
        <v>12608</v>
      </c>
      <c r="J2303">
        <v>10498</v>
      </c>
      <c r="K2303">
        <v>18250</v>
      </c>
    </row>
    <row r="2304" spans="1:11">
      <c r="A2304">
        <v>90</v>
      </c>
      <c r="B2304" t="b">
        <v>0</v>
      </c>
      <c r="C2304" t="s">
        <v>44740</v>
      </c>
      <c r="D2304">
        <v>1037022454355</v>
      </c>
      <c r="E2304">
        <v>1</v>
      </c>
      <c r="F2304">
        <v>6150628653</v>
      </c>
      <c r="G2304">
        <v>396</v>
      </c>
      <c r="H2304" t="s">
        <v>40293</v>
      </c>
      <c r="I2304">
        <v>12608</v>
      </c>
      <c r="J2304">
        <v>15221</v>
      </c>
      <c r="K2304">
        <v>20000</v>
      </c>
    </row>
    <row r="2305" spans="1:11">
      <c r="A2305">
        <v>90</v>
      </c>
      <c r="B2305" t="b">
        <v>0</v>
      </c>
      <c r="C2305" t="s">
        <v>44600</v>
      </c>
      <c r="D2305">
        <v>1037022454355</v>
      </c>
      <c r="E2305">
        <v>1</v>
      </c>
      <c r="F2305">
        <v>6155017944</v>
      </c>
      <c r="G2305">
        <v>345</v>
      </c>
      <c r="H2305" t="s">
        <v>40293</v>
      </c>
      <c r="I2305">
        <v>12608</v>
      </c>
      <c r="J2305">
        <v>20000</v>
      </c>
      <c r="K2305">
        <v>20000</v>
      </c>
    </row>
    <row r="2306" spans="1:11">
      <c r="A2306">
        <v>90</v>
      </c>
      <c r="B2306" t="b">
        <v>0</v>
      </c>
      <c r="C2306" t="s">
        <v>46217</v>
      </c>
      <c r="D2306">
        <v>1037022454355</v>
      </c>
      <c r="E2306">
        <v>1</v>
      </c>
      <c r="F2306">
        <v>6154808987</v>
      </c>
      <c r="G2306">
        <v>344</v>
      </c>
      <c r="H2306" t="s">
        <v>40293</v>
      </c>
      <c r="I2306">
        <v>12608</v>
      </c>
      <c r="J2306">
        <v>25300</v>
      </c>
      <c r="K2306">
        <v>50000</v>
      </c>
    </row>
    <row r="2307" spans="1:11">
      <c r="A2307">
        <v>90</v>
      </c>
      <c r="B2307" t="b">
        <v>0</v>
      </c>
      <c r="C2307" t="s">
        <v>41180</v>
      </c>
      <c r="D2307">
        <v>1037022454355</v>
      </c>
      <c r="E2307">
        <v>1</v>
      </c>
      <c r="F2307">
        <v>6100471029</v>
      </c>
      <c r="G2307">
        <v>64.95</v>
      </c>
      <c r="H2307" t="s">
        <v>40293</v>
      </c>
      <c r="I2307">
        <v>12612</v>
      </c>
      <c r="J2307">
        <v>72408</v>
      </c>
      <c r="K2307">
        <v>103377</v>
      </c>
    </row>
    <row r="2308" spans="1:11">
      <c r="A2308">
        <v>90</v>
      </c>
      <c r="B2308" t="b">
        <v>0</v>
      </c>
      <c r="C2308" t="s">
        <v>41267</v>
      </c>
      <c r="D2308">
        <v>1037022454355</v>
      </c>
      <c r="E2308">
        <v>1</v>
      </c>
      <c r="F2308">
        <v>6067868470</v>
      </c>
      <c r="G2308">
        <v>39.99</v>
      </c>
      <c r="H2308" t="s">
        <v>40293</v>
      </c>
      <c r="I2308">
        <v>12612</v>
      </c>
      <c r="J2308">
        <v>68814</v>
      </c>
      <c r="K2308">
        <v>300000</v>
      </c>
    </row>
    <row r="2309" spans="1:11">
      <c r="A2309">
        <v>90</v>
      </c>
      <c r="B2309" t="b">
        <v>0</v>
      </c>
      <c r="C2309" t="s">
        <v>45033</v>
      </c>
      <c r="D2309">
        <v>1037022454355</v>
      </c>
      <c r="E2309">
        <v>1</v>
      </c>
      <c r="F2309">
        <v>6155017704</v>
      </c>
      <c r="G2309">
        <v>199.3</v>
      </c>
      <c r="H2309" t="s">
        <v>40293</v>
      </c>
      <c r="I2309">
        <v>12614</v>
      </c>
      <c r="J2309">
        <v>20000</v>
      </c>
      <c r="K2309">
        <v>20000</v>
      </c>
    </row>
    <row r="2310" spans="1:11">
      <c r="A2310">
        <v>90</v>
      </c>
      <c r="B2310" t="b">
        <v>0</v>
      </c>
      <c r="C2310" t="s">
        <v>45536</v>
      </c>
      <c r="D2310">
        <v>1037022454355</v>
      </c>
      <c r="E2310">
        <v>1</v>
      </c>
      <c r="F2310">
        <v>6149360860</v>
      </c>
      <c r="G2310">
        <v>199.2</v>
      </c>
      <c r="H2310" t="s">
        <v>40293</v>
      </c>
      <c r="I2310">
        <v>12614</v>
      </c>
      <c r="J2310">
        <v>224370</v>
      </c>
      <c r="K2310">
        <v>289880</v>
      </c>
    </row>
    <row r="2311" spans="1:11">
      <c r="A2311">
        <v>90</v>
      </c>
      <c r="B2311" t="b">
        <v>0</v>
      </c>
      <c r="C2311" t="s">
        <v>41746</v>
      </c>
      <c r="D2311">
        <v>1037022454355</v>
      </c>
      <c r="E2311">
        <v>1</v>
      </c>
      <c r="F2311">
        <v>6107856473</v>
      </c>
      <c r="G2311">
        <v>135</v>
      </c>
      <c r="H2311" t="s">
        <v>40293</v>
      </c>
      <c r="I2311">
        <v>12618</v>
      </c>
      <c r="J2311">
        <v>11054</v>
      </c>
      <c r="K2311">
        <v>13204</v>
      </c>
    </row>
    <row r="2312" spans="1:11">
      <c r="A2312">
        <v>90</v>
      </c>
      <c r="B2312" t="b">
        <v>0</v>
      </c>
      <c r="C2312" t="s">
        <v>41211</v>
      </c>
      <c r="D2312">
        <v>1037022454355</v>
      </c>
      <c r="E2312">
        <v>1</v>
      </c>
      <c r="F2312">
        <v>6079827925</v>
      </c>
      <c r="G2312">
        <v>134.9</v>
      </c>
      <c r="H2312" t="s">
        <v>40293</v>
      </c>
      <c r="I2312">
        <v>12618</v>
      </c>
      <c r="J2312">
        <v>17040</v>
      </c>
      <c r="K2312">
        <v>20000</v>
      </c>
    </row>
    <row r="2313" spans="1:11">
      <c r="A2313">
        <v>90</v>
      </c>
      <c r="B2313" t="b">
        <v>0</v>
      </c>
      <c r="C2313" t="s">
        <v>41056</v>
      </c>
      <c r="D2313">
        <v>1037022454355</v>
      </c>
      <c r="E2313">
        <v>1</v>
      </c>
      <c r="F2313">
        <v>6081463155</v>
      </c>
      <c r="G2313">
        <v>134.19999999999999</v>
      </c>
      <c r="H2313" t="s">
        <v>40293</v>
      </c>
      <c r="I2313">
        <v>12618</v>
      </c>
      <c r="J2313">
        <v>20000</v>
      </c>
      <c r="K2313">
        <v>20000</v>
      </c>
    </row>
    <row r="2314" spans="1:11">
      <c r="A2314">
        <v>90</v>
      </c>
      <c r="B2314" t="b">
        <v>0</v>
      </c>
      <c r="C2314" t="s">
        <v>41744</v>
      </c>
      <c r="D2314">
        <v>1037022454355</v>
      </c>
      <c r="E2314">
        <v>1</v>
      </c>
      <c r="F2314">
        <v>6123322916</v>
      </c>
      <c r="G2314">
        <v>133.9</v>
      </c>
      <c r="H2314" t="s">
        <v>40293</v>
      </c>
      <c r="I2314">
        <v>12618</v>
      </c>
      <c r="J2314">
        <v>20000</v>
      </c>
      <c r="K2314">
        <v>20000</v>
      </c>
    </row>
    <row r="2315" spans="1:11">
      <c r="A2315">
        <v>90</v>
      </c>
      <c r="B2315" t="b">
        <v>0</v>
      </c>
      <c r="C2315" t="s">
        <v>42120</v>
      </c>
      <c r="D2315">
        <v>1037022454355</v>
      </c>
      <c r="E2315">
        <v>1</v>
      </c>
      <c r="F2315">
        <v>6084147482</v>
      </c>
      <c r="G2315">
        <v>133.6</v>
      </c>
      <c r="H2315" t="s">
        <v>40293</v>
      </c>
      <c r="I2315">
        <v>12618</v>
      </c>
      <c r="J2315">
        <v>4891</v>
      </c>
      <c r="K2315">
        <v>20000</v>
      </c>
    </row>
    <row r="2316" spans="1:11">
      <c r="A2316">
        <v>90</v>
      </c>
      <c r="B2316" t="b">
        <v>0</v>
      </c>
      <c r="C2316" t="s">
        <v>45728</v>
      </c>
      <c r="D2316">
        <v>1037022454355</v>
      </c>
      <c r="E2316">
        <v>1</v>
      </c>
      <c r="F2316">
        <v>6152738356</v>
      </c>
      <c r="G2316">
        <v>130</v>
      </c>
      <c r="H2316" t="s">
        <v>40293</v>
      </c>
      <c r="I2316">
        <v>12618</v>
      </c>
      <c r="J2316">
        <v>62360</v>
      </c>
      <c r="K2316">
        <v>72360</v>
      </c>
    </row>
    <row r="2317" spans="1:11">
      <c r="A2317">
        <v>90</v>
      </c>
      <c r="B2317" t="b">
        <v>0</v>
      </c>
      <c r="C2317" t="s">
        <v>46125</v>
      </c>
      <c r="D2317">
        <v>1037022454355</v>
      </c>
      <c r="E2317">
        <v>1</v>
      </c>
      <c r="F2317">
        <v>6152907162</v>
      </c>
      <c r="G2317">
        <v>129</v>
      </c>
      <c r="H2317" t="s">
        <v>40293</v>
      </c>
      <c r="I2317">
        <v>12618</v>
      </c>
      <c r="J2317">
        <v>8187</v>
      </c>
      <c r="K2317">
        <v>10387</v>
      </c>
    </row>
    <row r="2318" spans="1:11">
      <c r="A2318">
        <v>90</v>
      </c>
      <c r="B2318" t="b">
        <v>0</v>
      </c>
      <c r="C2318" t="s">
        <v>46038</v>
      </c>
      <c r="D2318">
        <v>1037022454355</v>
      </c>
      <c r="E2318">
        <v>1</v>
      </c>
      <c r="F2318">
        <v>6093104195</v>
      </c>
      <c r="G2318">
        <v>128</v>
      </c>
      <c r="H2318" t="s">
        <v>40293</v>
      </c>
      <c r="I2318">
        <v>12618</v>
      </c>
      <c r="J2318">
        <v>5597</v>
      </c>
      <c r="K2318">
        <v>30000</v>
      </c>
    </row>
    <row r="2319" spans="1:11">
      <c r="A2319">
        <v>90</v>
      </c>
      <c r="B2319" t="b">
        <v>0</v>
      </c>
      <c r="C2319" t="s">
        <v>44032</v>
      </c>
      <c r="D2319">
        <v>1037022454355</v>
      </c>
      <c r="E2319">
        <v>1</v>
      </c>
      <c r="F2319">
        <v>6156599292</v>
      </c>
      <c r="G2319">
        <v>100</v>
      </c>
      <c r="H2319" t="s">
        <v>40293</v>
      </c>
      <c r="I2319">
        <v>12618</v>
      </c>
      <c r="J2319">
        <v>958</v>
      </c>
      <c r="K2319">
        <v>958</v>
      </c>
    </row>
    <row r="2320" spans="1:11">
      <c r="A2320">
        <v>90</v>
      </c>
      <c r="B2320" t="b">
        <v>0</v>
      </c>
      <c r="C2320" t="s">
        <v>46481</v>
      </c>
      <c r="D2320">
        <v>1037022454355</v>
      </c>
      <c r="E2320">
        <v>1</v>
      </c>
      <c r="F2320">
        <v>6156844165</v>
      </c>
      <c r="G2320">
        <v>90</v>
      </c>
      <c r="H2320" t="s">
        <v>40293</v>
      </c>
      <c r="I2320">
        <v>12618</v>
      </c>
      <c r="J2320">
        <v>1000</v>
      </c>
      <c r="K2320">
        <v>1000</v>
      </c>
    </row>
    <row r="2321" spans="1:11">
      <c r="A2321">
        <v>90</v>
      </c>
      <c r="B2321" t="b">
        <v>0</v>
      </c>
      <c r="C2321" t="s">
        <v>42595</v>
      </c>
      <c r="D2321">
        <v>1037022454355</v>
      </c>
      <c r="E2321">
        <v>1</v>
      </c>
      <c r="F2321">
        <v>6137267804</v>
      </c>
      <c r="G2321">
        <v>1000</v>
      </c>
      <c r="H2321" t="s">
        <v>40293</v>
      </c>
      <c r="I2321">
        <v>12620</v>
      </c>
      <c r="J2321">
        <v>3808</v>
      </c>
      <c r="K2321">
        <v>3808</v>
      </c>
    </row>
    <row r="2322" spans="1:11">
      <c r="A2322">
        <v>90</v>
      </c>
      <c r="B2322" t="b">
        <v>0</v>
      </c>
      <c r="C2322" t="s">
        <v>43318</v>
      </c>
      <c r="D2322">
        <v>1037022454355</v>
      </c>
      <c r="E2322">
        <v>1</v>
      </c>
      <c r="F2322">
        <v>6138409009</v>
      </c>
      <c r="G2322">
        <v>590.20000000000005</v>
      </c>
      <c r="H2322" t="s">
        <v>40293</v>
      </c>
      <c r="I2322">
        <v>12620</v>
      </c>
      <c r="J2322">
        <v>16001</v>
      </c>
      <c r="K2322">
        <v>50000</v>
      </c>
    </row>
    <row r="2323" spans="1:11">
      <c r="A2323">
        <v>90</v>
      </c>
      <c r="B2323" t="b">
        <v>0</v>
      </c>
      <c r="C2323" t="s">
        <v>46154</v>
      </c>
      <c r="D2323">
        <v>1037022454355</v>
      </c>
      <c r="E2323">
        <v>1</v>
      </c>
      <c r="F2323">
        <v>6154244576</v>
      </c>
      <c r="G2323">
        <v>250</v>
      </c>
      <c r="H2323" t="s">
        <v>40293</v>
      </c>
      <c r="I2323">
        <v>12625</v>
      </c>
      <c r="J2323">
        <v>15680</v>
      </c>
      <c r="K2323">
        <v>20000</v>
      </c>
    </row>
    <row r="2324" spans="1:11">
      <c r="A2324">
        <v>90</v>
      </c>
      <c r="B2324" t="b">
        <v>0</v>
      </c>
      <c r="C2324" t="s">
        <v>45226</v>
      </c>
      <c r="D2324">
        <v>1037022454355</v>
      </c>
      <c r="E2324">
        <v>1</v>
      </c>
      <c r="F2324">
        <v>6149782919</v>
      </c>
      <c r="G2324">
        <v>249.9</v>
      </c>
      <c r="H2324" t="s">
        <v>40293</v>
      </c>
      <c r="I2324">
        <v>12625</v>
      </c>
      <c r="J2324">
        <v>12693</v>
      </c>
      <c r="K2324">
        <v>12693</v>
      </c>
    </row>
    <row r="2325" spans="1:11">
      <c r="A2325">
        <v>90</v>
      </c>
      <c r="B2325" t="b">
        <v>0</v>
      </c>
      <c r="C2325" t="s">
        <v>44699</v>
      </c>
      <c r="D2325">
        <v>1037022454355</v>
      </c>
      <c r="E2325">
        <v>1</v>
      </c>
      <c r="F2325">
        <v>6142534523</v>
      </c>
      <c r="G2325">
        <v>249.8</v>
      </c>
      <c r="H2325" t="s">
        <v>40293</v>
      </c>
      <c r="I2325">
        <v>12625</v>
      </c>
      <c r="J2325">
        <v>3929</v>
      </c>
      <c r="K2325">
        <v>12852</v>
      </c>
    </row>
    <row r="2326" spans="1:11">
      <c r="A2326">
        <v>90</v>
      </c>
      <c r="B2326" t="b">
        <v>0</v>
      </c>
      <c r="C2326" t="s">
        <v>41718</v>
      </c>
      <c r="D2326">
        <v>1037022454355</v>
      </c>
      <c r="E2326">
        <v>1</v>
      </c>
      <c r="F2326">
        <v>6070369292</v>
      </c>
      <c r="G2326">
        <v>118.8</v>
      </c>
      <c r="H2326" t="s">
        <v>40293</v>
      </c>
      <c r="I2326">
        <v>12631</v>
      </c>
      <c r="J2326">
        <v>88405</v>
      </c>
      <c r="K2326">
        <v>100000</v>
      </c>
    </row>
    <row r="2327" spans="1:11">
      <c r="A2327">
        <v>90</v>
      </c>
      <c r="B2327" t="b">
        <v>0</v>
      </c>
      <c r="C2327" t="s">
        <v>45641</v>
      </c>
      <c r="D2327">
        <v>1037022454355</v>
      </c>
      <c r="E2327">
        <v>1</v>
      </c>
      <c r="F2327">
        <v>6154243485</v>
      </c>
      <c r="G2327">
        <v>118.7</v>
      </c>
      <c r="H2327" t="s">
        <v>40293</v>
      </c>
      <c r="I2327">
        <v>12631</v>
      </c>
      <c r="J2327">
        <v>21008</v>
      </c>
      <c r="K2327">
        <v>22373</v>
      </c>
    </row>
    <row r="2328" spans="1:11">
      <c r="A2328">
        <v>90</v>
      </c>
      <c r="B2328" t="b">
        <v>0</v>
      </c>
      <c r="C2328" t="s">
        <v>43585</v>
      </c>
      <c r="D2328">
        <v>1037022454355</v>
      </c>
      <c r="E2328">
        <v>1</v>
      </c>
      <c r="F2328">
        <v>6141955879</v>
      </c>
      <c r="G2328">
        <v>500</v>
      </c>
      <c r="H2328" t="s">
        <v>40293</v>
      </c>
      <c r="I2328">
        <v>12633</v>
      </c>
      <c r="J2328">
        <v>940</v>
      </c>
      <c r="K2328">
        <v>1000</v>
      </c>
    </row>
    <row r="2329" spans="1:11">
      <c r="A2329">
        <v>90</v>
      </c>
      <c r="B2329" t="b">
        <v>0</v>
      </c>
      <c r="C2329" t="s">
        <v>43407</v>
      </c>
      <c r="D2329">
        <v>1037022454355</v>
      </c>
      <c r="E2329">
        <v>1</v>
      </c>
      <c r="F2329">
        <v>6142474712</v>
      </c>
      <c r="G2329">
        <v>150</v>
      </c>
      <c r="H2329" t="s">
        <v>40293</v>
      </c>
      <c r="I2329">
        <v>12633</v>
      </c>
      <c r="J2329">
        <v>9051</v>
      </c>
      <c r="K2329">
        <v>17000</v>
      </c>
    </row>
    <row r="2330" spans="1:11">
      <c r="A2330">
        <v>90</v>
      </c>
      <c r="B2330" t="b">
        <v>0</v>
      </c>
      <c r="C2330" t="s">
        <v>45635</v>
      </c>
      <c r="D2330">
        <v>1037022454355</v>
      </c>
      <c r="E2330">
        <v>1</v>
      </c>
      <c r="F2330">
        <v>6154244467</v>
      </c>
      <c r="G2330">
        <v>149</v>
      </c>
      <c r="H2330" t="s">
        <v>40293</v>
      </c>
      <c r="I2330">
        <v>12633</v>
      </c>
      <c r="J2330">
        <v>14128</v>
      </c>
      <c r="K2330">
        <v>20000</v>
      </c>
    </row>
    <row r="2331" spans="1:11">
      <c r="A2331">
        <v>90</v>
      </c>
      <c r="B2331" t="b">
        <v>0</v>
      </c>
      <c r="C2331" t="s">
        <v>44786</v>
      </c>
      <c r="D2331">
        <v>1037022454355</v>
      </c>
      <c r="E2331">
        <v>1</v>
      </c>
      <c r="F2331">
        <v>6156592932</v>
      </c>
      <c r="G2331">
        <v>200000000</v>
      </c>
      <c r="H2331" t="s">
        <v>40293</v>
      </c>
      <c r="I2331">
        <v>12729</v>
      </c>
      <c r="J2331">
        <v>1</v>
      </c>
      <c r="K2331">
        <v>1</v>
      </c>
    </row>
    <row r="2332" spans="1:11">
      <c r="A2332">
        <v>90</v>
      </c>
      <c r="B2332" t="b">
        <v>0</v>
      </c>
      <c r="C2332" t="s">
        <v>44484</v>
      </c>
      <c r="D2332">
        <v>1037022454355</v>
      </c>
      <c r="E2332">
        <v>1</v>
      </c>
      <c r="F2332">
        <v>6154852492</v>
      </c>
      <c r="G2332">
        <v>310000000</v>
      </c>
      <c r="H2332" t="s">
        <v>40293</v>
      </c>
      <c r="I2332">
        <v>12731</v>
      </c>
      <c r="J2332">
        <v>1</v>
      </c>
      <c r="K2332">
        <v>1</v>
      </c>
    </row>
    <row r="2333" spans="1:11">
      <c r="A2333">
        <v>90</v>
      </c>
      <c r="B2333" t="b">
        <v>0</v>
      </c>
      <c r="C2333" t="s">
        <v>46344</v>
      </c>
      <c r="D2333">
        <v>1037022454355</v>
      </c>
      <c r="E2333">
        <v>1</v>
      </c>
      <c r="F2333">
        <v>6156593362</v>
      </c>
      <c r="G2333">
        <v>280000000</v>
      </c>
      <c r="H2333" t="s">
        <v>40293</v>
      </c>
      <c r="I2333">
        <v>12731</v>
      </c>
      <c r="J2333">
        <v>1</v>
      </c>
      <c r="K2333">
        <v>1</v>
      </c>
    </row>
    <row r="2334" spans="1:11">
      <c r="A2334">
        <v>90</v>
      </c>
      <c r="B2334" t="b">
        <v>0</v>
      </c>
      <c r="C2334" t="s">
        <v>46012</v>
      </c>
      <c r="D2334">
        <v>1037022454355</v>
      </c>
      <c r="E2334">
        <v>1</v>
      </c>
      <c r="F2334">
        <v>6149726928</v>
      </c>
      <c r="G2334">
        <v>125000000</v>
      </c>
      <c r="H2334" t="s">
        <v>40293</v>
      </c>
      <c r="I2334">
        <v>12733</v>
      </c>
      <c r="J2334">
        <v>1</v>
      </c>
      <c r="K2334">
        <v>1</v>
      </c>
    </row>
    <row r="2335" spans="1:11">
      <c r="A2335">
        <v>90</v>
      </c>
      <c r="B2335" t="b">
        <v>0</v>
      </c>
      <c r="C2335" t="s">
        <v>44602</v>
      </c>
      <c r="D2335">
        <v>1037022454355</v>
      </c>
      <c r="E2335">
        <v>1</v>
      </c>
      <c r="F2335">
        <v>6149906159</v>
      </c>
      <c r="G2335">
        <v>230000000</v>
      </c>
      <c r="H2335" t="s">
        <v>40293</v>
      </c>
      <c r="I2335">
        <v>12735</v>
      </c>
      <c r="J2335">
        <v>1</v>
      </c>
      <c r="K2335">
        <v>1</v>
      </c>
    </row>
    <row r="2336" spans="1:11">
      <c r="A2336">
        <v>90</v>
      </c>
      <c r="B2336" t="b">
        <v>0</v>
      </c>
      <c r="C2336" t="s">
        <v>44742</v>
      </c>
      <c r="D2336">
        <v>1037022454355</v>
      </c>
      <c r="E2336">
        <v>1</v>
      </c>
      <c r="F2336">
        <v>6151611700</v>
      </c>
      <c r="G2336">
        <v>200000000</v>
      </c>
      <c r="H2336" t="s">
        <v>40293</v>
      </c>
      <c r="I2336">
        <v>12735</v>
      </c>
      <c r="J2336">
        <v>4</v>
      </c>
      <c r="K2336">
        <v>4</v>
      </c>
    </row>
    <row r="2337" spans="1:11">
      <c r="A2337">
        <v>90</v>
      </c>
      <c r="B2337" t="b">
        <v>0</v>
      </c>
      <c r="C2337" t="s">
        <v>44219</v>
      </c>
      <c r="D2337">
        <v>1037022454355</v>
      </c>
      <c r="E2337">
        <v>1</v>
      </c>
      <c r="F2337">
        <v>6154262261</v>
      </c>
      <c r="G2337">
        <v>199900000</v>
      </c>
      <c r="H2337" t="s">
        <v>40293</v>
      </c>
      <c r="I2337">
        <v>12735</v>
      </c>
      <c r="J2337">
        <v>1</v>
      </c>
      <c r="K2337">
        <v>1</v>
      </c>
    </row>
    <row r="2338" spans="1:11">
      <c r="A2338">
        <v>90</v>
      </c>
      <c r="B2338" t="b">
        <v>0</v>
      </c>
      <c r="C2338" t="s">
        <v>45828</v>
      </c>
      <c r="D2338">
        <v>1037022454355</v>
      </c>
      <c r="E2338">
        <v>1</v>
      </c>
      <c r="F2338">
        <v>6152739486</v>
      </c>
      <c r="G2338">
        <v>209000000</v>
      </c>
      <c r="H2338" t="s">
        <v>40293</v>
      </c>
      <c r="I2338">
        <v>12743</v>
      </c>
      <c r="J2338">
        <v>3</v>
      </c>
      <c r="K2338">
        <v>3</v>
      </c>
    </row>
    <row r="2339" spans="1:11">
      <c r="A2339">
        <v>90</v>
      </c>
      <c r="B2339" t="b">
        <v>0</v>
      </c>
      <c r="C2339" t="s">
        <v>44185</v>
      </c>
      <c r="D2339">
        <v>1037022454355</v>
      </c>
      <c r="E2339">
        <v>1</v>
      </c>
      <c r="F2339">
        <v>6152849366</v>
      </c>
      <c r="G2339">
        <v>199000000</v>
      </c>
      <c r="H2339" t="s">
        <v>40293</v>
      </c>
      <c r="I2339">
        <v>12743</v>
      </c>
      <c r="J2339">
        <v>1</v>
      </c>
      <c r="K2339">
        <v>1</v>
      </c>
    </row>
    <row r="2340" spans="1:11">
      <c r="A2340">
        <v>90</v>
      </c>
      <c r="B2340" t="b">
        <v>0</v>
      </c>
      <c r="C2340" t="s">
        <v>44804</v>
      </c>
      <c r="D2340">
        <v>1037022454355</v>
      </c>
      <c r="E2340">
        <v>1</v>
      </c>
      <c r="F2340">
        <v>6156593126</v>
      </c>
      <c r="G2340">
        <v>198900000</v>
      </c>
      <c r="H2340" t="s">
        <v>40293</v>
      </c>
      <c r="I2340">
        <v>12743</v>
      </c>
      <c r="J2340">
        <v>1</v>
      </c>
      <c r="K2340">
        <v>1</v>
      </c>
    </row>
    <row r="2341" spans="1:11">
      <c r="A2341">
        <v>90</v>
      </c>
      <c r="B2341" t="b">
        <v>0</v>
      </c>
      <c r="C2341" t="s">
        <v>46256</v>
      </c>
      <c r="D2341">
        <v>1037022454355</v>
      </c>
      <c r="E2341">
        <v>1</v>
      </c>
      <c r="F2341">
        <v>6154252521</v>
      </c>
      <c r="G2341">
        <v>290000000</v>
      </c>
      <c r="H2341" t="s">
        <v>40293</v>
      </c>
      <c r="I2341">
        <v>12745</v>
      </c>
      <c r="J2341">
        <v>1</v>
      </c>
      <c r="K2341">
        <v>1</v>
      </c>
    </row>
    <row r="2342" spans="1:11">
      <c r="A2342">
        <v>90</v>
      </c>
      <c r="B2342" t="b">
        <v>0</v>
      </c>
      <c r="C2342" t="s">
        <v>45124</v>
      </c>
      <c r="D2342">
        <v>1037022454355</v>
      </c>
      <c r="E2342">
        <v>1</v>
      </c>
      <c r="F2342">
        <v>6155024313</v>
      </c>
      <c r="G2342">
        <v>260000000</v>
      </c>
      <c r="H2342" t="s">
        <v>40293</v>
      </c>
      <c r="I2342">
        <v>12745</v>
      </c>
      <c r="J2342">
        <v>3</v>
      </c>
      <c r="K2342">
        <v>3</v>
      </c>
    </row>
    <row r="2343" spans="1:11">
      <c r="A2343">
        <v>90</v>
      </c>
      <c r="B2343" t="b">
        <v>0</v>
      </c>
      <c r="C2343" t="s">
        <v>42385</v>
      </c>
      <c r="D2343">
        <v>1037022454355</v>
      </c>
      <c r="E2343">
        <v>1</v>
      </c>
      <c r="F2343">
        <v>6133314372</v>
      </c>
      <c r="G2343">
        <v>260200000</v>
      </c>
      <c r="H2343" t="s">
        <v>40293</v>
      </c>
      <c r="I2343">
        <v>12747</v>
      </c>
      <c r="J2343">
        <v>4</v>
      </c>
      <c r="K2343">
        <v>4</v>
      </c>
    </row>
    <row r="2344" spans="1:11">
      <c r="A2344">
        <v>90</v>
      </c>
      <c r="B2344" t="b">
        <v>0</v>
      </c>
      <c r="C2344" t="s">
        <v>44469</v>
      </c>
      <c r="D2344">
        <v>1037022454355</v>
      </c>
      <c r="E2344">
        <v>1</v>
      </c>
      <c r="F2344">
        <v>6154262459</v>
      </c>
      <c r="G2344">
        <v>259900000</v>
      </c>
      <c r="H2344" t="s">
        <v>40293</v>
      </c>
      <c r="I2344">
        <v>12747</v>
      </c>
      <c r="J2344">
        <v>1</v>
      </c>
      <c r="K2344">
        <v>1</v>
      </c>
    </row>
    <row r="2345" spans="1:11">
      <c r="A2345">
        <v>90</v>
      </c>
      <c r="B2345" t="b">
        <v>0</v>
      </c>
      <c r="C2345" t="s">
        <v>45435</v>
      </c>
      <c r="D2345">
        <v>1037022454355</v>
      </c>
      <c r="E2345">
        <v>1</v>
      </c>
      <c r="F2345">
        <v>6154274872</v>
      </c>
      <c r="G2345">
        <v>250000000</v>
      </c>
      <c r="H2345" t="s">
        <v>40293</v>
      </c>
      <c r="I2345">
        <v>12753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45161</v>
      </c>
      <c r="D2346">
        <v>1037022454355</v>
      </c>
      <c r="E2346">
        <v>1</v>
      </c>
      <c r="F2346">
        <v>6155188819</v>
      </c>
      <c r="G2346">
        <v>220100000</v>
      </c>
      <c r="H2346" t="s">
        <v>40293</v>
      </c>
      <c r="I2346">
        <v>12753</v>
      </c>
      <c r="J2346">
        <v>1</v>
      </c>
      <c r="K2346">
        <v>1</v>
      </c>
    </row>
    <row r="2347" spans="1:11">
      <c r="A2347">
        <v>90</v>
      </c>
      <c r="B2347" t="b">
        <v>0</v>
      </c>
      <c r="C2347" t="s">
        <v>41698</v>
      </c>
      <c r="D2347">
        <v>1037022454355</v>
      </c>
      <c r="E2347">
        <v>1</v>
      </c>
      <c r="F2347">
        <v>6110280386</v>
      </c>
      <c r="G2347">
        <v>800</v>
      </c>
      <c r="H2347" t="s">
        <v>40293</v>
      </c>
      <c r="I2347">
        <v>12761</v>
      </c>
      <c r="J2347">
        <v>10314</v>
      </c>
      <c r="K2347">
        <v>11314</v>
      </c>
    </row>
    <row r="2348" spans="1:11">
      <c r="A2348">
        <v>90</v>
      </c>
      <c r="B2348" t="b">
        <v>0</v>
      </c>
      <c r="C2348" t="s">
        <v>41933</v>
      </c>
      <c r="D2348">
        <v>1037022454355</v>
      </c>
      <c r="E2348">
        <v>1</v>
      </c>
      <c r="F2348">
        <v>6126295629</v>
      </c>
      <c r="G2348">
        <v>775</v>
      </c>
      <c r="H2348" t="s">
        <v>40293</v>
      </c>
      <c r="I2348">
        <v>12761</v>
      </c>
      <c r="J2348">
        <v>2557</v>
      </c>
      <c r="K2348">
        <v>2557</v>
      </c>
    </row>
    <row r="2349" spans="1:11">
      <c r="A2349">
        <v>90</v>
      </c>
      <c r="B2349" t="b">
        <v>0</v>
      </c>
      <c r="C2349" t="s">
        <v>42302</v>
      </c>
      <c r="D2349">
        <v>1037022454355</v>
      </c>
      <c r="E2349">
        <v>1</v>
      </c>
      <c r="F2349">
        <v>6132073207</v>
      </c>
      <c r="G2349">
        <v>760</v>
      </c>
      <c r="H2349" t="s">
        <v>40293</v>
      </c>
      <c r="I2349">
        <v>12761</v>
      </c>
      <c r="J2349">
        <v>724</v>
      </c>
      <c r="K2349">
        <v>1120</v>
      </c>
    </row>
    <row r="2350" spans="1:11">
      <c r="A2350">
        <v>90</v>
      </c>
      <c r="B2350" t="b">
        <v>0</v>
      </c>
      <c r="C2350" t="s">
        <v>43569</v>
      </c>
      <c r="D2350">
        <v>1037022454355</v>
      </c>
      <c r="E2350">
        <v>1</v>
      </c>
      <c r="F2350">
        <v>6141955496</v>
      </c>
      <c r="G2350">
        <v>745</v>
      </c>
      <c r="H2350" t="s">
        <v>40293</v>
      </c>
      <c r="I2350">
        <v>12761</v>
      </c>
      <c r="J2350">
        <v>1200</v>
      </c>
      <c r="K2350">
        <v>1200</v>
      </c>
    </row>
    <row r="2351" spans="1:11">
      <c r="A2351">
        <v>90</v>
      </c>
      <c r="B2351" t="b">
        <v>0</v>
      </c>
      <c r="C2351" t="s">
        <v>46317</v>
      </c>
      <c r="D2351">
        <v>1037022454355</v>
      </c>
      <c r="E2351">
        <v>1</v>
      </c>
      <c r="F2351">
        <v>6152909625</v>
      </c>
      <c r="G2351">
        <v>744</v>
      </c>
      <c r="H2351" t="s">
        <v>40293</v>
      </c>
      <c r="I2351">
        <v>12761</v>
      </c>
      <c r="J2351">
        <v>1000</v>
      </c>
      <c r="K2351">
        <v>1000</v>
      </c>
    </row>
    <row r="2352" spans="1:11">
      <c r="A2352">
        <v>90</v>
      </c>
      <c r="B2352" t="b">
        <v>0</v>
      </c>
      <c r="C2352" t="s">
        <v>40522</v>
      </c>
      <c r="D2352">
        <v>1037022454355</v>
      </c>
      <c r="E2352">
        <v>1</v>
      </c>
      <c r="F2352">
        <v>6070605137</v>
      </c>
      <c r="G2352">
        <v>692</v>
      </c>
      <c r="H2352" t="s">
        <v>40293</v>
      </c>
      <c r="I2352">
        <v>12765</v>
      </c>
      <c r="J2352">
        <v>160000</v>
      </c>
      <c r="K2352">
        <v>160000</v>
      </c>
    </row>
    <row r="2353" spans="1:11">
      <c r="A2353">
        <v>90</v>
      </c>
      <c r="B2353" t="b">
        <v>0</v>
      </c>
      <c r="C2353" t="s">
        <v>43862</v>
      </c>
      <c r="D2353">
        <v>1037022454355</v>
      </c>
      <c r="E2353">
        <v>1</v>
      </c>
      <c r="F2353">
        <v>6139122496</v>
      </c>
      <c r="G2353">
        <v>574</v>
      </c>
      <c r="H2353" t="s">
        <v>40293</v>
      </c>
      <c r="I2353">
        <v>12765</v>
      </c>
      <c r="J2353">
        <v>31</v>
      </c>
      <c r="K2353">
        <v>31</v>
      </c>
    </row>
    <row r="2354" spans="1:11">
      <c r="A2354">
        <v>90</v>
      </c>
      <c r="B2354" t="b">
        <v>0</v>
      </c>
      <c r="C2354" t="s">
        <v>43541</v>
      </c>
      <c r="D2354">
        <v>1037022454355</v>
      </c>
      <c r="E2354">
        <v>1</v>
      </c>
      <c r="F2354">
        <v>6141561279</v>
      </c>
      <c r="G2354">
        <v>573.9</v>
      </c>
      <c r="H2354" t="s">
        <v>40293</v>
      </c>
      <c r="I2354">
        <v>12765</v>
      </c>
      <c r="J2354">
        <v>42</v>
      </c>
      <c r="K2354">
        <v>42</v>
      </c>
    </row>
    <row r="2355" spans="1:11">
      <c r="A2355">
        <v>30</v>
      </c>
      <c r="B2355" t="b">
        <v>0</v>
      </c>
      <c r="C2355" t="s">
        <v>44856</v>
      </c>
      <c r="D2355">
        <v>1037022454355</v>
      </c>
      <c r="E2355">
        <v>1</v>
      </c>
      <c r="F2355">
        <v>6147418840</v>
      </c>
      <c r="G2355">
        <v>500</v>
      </c>
      <c r="H2355" t="s">
        <v>40293</v>
      </c>
      <c r="I2355">
        <v>12765</v>
      </c>
      <c r="J2355">
        <v>1332</v>
      </c>
      <c r="K2355">
        <v>1332</v>
      </c>
    </row>
    <row r="2356" spans="1:11">
      <c r="A2356">
        <v>90</v>
      </c>
      <c r="B2356" t="b">
        <v>0</v>
      </c>
      <c r="C2356" t="s">
        <v>44381</v>
      </c>
      <c r="D2356">
        <v>1037022454355</v>
      </c>
      <c r="E2356">
        <v>1</v>
      </c>
      <c r="F2356">
        <v>6155408114</v>
      </c>
      <c r="G2356">
        <v>820.1</v>
      </c>
      <c r="H2356" t="s">
        <v>40293</v>
      </c>
      <c r="I2356">
        <v>12767</v>
      </c>
      <c r="J2356">
        <v>10822</v>
      </c>
      <c r="K2356">
        <v>17322</v>
      </c>
    </row>
    <row r="2357" spans="1:11">
      <c r="A2357">
        <v>90</v>
      </c>
      <c r="B2357" t="b">
        <v>0</v>
      </c>
      <c r="C2357" t="s">
        <v>44138</v>
      </c>
      <c r="D2357">
        <v>1037022454355</v>
      </c>
      <c r="E2357">
        <v>1</v>
      </c>
      <c r="F2357">
        <v>6090965208</v>
      </c>
      <c r="G2357">
        <v>427.3</v>
      </c>
      <c r="H2357" t="s">
        <v>40293</v>
      </c>
      <c r="I2357">
        <v>12771</v>
      </c>
      <c r="J2357">
        <v>205419</v>
      </c>
      <c r="K2357">
        <v>400000</v>
      </c>
    </row>
    <row r="2358" spans="1:11">
      <c r="A2358">
        <v>90</v>
      </c>
      <c r="B2358" t="b">
        <v>0</v>
      </c>
      <c r="C2358" t="s">
        <v>45313</v>
      </c>
      <c r="D2358">
        <v>1037022454355</v>
      </c>
      <c r="E2358">
        <v>1</v>
      </c>
      <c r="F2358">
        <v>6150832805</v>
      </c>
      <c r="G2358">
        <v>427.2</v>
      </c>
      <c r="H2358" t="s">
        <v>40293</v>
      </c>
      <c r="I2358">
        <v>12771</v>
      </c>
      <c r="J2358">
        <v>134734</v>
      </c>
      <c r="K2358">
        <v>190000</v>
      </c>
    </row>
    <row r="2359" spans="1:11">
      <c r="A2359">
        <v>90</v>
      </c>
      <c r="B2359" t="b">
        <v>0</v>
      </c>
      <c r="C2359" t="s">
        <v>40827</v>
      </c>
      <c r="D2359">
        <v>1037022454355</v>
      </c>
      <c r="E2359">
        <v>1</v>
      </c>
      <c r="F2359">
        <v>6124253830</v>
      </c>
      <c r="G2359">
        <v>750</v>
      </c>
      <c r="H2359" t="s">
        <v>40293</v>
      </c>
      <c r="I2359">
        <v>12773</v>
      </c>
      <c r="J2359">
        <v>100000</v>
      </c>
      <c r="K2359">
        <v>100000</v>
      </c>
    </row>
    <row r="2360" spans="1:11">
      <c r="A2360">
        <v>90</v>
      </c>
      <c r="B2360" t="b">
        <v>0</v>
      </c>
      <c r="C2360" t="s">
        <v>40570</v>
      </c>
      <c r="D2360">
        <v>1037022454355</v>
      </c>
      <c r="E2360">
        <v>1</v>
      </c>
      <c r="F2360">
        <v>6125656253</v>
      </c>
      <c r="G2360">
        <v>700</v>
      </c>
      <c r="H2360" t="s">
        <v>40293</v>
      </c>
      <c r="I2360">
        <v>12773</v>
      </c>
      <c r="J2360">
        <v>48500</v>
      </c>
      <c r="K2360">
        <v>50000</v>
      </c>
    </row>
    <row r="2361" spans="1:11">
      <c r="A2361">
        <v>90</v>
      </c>
      <c r="B2361" t="b">
        <v>0</v>
      </c>
      <c r="C2361" t="s">
        <v>42302</v>
      </c>
      <c r="D2361">
        <v>1037022454355</v>
      </c>
      <c r="E2361">
        <v>1</v>
      </c>
      <c r="F2361">
        <v>6132073204</v>
      </c>
      <c r="G2361">
        <v>900</v>
      </c>
      <c r="H2361" t="s">
        <v>40293</v>
      </c>
      <c r="I2361">
        <v>12775</v>
      </c>
      <c r="J2361">
        <v>20742</v>
      </c>
      <c r="K2361">
        <v>21942</v>
      </c>
    </row>
    <row r="2362" spans="1:11">
      <c r="A2362">
        <v>90</v>
      </c>
      <c r="B2362" t="b">
        <v>0</v>
      </c>
      <c r="C2362" t="s">
        <v>43137</v>
      </c>
      <c r="D2362">
        <v>1037022454355</v>
      </c>
      <c r="E2362">
        <v>1</v>
      </c>
      <c r="F2362">
        <v>6123494747</v>
      </c>
      <c r="G2362">
        <v>899.7</v>
      </c>
      <c r="H2362" t="s">
        <v>40293</v>
      </c>
      <c r="I2362">
        <v>12775</v>
      </c>
      <c r="J2362">
        <v>21612</v>
      </c>
      <c r="K2362">
        <v>100820</v>
      </c>
    </row>
    <row r="2363" spans="1:11">
      <c r="A2363">
        <v>90</v>
      </c>
      <c r="B2363" t="b">
        <v>0</v>
      </c>
      <c r="C2363" t="s">
        <v>40907</v>
      </c>
      <c r="D2363">
        <v>1037022454355</v>
      </c>
      <c r="E2363">
        <v>1</v>
      </c>
      <c r="F2363">
        <v>6124882218</v>
      </c>
      <c r="G2363">
        <v>640</v>
      </c>
      <c r="H2363" t="s">
        <v>40293</v>
      </c>
      <c r="I2363">
        <v>12777</v>
      </c>
      <c r="J2363">
        <v>100000</v>
      </c>
      <c r="K2363">
        <v>100000</v>
      </c>
    </row>
    <row r="2364" spans="1:11">
      <c r="A2364">
        <v>90</v>
      </c>
      <c r="B2364" t="b">
        <v>0</v>
      </c>
      <c r="C2364" t="s">
        <v>40575</v>
      </c>
      <c r="D2364">
        <v>1037022454355</v>
      </c>
      <c r="E2364">
        <v>1</v>
      </c>
      <c r="F2364">
        <v>6125656362</v>
      </c>
      <c r="G2364">
        <v>580</v>
      </c>
      <c r="H2364" t="s">
        <v>40293</v>
      </c>
      <c r="I2364">
        <v>12777</v>
      </c>
      <c r="J2364">
        <v>50000</v>
      </c>
      <c r="K2364">
        <v>50000</v>
      </c>
    </row>
    <row r="2365" spans="1:11">
      <c r="A2365">
        <v>90</v>
      </c>
      <c r="B2365" t="b">
        <v>0</v>
      </c>
      <c r="C2365" t="s">
        <v>41973</v>
      </c>
      <c r="D2365">
        <v>1037022454355</v>
      </c>
      <c r="E2365">
        <v>1</v>
      </c>
      <c r="F2365">
        <v>6127251731</v>
      </c>
      <c r="G2365">
        <v>500</v>
      </c>
      <c r="H2365" t="s">
        <v>40293</v>
      </c>
      <c r="I2365">
        <v>12777</v>
      </c>
      <c r="J2365">
        <v>17000</v>
      </c>
      <c r="K2365">
        <v>20000</v>
      </c>
    </row>
    <row r="2366" spans="1:11">
      <c r="A2366">
        <v>90</v>
      </c>
      <c r="B2366" t="b">
        <v>0</v>
      </c>
      <c r="C2366" t="s">
        <v>41786</v>
      </c>
      <c r="D2366">
        <v>1037022454355</v>
      </c>
      <c r="E2366">
        <v>1</v>
      </c>
      <c r="F2366">
        <v>6128066561</v>
      </c>
      <c r="G2366">
        <v>450</v>
      </c>
      <c r="H2366" t="s">
        <v>40293</v>
      </c>
      <c r="I2366">
        <v>12777</v>
      </c>
      <c r="J2366">
        <v>20000</v>
      </c>
      <c r="K2366">
        <v>20000</v>
      </c>
    </row>
    <row r="2367" spans="1:11">
      <c r="A2367">
        <v>90</v>
      </c>
      <c r="B2367" t="b">
        <v>0</v>
      </c>
      <c r="C2367" t="s">
        <v>43752</v>
      </c>
      <c r="D2367">
        <v>1037022454355</v>
      </c>
      <c r="E2367">
        <v>1</v>
      </c>
      <c r="F2367">
        <v>6141956344</v>
      </c>
      <c r="G2367">
        <v>443</v>
      </c>
      <c r="H2367" t="s">
        <v>40293</v>
      </c>
      <c r="I2367">
        <v>12777</v>
      </c>
      <c r="J2367">
        <v>1445</v>
      </c>
      <c r="K2367">
        <v>8493</v>
      </c>
    </row>
    <row r="2368" spans="1:11">
      <c r="A2368">
        <v>90</v>
      </c>
      <c r="B2368" t="b">
        <v>0</v>
      </c>
      <c r="C2368" t="s">
        <v>44626</v>
      </c>
      <c r="D2368">
        <v>1037022454355</v>
      </c>
      <c r="E2368">
        <v>1</v>
      </c>
      <c r="F2368">
        <v>6154297394</v>
      </c>
      <c r="G2368">
        <v>1500</v>
      </c>
      <c r="H2368" t="s">
        <v>40293</v>
      </c>
      <c r="I2368">
        <v>12779</v>
      </c>
      <c r="J2368">
        <v>30000</v>
      </c>
      <c r="K2368">
        <v>30000</v>
      </c>
    </row>
    <row r="2369" spans="1:11">
      <c r="A2369">
        <v>90</v>
      </c>
      <c r="B2369" t="b">
        <v>0</v>
      </c>
      <c r="C2369" t="s">
        <v>45236</v>
      </c>
      <c r="D2369">
        <v>1037022454355</v>
      </c>
      <c r="E2369">
        <v>1</v>
      </c>
      <c r="F2369">
        <v>6152633827</v>
      </c>
      <c r="G2369">
        <v>1500</v>
      </c>
      <c r="H2369" t="s">
        <v>40293</v>
      </c>
      <c r="I2369">
        <v>12779</v>
      </c>
      <c r="J2369">
        <v>50000</v>
      </c>
      <c r="K2369">
        <v>60000</v>
      </c>
    </row>
    <row r="2370" spans="1:11">
      <c r="A2370">
        <v>90</v>
      </c>
      <c r="B2370" t="b">
        <v>0</v>
      </c>
      <c r="C2370" t="s">
        <v>46264</v>
      </c>
      <c r="D2370">
        <v>1037022454355</v>
      </c>
      <c r="E2370">
        <v>1</v>
      </c>
      <c r="F2370">
        <v>6154155702</v>
      </c>
      <c r="G2370">
        <v>1500</v>
      </c>
      <c r="H2370" t="s">
        <v>40293</v>
      </c>
      <c r="I2370">
        <v>12779</v>
      </c>
      <c r="J2370">
        <v>60000</v>
      </c>
      <c r="K2370">
        <v>60000</v>
      </c>
    </row>
    <row r="2371" spans="1:11">
      <c r="A2371">
        <v>30</v>
      </c>
      <c r="B2371" t="b">
        <v>0</v>
      </c>
      <c r="C2371" t="s">
        <v>44081</v>
      </c>
      <c r="D2371">
        <v>1037022454355</v>
      </c>
      <c r="E2371">
        <v>1</v>
      </c>
      <c r="F2371">
        <v>6154463563</v>
      </c>
      <c r="G2371">
        <v>805.8</v>
      </c>
      <c r="H2371" t="s">
        <v>40293</v>
      </c>
      <c r="I2371">
        <v>12785</v>
      </c>
      <c r="J2371">
        <v>2000</v>
      </c>
      <c r="K2371">
        <v>2000</v>
      </c>
    </row>
    <row r="2372" spans="1:11">
      <c r="A2372">
        <v>90</v>
      </c>
      <c r="B2372" t="b">
        <v>0</v>
      </c>
      <c r="C2372" t="s">
        <v>46078</v>
      </c>
      <c r="D2372">
        <v>1037022454355</v>
      </c>
      <c r="E2372">
        <v>1</v>
      </c>
      <c r="F2372">
        <v>6154938035</v>
      </c>
      <c r="G2372">
        <v>800</v>
      </c>
      <c r="H2372" t="s">
        <v>40293</v>
      </c>
      <c r="I2372">
        <v>12785</v>
      </c>
      <c r="J2372">
        <v>15000</v>
      </c>
      <c r="K2372">
        <v>20000</v>
      </c>
    </row>
    <row r="2373" spans="1:11">
      <c r="A2373">
        <v>90</v>
      </c>
      <c r="B2373" t="b">
        <v>0</v>
      </c>
      <c r="C2373" t="s">
        <v>45311</v>
      </c>
      <c r="D2373">
        <v>1037022454355</v>
      </c>
      <c r="E2373">
        <v>1</v>
      </c>
      <c r="F2373">
        <v>6145131149</v>
      </c>
      <c r="G2373">
        <v>799</v>
      </c>
      <c r="H2373" t="s">
        <v>40293</v>
      </c>
      <c r="I2373">
        <v>12785</v>
      </c>
      <c r="J2373">
        <v>9966</v>
      </c>
      <c r="K2373">
        <v>150000</v>
      </c>
    </row>
    <row r="2374" spans="1:11">
      <c r="A2374">
        <v>30</v>
      </c>
      <c r="B2374" t="b">
        <v>0</v>
      </c>
      <c r="C2374" t="s">
        <v>44553</v>
      </c>
      <c r="D2374">
        <v>1037022454355</v>
      </c>
      <c r="E2374">
        <v>1</v>
      </c>
      <c r="F2374">
        <v>6151297550</v>
      </c>
      <c r="G2374">
        <v>999</v>
      </c>
      <c r="H2374" t="s">
        <v>40293</v>
      </c>
      <c r="I2374">
        <v>12787</v>
      </c>
      <c r="J2374">
        <v>39999</v>
      </c>
      <c r="K2374">
        <v>40000</v>
      </c>
    </row>
    <row r="2375" spans="1:11">
      <c r="A2375">
        <v>90</v>
      </c>
      <c r="B2375" t="b">
        <v>0</v>
      </c>
      <c r="C2375" t="s">
        <v>45539</v>
      </c>
      <c r="D2375">
        <v>1037022454355</v>
      </c>
      <c r="E2375">
        <v>1</v>
      </c>
      <c r="F2375">
        <v>6150573305</v>
      </c>
      <c r="G2375">
        <v>998</v>
      </c>
      <c r="H2375" t="s">
        <v>40293</v>
      </c>
      <c r="I2375">
        <v>12787</v>
      </c>
      <c r="J2375">
        <v>190000</v>
      </c>
      <c r="K2375">
        <v>200000</v>
      </c>
    </row>
    <row r="2376" spans="1:11">
      <c r="A2376">
        <v>90</v>
      </c>
      <c r="B2376" t="b">
        <v>0</v>
      </c>
      <c r="C2376" t="s">
        <v>45461</v>
      </c>
      <c r="D2376">
        <v>1037022454355</v>
      </c>
      <c r="E2376">
        <v>1</v>
      </c>
      <c r="F2376">
        <v>6149360023</v>
      </c>
      <c r="G2376">
        <v>997</v>
      </c>
      <c r="H2376" t="s">
        <v>40293</v>
      </c>
      <c r="I2376">
        <v>12787</v>
      </c>
      <c r="J2376">
        <v>196000</v>
      </c>
      <c r="K2376">
        <v>200000</v>
      </c>
    </row>
    <row r="2377" spans="1:11">
      <c r="A2377">
        <v>90</v>
      </c>
      <c r="B2377" t="b">
        <v>0</v>
      </c>
      <c r="C2377" t="s">
        <v>43443</v>
      </c>
      <c r="D2377">
        <v>1037022454355</v>
      </c>
      <c r="E2377">
        <v>1</v>
      </c>
      <c r="F2377">
        <v>6128811247</v>
      </c>
      <c r="G2377">
        <v>758.9</v>
      </c>
      <c r="H2377" t="s">
        <v>40293</v>
      </c>
      <c r="I2377">
        <v>12789</v>
      </c>
      <c r="J2377">
        <v>20723</v>
      </c>
      <c r="K2377">
        <v>39361</v>
      </c>
    </row>
    <row r="2378" spans="1:11">
      <c r="A2378">
        <v>30</v>
      </c>
      <c r="B2378" t="b">
        <v>0</v>
      </c>
      <c r="C2378" t="s">
        <v>44081</v>
      </c>
      <c r="D2378">
        <v>1037022454355</v>
      </c>
      <c r="E2378">
        <v>1</v>
      </c>
      <c r="F2378">
        <v>6154463562</v>
      </c>
      <c r="G2378">
        <v>616.70000000000005</v>
      </c>
      <c r="H2378" t="s">
        <v>40293</v>
      </c>
      <c r="I2378">
        <v>12789</v>
      </c>
      <c r="J2378">
        <v>4546</v>
      </c>
      <c r="K2378">
        <v>4546</v>
      </c>
    </row>
    <row r="2379" spans="1:11">
      <c r="A2379">
        <v>90</v>
      </c>
      <c r="B2379" t="b">
        <v>0</v>
      </c>
      <c r="C2379" t="s">
        <v>44657</v>
      </c>
      <c r="D2379">
        <v>1037022454355</v>
      </c>
      <c r="E2379">
        <v>1</v>
      </c>
      <c r="F2379">
        <v>6143156572</v>
      </c>
      <c r="G2379">
        <v>600</v>
      </c>
      <c r="H2379" t="s">
        <v>40293</v>
      </c>
      <c r="I2379">
        <v>12789</v>
      </c>
      <c r="J2379">
        <v>15821</v>
      </c>
      <c r="K2379">
        <v>20000</v>
      </c>
    </row>
    <row r="2380" spans="1:11">
      <c r="A2380">
        <v>90</v>
      </c>
      <c r="B2380" t="b">
        <v>0</v>
      </c>
      <c r="C2380" t="s">
        <v>46081</v>
      </c>
      <c r="D2380">
        <v>1037022454355</v>
      </c>
      <c r="E2380">
        <v>1</v>
      </c>
      <c r="F2380">
        <v>6154938134</v>
      </c>
      <c r="G2380">
        <v>598</v>
      </c>
      <c r="H2380" t="s">
        <v>40293</v>
      </c>
      <c r="I2380">
        <v>12789</v>
      </c>
      <c r="J2380">
        <v>13000</v>
      </c>
      <c r="K2380">
        <v>20000</v>
      </c>
    </row>
    <row r="2381" spans="1:11">
      <c r="A2381">
        <v>30</v>
      </c>
      <c r="B2381" t="b">
        <v>0</v>
      </c>
      <c r="C2381" t="s">
        <v>45225</v>
      </c>
      <c r="D2381">
        <v>1037022454355</v>
      </c>
      <c r="E2381">
        <v>1</v>
      </c>
      <c r="F2381">
        <v>6139854209</v>
      </c>
      <c r="G2381">
        <v>597</v>
      </c>
      <c r="H2381" t="s">
        <v>40293</v>
      </c>
      <c r="I2381">
        <v>12789</v>
      </c>
      <c r="J2381">
        <v>298269</v>
      </c>
      <c r="K2381">
        <v>489400</v>
      </c>
    </row>
    <row r="2382" spans="1:11">
      <c r="A2382">
        <v>90</v>
      </c>
      <c r="B2382" t="b">
        <v>0</v>
      </c>
      <c r="C2382" t="s">
        <v>43416</v>
      </c>
      <c r="D2382">
        <v>1037022454355</v>
      </c>
      <c r="E2382">
        <v>1</v>
      </c>
      <c r="F2382">
        <v>6141659569</v>
      </c>
      <c r="G2382">
        <v>950</v>
      </c>
      <c r="H2382" t="s">
        <v>40293</v>
      </c>
      <c r="I2382">
        <v>12791</v>
      </c>
      <c r="J2382">
        <v>53551</v>
      </c>
      <c r="K2382">
        <v>77990</v>
      </c>
    </row>
    <row r="2383" spans="1:11">
      <c r="A2383">
        <v>90</v>
      </c>
      <c r="B2383" t="b">
        <v>0</v>
      </c>
      <c r="C2383" t="s">
        <v>44395</v>
      </c>
      <c r="D2383">
        <v>1037022454355</v>
      </c>
      <c r="E2383">
        <v>1</v>
      </c>
      <c r="F2383">
        <v>6146233188</v>
      </c>
      <c r="G2383">
        <v>944</v>
      </c>
      <c r="H2383" t="s">
        <v>40293</v>
      </c>
      <c r="I2383">
        <v>12791</v>
      </c>
      <c r="J2383">
        <v>60713</v>
      </c>
      <c r="K2383">
        <v>65713</v>
      </c>
    </row>
    <row r="2384" spans="1:11">
      <c r="A2384">
        <v>90</v>
      </c>
      <c r="B2384" t="b">
        <v>0</v>
      </c>
      <c r="C2384" t="s">
        <v>45532</v>
      </c>
      <c r="D2384">
        <v>1037022454355</v>
      </c>
      <c r="E2384">
        <v>1</v>
      </c>
      <c r="F2384">
        <v>6150573234</v>
      </c>
      <c r="G2384">
        <v>850</v>
      </c>
      <c r="H2384" t="s">
        <v>40293</v>
      </c>
      <c r="I2384">
        <v>12791</v>
      </c>
      <c r="J2384">
        <v>84800</v>
      </c>
      <c r="K2384">
        <v>100000</v>
      </c>
    </row>
    <row r="2385" spans="1:11">
      <c r="A2385">
        <v>90</v>
      </c>
      <c r="B2385" t="b">
        <v>0</v>
      </c>
      <c r="C2385" t="s">
        <v>44066</v>
      </c>
      <c r="D2385">
        <v>1037022454355</v>
      </c>
      <c r="E2385">
        <v>1</v>
      </c>
      <c r="F2385">
        <v>6147670413</v>
      </c>
      <c r="G2385">
        <v>849</v>
      </c>
      <c r="H2385" t="s">
        <v>40293</v>
      </c>
      <c r="I2385">
        <v>12791</v>
      </c>
      <c r="J2385">
        <v>11508</v>
      </c>
      <c r="K2385">
        <v>11508</v>
      </c>
    </row>
    <row r="2386" spans="1:11">
      <c r="A2386">
        <v>90</v>
      </c>
      <c r="B2386" t="b">
        <v>0</v>
      </c>
      <c r="C2386" t="s">
        <v>41645</v>
      </c>
      <c r="D2386">
        <v>1037022454355</v>
      </c>
      <c r="E2386">
        <v>1</v>
      </c>
      <c r="F2386">
        <v>6096385385</v>
      </c>
      <c r="G2386">
        <v>363.5</v>
      </c>
      <c r="H2386" t="s">
        <v>40293</v>
      </c>
      <c r="I2386">
        <v>12801</v>
      </c>
      <c r="J2386">
        <v>20000</v>
      </c>
      <c r="K2386">
        <v>20000</v>
      </c>
    </row>
    <row r="2387" spans="1:11">
      <c r="A2387">
        <v>90</v>
      </c>
      <c r="B2387" t="b">
        <v>0</v>
      </c>
      <c r="C2387" t="s">
        <v>41031</v>
      </c>
      <c r="D2387">
        <v>1037022454355</v>
      </c>
      <c r="E2387">
        <v>1</v>
      </c>
      <c r="F2387">
        <v>6085001626</v>
      </c>
      <c r="G2387">
        <v>363</v>
      </c>
      <c r="H2387" t="s">
        <v>40293</v>
      </c>
      <c r="I2387">
        <v>12801</v>
      </c>
      <c r="J2387">
        <v>14000</v>
      </c>
      <c r="K2387">
        <v>15000</v>
      </c>
    </row>
    <row r="2388" spans="1:11">
      <c r="A2388">
        <v>90</v>
      </c>
      <c r="B2388" t="b">
        <v>0</v>
      </c>
      <c r="C2388" t="s">
        <v>40356</v>
      </c>
      <c r="D2388">
        <v>1037022454355</v>
      </c>
      <c r="E2388">
        <v>1</v>
      </c>
      <c r="F2388">
        <v>6091441709</v>
      </c>
      <c r="G2388">
        <v>362.6</v>
      </c>
      <c r="H2388" t="s">
        <v>40293</v>
      </c>
      <c r="I2388">
        <v>12801</v>
      </c>
      <c r="J2388">
        <v>16155</v>
      </c>
      <c r="K2388">
        <v>17155</v>
      </c>
    </row>
    <row r="2389" spans="1:11">
      <c r="A2389">
        <v>90</v>
      </c>
      <c r="B2389" t="b">
        <v>0</v>
      </c>
      <c r="C2389" t="s">
        <v>40552</v>
      </c>
      <c r="D2389">
        <v>1037022454355</v>
      </c>
      <c r="E2389">
        <v>1</v>
      </c>
      <c r="F2389">
        <v>6093702128</v>
      </c>
      <c r="G2389">
        <v>362.4</v>
      </c>
      <c r="H2389" t="s">
        <v>40293</v>
      </c>
      <c r="I2389">
        <v>12801</v>
      </c>
      <c r="J2389">
        <v>20000</v>
      </c>
      <c r="K2389">
        <v>20000</v>
      </c>
    </row>
    <row r="2390" spans="1:11">
      <c r="A2390">
        <v>90</v>
      </c>
      <c r="B2390" t="b">
        <v>0</v>
      </c>
      <c r="C2390" t="s">
        <v>41475</v>
      </c>
      <c r="D2390">
        <v>1037022454355</v>
      </c>
      <c r="E2390">
        <v>1</v>
      </c>
      <c r="F2390">
        <v>6107855743</v>
      </c>
      <c r="G2390">
        <v>360.5</v>
      </c>
      <c r="H2390" t="s">
        <v>40293</v>
      </c>
      <c r="I2390">
        <v>12801</v>
      </c>
      <c r="J2390">
        <v>3864</v>
      </c>
      <c r="K2390">
        <v>3864</v>
      </c>
    </row>
    <row r="2391" spans="1:11">
      <c r="A2391">
        <v>90</v>
      </c>
      <c r="B2391" t="b">
        <v>0</v>
      </c>
      <c r="C2391" t="s">
        <v>41924</v>
      </c>
      <c r="D2391">
        <v>1037022454355</v>
      </c>
      <c r="E2391">
        <v>1</v>
      </c>
      <c r="F2391">
        <v>6126490785</v>
      </c>
      <c r="G2391">
        <v>355.6</v>
      </c>
      <c r="H2391" t="s">
        <v>40293</v>
      </c>
      <c r="I2391">
        <v>12801</v>
      </c>
      <c r="J2391">
        <v>64684</v>
      </c>
      <c r="K2391">
        <v>70000</v>
      </c>
    </row>
    <row r="2392" spans="1:11">
      <c r="A2392">
        <v>90</v>
      </c>
      <c r="B2392" t="b">
        <v>0</v>
      </c>
      <c r="C2392" t="s">
        <v>42143</v>
      </c>
      <c r="D2392">
        <v>1037022454355</v>
      </c>
      <c r="E2392">
        <v>1</v>
      </c>
      <c r="F2392">
        <v>6129272307</v>
      </c>
      <c r="G2392">
        <v>355.5</v>
      </c>
      <c r="H2392" t="s">
        <v>40293</v>
      </c>
      <c r="I2392">
        <v>12801</v>
      </c>
      <c r="J2392">
        <v>10000</v>
      </c>
      <c r="K2392">
        <v>10000</v>
      </c>
    </row>
    <row r="2393" spans="1:11">
      <c r="A2393">
        <v>90</v>
      </c>
      <c r="B2393" t="b">
        <v>0</v>
      </c>
      <c r="C2393" t="s">
        <v>46171</v>
      </c>
      <c r="D2393">
        <v>1037022454355</v>
      </c>
      <c r="E2393">
        <v>1</v>
      </c>
      <c r="F2393">
        <v>6152907814</v>
      </c>
      <c r="G2393">
        <v>319</v>
      </c>
      <c r="H2393" t="s">
        <v>40293</v>
      </c>
      <c r="I2393">
        <v>12801</v>
      </c>
      <c r="J2393">
        <v>3000</v>
      </c>
      <c r="K2393">
        <v>3000</v>
      </c>
    </row>
    <row r="2394" spans="1:11">
      <c r="A2394">
        <v>90</v>
      </c>
      <c r="B2394" t="b">
        <v>0</v>
      </c>
      <c r="C2394" t="s">
        <v>44771</v>
      </c>
      <c r="D2394">
        <v>1037022454355</v>
      </c>
      <c r="E2394">
        <v>1</v>
      </c>
      <c r="F2394">
        <v>6153545313</v>
      </c>
      <c r="G2394">
        <v>313</v>
      </c>
      <c r="H2394" t="s">
        <v>40293</v>
      </c>
      <c r="I2394">
        <v>12801</v>
      </c>
      <c r="J2394">
        <v>425</v>
      </c>
      <c r="K2394">
        <v>425</v>
      </c>
    </row>
    <row r="2395" spans="1:11">
      <c r="A2395">
        <v>30</v>
      </c>
      <c r="B2395" t="b">
        <v>0</v>
      </c>
      <c r="C2395" t="s">
        <v>46211</v>
      </c>
      <c r="D2395">
        <v>1037022454355</v>
      </c>
      <c r="E2395">
        <v>1</v>
      </c>
      <c r="F2395">
        <v>6084193838</v>
      </c>
      <c r="G2395">
        <v>310</v>
      </c>
      <c r="H2395" t="s">
        <v>40293</v>
      </c>
      <c r="I2395">
        <v>12801</v>
      </c>
      <c r="J2395">
        <v>98172</v>
      </c>
      <c r="K2395">
        <v>250000</v>
      </c>
    </row>
    <row r="2396" spans="1:11">
      <c r="A2396">
        <v>90</v>
      </c>
      <c r="B2396" t="b">
        <v>0</v>
      </c>
      <c r="C2396" t="s">
        <v>45685</v>
      </c>
      <c r="D2396">
        <v>1037022454355</v>
      </c>
      <c r="E2396">
        <v>1</v>
      </c>
      <c r="F2396">
        <v>6141269151</v>
      </c>
      <c r="G2396">
        <v>300</v>
      </c>
      <c r="H2396" t="s">
        <v>40293</v>
      </c>
      <c r="I2396">
        <v>12801</v>
      </c>
      <c r="J2396">
        <v>41700</v>
      </c>
      <c r="K2396">
        <v>50000</v>
      </c>
    </row>
    <row r="2397" spans="1:11">
      <c r="A2397">
        <v>90</v>
      </c>
      <c r="B2397" t="b">
        <v>0</v>
      </c>
      <c r="C2397" t="s">
        <v>45513</v>
      </c>
      <c r="D2397">
        <v>1037022454355</v>
      </c>
      <c r="E2397">
        <v>1</v>
      </c>
      <c r="F2397">
        <v>6138383234</v>
      </c>
      <c r="G2397">
        <v>275</v>
      </c>
      <c r="H2397" t="s">
        <v>40293</v>
      </c>
      <c r="I2397">
        <v>12801</v>
      </c>
      <c r="J2397">
        <v>39771</v>
      </c>
      <c r="K2397">
        <v>50000</v>
      </c>
    </row>
    <row r="2398" spans="1:11">
      <c r="A2398">
        <v>7</v>
      </c>
      <c r="B2398" t="b">
        <v>0</v>
      </c>
      <c r="C2398" t="s">
        <v>44311</v>
      </c>
      <c r="D2398">
        <v>1037022454355</v>
      </c>
      <c r="E2398">
        <v>1</v>
      </c>
      <c r="F2398">
        <v>6152785707</v>
      </c>
      <c r="G2398">
        <v>270</v>
      </c>
      <c r="H2398" t="s">
        <v>40293</v>
      </c>
      <c r="I2398">
        <v>12801</v>
      </c>
      <c r="J2398">
        <v>14000</v>
      </c>
      <c r="K2398">
        <v>15000</v>
      </c>
    </row>
    <row r="2399" spans="1:11">
      <c r="A2399">
        <v>90</v>
      </c>
      <c r="B2399" t="b">
        <v>0</v>
      </c>
      <c r="C2399" t="s">
        <v>44894</v>
      </c>
      <c r="D2399">
        <v>1037022454355</v>
      </c>
      <c r="E2399">
        <v>1</v>
      </c>
      <c r="F2399">
        <v>6156627137</v>
      </c>
      <c r="G2399">
        <v>200</v>
      </c>
      <c r="H2399" t="s">
        <v>40293</v>
      </c>
      <c r="I2399">
        <v>12801</v>
      </c>
      <c r="J2399">
        <v>10000</v>
      </c>
      <c r="K2399">
        <v>10000</v>
      </c>
    </row>
    <row r="2400" spans="1:11">
      <c r="A2400">
        <v>90</v>
      </c>
      <c r="B2400" t="b">
        <v>0</v>
      </c>
      <c r="C2400" t="s">
        <v>40546</v>
      </c>
      <c r="D2400">
        <v>1037022454355</v>
      </c>
      <c r="E2400">
        <v>1</v>
      </c>
      <c r="F2400">
        <v>6094460724</v>
      </c>
      <c r="G2400">
        <v>247.7</v>
      </c>
      <c r="H2400" t="s">
        <v>40293</v>
      </c>
      <c r="I2400">
        <v>12805</v>
      </c>
      <c r="J2400">
        <v>80570</v>
      </c>
      <c r="K2400">
        <v>86050</v>
      </c>
    </row>
    <row r="2401" spans="1:11">
      <c r="A2401">
        <v>90</v>
      </c>
      <c r="B2401" t="b">
        <v>0</v>
      </c>
      <c r="C2401" t="s">
        <v>42146</v>
      </c>
      <c r="D2401">
        <v>1037022454355</v>
      </c>
      <c r="E2401">
        <v>1</v>
      </c>
      <c r="F2401">
        <v>6129272413</v>
      </c>
      <c r="G2401">
        <v>244.7</v>
      </c>
      <c r="H2401" t="s">
        <v>40293</v>
      </c>
      <c r="I2401">
        <v>12805</v>
      </c>
      <c r="J2401">
        <v>55000</v>
      </c>
      <c r="K2401">
        <v>55000</v>
      </c>
    </row>
    <row r="2402" spans="1:11">
      <c r="A2402">
        <v>90</v>
      </c>
      <c r="B2402" t="b">
        <v>0</v>
      </c>
      <c r="C2402" t="s">
        <v>43451</v>
      </c>
      <c r="D2402">
        <v>1037022454355</v>
      </c>
      <c r="E2402">
        <v>1</v>
      </c>
      <c r="F2402">
        <v>6138412506</v>
      </c>
      <c r="G2402">
        <v>244</v>
      </c>
      <c r="H2402" t="s">
        <v>40293</v>
      </c>
      <c r="I2402">
        <v>12805</v>
      </c>
      <c r="J2402">
        <v>83834</v>
      </c>
      <c r="K2402">
        <v>108841</v>
      </c>
    </row>
    <row r="2403" spans="1:11">
      <c r="A2403">
        <v>90</v>
      </c>
      <c r="B2403" t="b">
        <v>0</v>
      </c>
      <c r="C2403" t="s">
        <v>44684</v>
      </c>
      <c r="D2403">
        <v>1037022454355</v>
      </c>
      <c r="E2403">
        <v>1</v>
      </c>
      <c r="F2403">
        <v>6152652231</v>
      </c>
      <c r="G2403">
        <v>220</v>
      </c>
      <c r="H2403" t="s">
        <v>40293</v>
      </c>
      <c r="I2403">
        <v>12805</v>
      </c>
      <c r="J2403">
        <v>5865</v>
      </c>
      <c r="K2403">
        <v>9141</v>
      </c>
    </row>
    <row r="2404" spans="1:11">
      <c r="A2404">
        <v>30</v>
      </c>
      <c r="B2404" t="b">
        <v>0</v>
      </c>
      <c r="C2404" t="s">
        <v>46262</v>
      </c>
      <c r="D2404">
        <v>1037022454355</v>
      </c>
      <c r="E2404">
        <v>1</v>
      </c>
      <c r="F2404">
        <v>6084194597</v>
      </c>
      <c r="G2404">
        <v>220</v>
      </c>
      <c r="H2404" t="s">
        <v>40293</v>
      </c>
      <c r="I2404">
        <v>12805</v>
      </c>
      <c r="J2404">
        <v>29609</v>
      </c>
      <c r="K2404">
        <v>250000</v>
      </c>
    </row>
    <row r="2405" spans="1:11">
      <c r="A2405">
        <v>90</v>
      </c>
      <c r="B2405" t="b">
        <v>0</v>
      </c>
      <c r="C2405" t="s">
        <v>45001</v>
      </c>
      <c r="D2405">
        <v>1037022454355</v>
      </c>
      <c r="E2405">
        <v>1</v>
      </c>
      <c r="F2405">
        <v>6156005789</v>
      </c>
      <c r="G2405">
        <v>215</v>
      </c>
      <c r="H2405" t="s">
        <v>40293</v>
      </c>
      <c r="I2405">
        <v>12805</v>
      </c>
      <c r="J2405">
        <v>5086</v>
      </c>
      <c r="K2405">
        <v>5086</v>
      </c>
    </row>
    <row r="2406" spans="1:11">
      <c r="A2406">
        <v>90</v>
      </c>
      <c r="B2406" t="b">
        <v>0</v>
      </c>
      <c r="C2406" t="s">
        <v>45670</v>
      </c>
      <c r="D2406">
        <v>1037022454355</v>
      </c>
      <c r="E2406">
        <v>1</v>
      </c>
      <c r="F2406">
        <v>6156597409</v>
      </c>
      <c r="G2406">
        <v>200</v>
      </c>
      <c r="H2406" t="s">
        <v>40293</v>
      </c>
      <c r="I2406">
        <v>12805</v>
      </c>
      <c r="J2406">
        <v>1598</v>
      </c>
      <c r="K2406">
        <v>1598</v>
      </c>
    </row>
    <row r="2407" spans="1:11">
      <c r="A2407">
        <v>90</v>
      </c>
      <c r="B2407" t="b">
        <v>0</v>
      </c>
      <c r="C2407" t="s">
        <v>44890</v>
      </c>
      <c r="D2407">
        <v>1037022454355</v>
      </c>
      <c r="E2407">
        <v>1</v>
      </c>
      <c r="F2407">
        <v>6156627060</v>
      </c>
      <c r="G2407">
        <v>150</v>
      </c>
      <c r="H2407" t="s">
        <v>40293</v>
      </c>
      <c r="I2407">
        <v>12805</v>
      </c>
      <c r="J2407">
        <v>600</v>
      </c>
      <c r="K2407">
        <v>9300</v>
      </c>
    </row>
    <row r="2408" spans="1:11">
      <c r="A2408">
        <v>90</v>
      </c>
      <c r="B2408" t="b">
        <v>0</v>
      </c>
      <c r="C2408" t="s">
        <v>40917</v>
      </c>
      <c r="D2408">
        <v>1037022454355</v>
      </c>
      <c r="E2408">
        <v>1</v>
      </c>
      <c r="F2408">
        <v>6101350292</v>
      </c>
      <c r="G2408">
        <v>1201</v>
      </c>
      <c r="H2408" t="s">
        <v>40293</v>
      </c>
      <c r="I2408">
        <v>12807</v>
      </c>
      <c r="J2408">
        <v>31880</v>
      </c>
      <c r="K2408">
        <v>100000</v>
      </c>
    </row>
    <row r="2409" spans="1:11">
      <c r="A2409">
        <v>90</v>
      </c>
      <c r="B2409" t="b">
        <v>0</v>
      </c>
      <c r="C2409" t="s">
        <v>43084</v>
      </c>
      <c r="D2409">
        <v>1037022454355</v>
      </c>
      <c r="E2409">
        <v>1</v>
      </c>
      <c r="F2409">
        <v>6143154164</v>
      </c>
      <c r="G2409">
        <v>950000</v>
      </c>
      <c r="H2409" t="s">
        <v>40293</v>
      </c>
      <c r="I2409">
        <v>12814</v>
      </c>
      <c r="J2409">
        <v>90</v>
      </c>
      <c r="K2409">
        <v>160</v>
      </c>
    </row>
    <row r="2410" spans="1:11">
      <c r="A2410">
        <v>90</v>
      </c>
      <c r="B2410" t="b">
        <v>0</v>
      </c>
      <c r="C2410" t="s">
        <v>41040</v>
      </c>
      <c r="D2410">
        <v>1037022454355</v>
      </c>
      <c r="E2410">
        <v>1</v>
      </c>
      <c r="F2410">
        <v>6076645910</v>
      </c>
      <c r="G2410">
        <v>950900</v>
      </c>
      <c r="H2410" t="s">
        <v>40293</v>
      </c>
      <c r="I2410">
        <v>12816</v>
      </c>
      <c r="J2410">
        <v>645</v>
      </c>
      <c r="K2410">
        <v>1132</v>
      </c>
    </row>
    <row r="2411" spans="1:11">
      <c r="A2411">
        <v>90</v>
      </c>
      <c r="B2411" t="b">
        <v>0</v>
      </c>
      <c r="C2411" t="s">
        <v>40481</v>
      </c>
      <c r="D2411">
        <v>1037022454355</v>
      </c>
      <c r="E2411">
        <v>1</v>
      </c>
      <c r="F2411">
        <v>6103699699</v>
      </c>
      <c r="G2411">
        <v>942300</v>
      </c>
      <c r="H2411" t="s">
        <v>40293</v>
      </c>
      <c r="I2411">
        <v>12816</v>
      </c>
      <c r="J2411">
        <v>60</v>
      </c>
      <c r="K2411">
        <v>350</v>
      </c>
    </row>
    <row r="2412" spans="1:11">
      <c r="A2412">
        <v>90</v>
      </c>
      <c r="B2412" t="b">
        <v>0</v>
      </c>
      <c r="C2412" t="s">
        <v>44407</v>
      </c>
      <c r="D2412">
        <v>1037022454355</v>
      </c>
      <c r="E2412">
        <v>1</v>
      </c>
      <c r="F2412">
        <v>6155572289</v>
      </c>
      <c r="G2412">
        <v>800000</v>
      </c>
      <c r="H2412" t="s">
        <v>40293</v>
      </c>
      <c r="I2412">
        <v>12816</v>
      </c>
      <c r="J2412">
        <v>419</v>
      </c>
      <c r="K2412">
        <v>508</v>
      </c>
    </row>
    <row r="2413" spans="1:11">
      <c r="A2413">
        <v>90</v>
      </c>
      <c r="B2413" t="b">
        <v>0</v>
      </c>
      <c r="C2413" t="s">
        <v>41944</v>
      </c>
      <c r="D2413">
        <v>1037022454355</v>
      </c>
      <c r="E2413">
        <v>1</v>
      </c>
      <c r="F2413">
        <v>6128819984</v>
      </c>
      <c r="G2413">
        <v>451100</v>
      </c>
      <c r="H2413" t="s">
        <v>40293</v>
      </c>
      <c r="I2413">
        <v>12818</v>
      </c>
      <c r="J2413">
        <v>119</v>
      </c>
      <c r="K2413">
        <v>200</v>
      </c>
    </row>
    <row r="2414" spans="1:11">
      <c r="A2414">
        <v>90</v>
      </c>
      <c r="B2414" t="b">
        <v>0</v>
      </c>
      <c r="C2414" t="s">
        <v>40554</v>
      </c>
      <c r="D2414">
        <v>1037022454355</v>
      </c>
      <c r="E2414">
        <v>1</v>
      </c>
      <c r="F2414">
        <v>6096842397</v>
      </c>
      <c r="G2414">
        <v>948800</v>
      </c>
      <c r="H2414" t="s">
        <v>40293</v>
      </c>
      <c r="I2414">
        <v>12820</v>
      </c>
      <c r="J2414">
        <v>120</v>
      </c>
      <c r="K2414">
        <v>371</v>
      </c>
    </row>
    <row r="2415" spans="1:11">
      <c r="A2415">
        <v>90</v>
      </c>
      <c r="B2415" t="b">
        <v>0</v>
      </c>
      <c r="C2415" t="s">
        <v>40874</v>
      </c>
      <c r="D2415">
        <v>1037022454355</v>
      </c>
      <c r="E2415">
        <v>1</v>
      </c>
      <c r="F2415">
        <v>6113731468</v>
      </c>
      <c r="G2415">
        <v>945000</v>
      </c>
      <c r="H2415" t="s">
        <v>40293</v>
      </c>
      <c r="I2415">
        <v>12820</v>
      </c>
      <c r="J2415">
        <v>267</v>
      </c>
      <c r="K2415">
        <v>402</v>
      </c>
    </row>
    <row r="2416" spans="1:11">
      <c r="A2416">
        <v>90</v>
      </c>
      <c r="B2416" t="b">
        <v>0</v>
      </c>
      <c r="C2416" t="s">
        <v>41229</v>
      </c>
      <c r="D2416">
        <v>1037022454355</v>
      </c>
      <c r="E2416">
        <v>1</v>
      </c>
      <c r="F2416">
        <v>6108074139</v>
      </c>
      <c r="G2416">
        <v>928600</v>
      </c>
      <c r="H2416" t="s">
        <v>40293</v>
      </c>
      <c r="I2416">
        <v>12820</v>
      </c>
      <c r="J2416">
        <v>29</v>
      </c>
      <c r="K2416">
        <v>784</v>
      </c>
    </row>
    <row r="2417" spans="1:11">
      <c r="A2417">
        <v>90</v>
      </c>
      <c r="B2417" t="b">
        <v>0</v>
      </c>
      <c r="C2417" t="s">
        <v>43529</v>
      </c>
      <c r="D2417">
        <v>1037022454355</v>
      </c>
      <c r="E2417">
        <v>1</v>
      </c>
      <c r="F2417">
        <v>6140839928</v>
      </c>
      <c r="G2417">
        <v>927900</v>
      </c>
      <c r="H2417" t="s">
        <v>40293</v>
      </c>
      <c r="I2417">
        <v>12820</v>
      </c>
      <c r="J2417">
        <v>652</v>
      </c>
      <c r="K2417">
        <v>1111</v>
      </c>
    </row>
    <row r="2418" spans="1:11">
      <c r="A2418">
        <v>90</v>
      </c>
      <c r="B2418" t="b">
        <v>0</v>
      </c>
      <c r="C2418" t="s">
        <v>44414</v>
      </c>
      <c r="D2418">
        <v>1037022454355</v>
      </c>
      <c r="E2418">
        <v>1</v>
      </c>
      <c r="F2418">
        <v>6155572382</v>
      </c>
      <c r="G2418">
        <v>825000</v>
      </c>
      <c r="H2418" t="s">
        <v>40293</v>
      </c>
      <c r="I2418">
        <v>12820</v>
      </c>
      <c r="J2418">
        <v>432</v>
      </c>
      <c r="K2418">
        <v>500</v>
      </c>
    </row>
    <row r="2419" spans="1:11">
      <c r="A2419">
        <v>90</v>
      </c>
      <c r="B2419" t="b">
        <v>0</v>
      </c>
      <c r="C2419" t="s">
        <v>42927</v>
      </c>
      <c r="D2419">
        <v>1037022454355</v>
      </c>
      <c r="E2419">
        <v>1</v>
      </c>
      <c r="F2419">
        <v>6141659189</v>
      </c>
      <c r="G2419">
        <v>1590000</v>
      </c>
      <c r="H2419" t="s">
        <v>40293</v>
      </c>
      <c r="I2419">
        <v>12824</v>
      </c>
      <c r="J2419">
        <v>1173</v>
      </c>
      <c r="K2419">
        <v>1201</v>
      </c>
    </row>
    <row r="2420" spans="1:11">
      <c r="A2420">
        <v>90</v>
      </c>
      <c r="B2420" t="b">
        <v>0</v>
      </c>
      <c r="C2420" t="s">
        <v>43742</v>
      </c>
      <c r="D2420">
        <v>1037022454355</v>
      </c>
      <c r="E2420">
        <v>1</v>
      </c>
      <c r="F2420">
        <v>6139995363</v>
      </c>
      <c r="G2420">
        <v>1000000</v>
      </c>
      <c r="H2420" t="s">
        <v>40293</v>
      </c>
      <c r="I2420">
        <v>12826</v>
      </c>
      <c r="J2420">
        <v>6</v>
      </c>
      <c r="K2420">
        <v>32</v>
      </c>
    </row>
    <row r="2421" spans="1:11">
      <c r="A2421">
        <v>90</v>
      </c>
      <c r="B2421" t="b">
        <v>0</v>
      </c>
      <c r="C2421" t="s">
        <v>40650</v>
      </c>
      <c r="D2421">
        <v>1037022454355</v>
      </c>
      <c r="E2421">
        <v>1</v>
      </c>
      <c r="F2421">
        <v>6070607595</v>
      </c>
      <c r="G2421">
        <v>944000</v>
      </c>
      <c r="H2421" t="s">
        <v>40293</v>
      </c>
      <c r="I2421">
        <v>12828</v>
      </c>
      <c r="J2421">
        <v>1190</v>
      </c>
      <c r="K2421">
        <v>1207</v>
      </c>
    </row>
    <row r="2422" spans="1:11">
      <c r="A2422">
        <v>90</v>
      </c>
      <c r="B2422" t="b">
        <v>0</v>
      </c>
      <c r="C2422" t="s">
        <v>42761</v>
      </c>
      <c r="D2422">
        <v>1037022454355</v>
      </c>
      <c r="E2422">
        <v>1</v>
      </c>
      <c r="F2422">
        <v>6134130821</v>
      </c>
      <c r="G2422">
        <v>3948000</v>
      </c>
      <c r="H2422" t="s">
        <v>40293</v>
      </c>
      <c r="I2422">
        <v>13001</v>
      </c>
      <c r="J2422">
        <v>25</v>
      </c>
      <c r="K2422">
        <v>25</v>
      </c>
    </row>
    <row r="2423" spans="1:11">
      <c r="A2423">
        <v>90</v>
      </c>
      <c r="B2423" t="b">
        <v>0</v>
      </c>
      <c r="C2423" t="s">
        <v>46393</v>
      </c>
      <c r="D2423">
        <v>1037022454355</v>
      </c>
      <c r="E2423">
        <v>1</v>
      </c>
      <c r="F2423">
        <v>6149929033</v>
      </c>
      <c r="G2423">
        <v>2825000</v>
      </c>
      <c r="H2423" t="s">
        <v>40293</v>
      </c>
      <c r="I2423">
        <v>13001</v>
      </c>
      <c r="J2423">
        <v>1</v>
      </c>
      <c r="K2423">
        <v>1</v>
      </c>
    </row>
    <row r="2424" spans="1:11">
      <c r="A2424">
        <v>90</v>
      </c>
      <c r="B2424" t="b">
        <v>0</v>
      </c>
      <c r="C2424" t="s">
        <v>45689</v>
      </c>
      <c r="D2424">
        <v>1037022454355</v>
      </c>
      <c r="E2424">
        <v>1</v>
      </c>
      <c r="F2424">
        <v>6153426104</v>
      </c>
      <c r="G2424">
        <v>2740000</v>
      </c>
      <c r="H2424" t="s">
        <v>40293</v>
      </c>
      <c r="I2424">
        <v>13001</v>
      </c>
      <c r="J2424">
        <v>1</v>
      </c>
      <c r="K2424">
        <v>1</v>
      </c>
    </row>
    <row r="2425" spans="1:11">
      <c r="A2425">
        <v>30</v>
      </c>
      <c r="B2425" t="b">
        <v>0</v>
      </c>
      <c r="C2425" t="s">
        <v>44197</v>
      </c>
      <c r="D2425">
        <v>1037022454355</v>
      </c>
      <c r="E2425">
        <v>1</v>
      </c>
      <c r="F2425">
        <v>6151702669</v>
      </c>
      <c r="G2425">
        <v>2699000</v>
      </c>
      <c r="H2425" t="s">
        <v>40293</v>
      </c>
      <c r="I2425">
        <v>13001</v>
      </c>
      <c r="J2425">
        <v>3</v>
      </c>
      <c r="K2425">
        <v>5</v>
      </c>
    </row>
    <row r="2426" spans="1:11">
      <c r="A2426">
        <v>7</v>
      </c>
      <c r="B2426" t="b">
        <v>0</v>
      </c>
      <c r="C2426" t="s">
        <v>46173</v>
      </c>
      <c r="D2426">
        <v>1037022454355</v>
      </c>
      <c r="E2426">
        <v>1</v>
      </c>
      <c r="F2426">
        <v>6152612933</v>
      </c>
      <c r="G2426">
        <v>2650000</v>
      </c>
      <c r="H2426" t="s">
        <v>40293</v>
      </c>
      <c r="I2426">
        <v>13001</v>
      </c>
      <c r="J2426">
        <v>9</v>
      </c>
      <c r="K2426">
        <v>10</v>
      </c>
    </row>
    <row r="2427" spans="1:11">
      <c r="A2427">
        <v>90</v>
      </c>
      <c r="B2427" t="b">
        <v>0</v>
      </c>
      <c r="C2427" t="s">
        <v>45463</v>
      </c>
      <c r="D2427">
        <v>1037022454355</v>
      </c>
      <c r="E2427">
        <v>1</v>
      </c>
      <c r="F2427">
        <v>6157191591</v>
      </c>
      <c r="G2427">
        <v>2649000</v>
      </c>
      <c r="H2427" t="s">
        <v>40293</v>
      </c>
      <c r="I2427">
        <v>13001</v>
      </c>
      <c r="J2427">
        <v>2</v>
      </c>
      <c r="K2427">
        <v>2</v>
      </c>
    </row>
    <row r="2428" spans="1:11">
      <c r="A2428">
        <v>90</v>
      </c>
      <c r="B2428" t="b">
        <v>0</v>
      </c>
      <c r="C2428" t="s">
        <v>41315</v>
      </c>
      <c r="D2428">
        <v>1037022454355</v>
      </c>
      <c r="E2428">
        <v>1</v>
      </c>
      <c r="F2428">
        <v>6116333116</v>
      </c>
      <c r="G2428">
        <v>3900000</v>
      </c>
      <c r="H2428" t="s">
        <v>40293</v>
      </c>
      <c r="I2428">
        <v>13003</v>
      </c>
      <c r="J2428">
        <v>1</v>
      </c>
      <c r="K2428">
        <v>3</v>
      </c>
    </row>
    <row r="2429" spans="1:11">
      <c r="A2429">
        <v>90</v>
      </c>
      <c r="B2429" t="b">
        <v>0</v>
      </c>
      <c r="C2429" t="s">
        <v>41043</v>
      </c>
      <c r="D2429">
        <v>1037022454355</v>
      </c>
      <c r="E2429">
        <v>1</v>
      </c>
      <c r="F2429">
        <v>6123274831</v>
      </c>
      <c r="G2429">
        <v>3800000</v>
      </c>
      <c r="H2429" t="s">
        <v>40293</v>
      </c>
      <c r="I2429">
        <v>13003</v>
      </c>
      <c r="J2429">
        <v>1</v>
      </c>
      <c r="K2429">
        <v>1</v>
      </c>
    </row>
    <row r="2430" spans="1:11">
      <c r="A2430">
        <v>90</v>
      </c>
      <c r="B2430" t="b">
        <v>0</v>
      </c>
      <c r="C2430" t="s">
        <v>42736</v>
      </c>
      <c r="D2430">
        <v>1037022454355</v>
      </c>
      <c r="E2430">
        <v>1</v>
      </c>
      <c r="F2430">
        <v>6134129598</v>
      </c>
      <c r="G2430">
        <v>2798000</v>
      </c>
      <c r="H2430" t="s">
        <v>40293</v>
      </c>
      <c r="I2430">
        <v>13003</v>
      </c>
      <c r="J2430">
        <v>25</v>
      </c>
      <c r="K2430">
        <v>25</v>
      </c>
    </row>
    <row r="2431" spans="1:11">
      <c r="A2431">
        <v>90</v>
      </c>
      <c r="B2431" t="b">
        <v>0</v>
      </c>
      <c r="C2431" t="s">
        <v>42854</v>
      </c>
      <c r="D2431">
        <v>1037022454355</v>
      </c>
      <c r="E2431">
        <v>1</v>
      </c>
      <c r="F2431">
        <v>6113655977</v>
      </c>
      <c r="G2431">
        <v>2748000</v>
      </c>
      <c r="H2431" t="s">
        <v>40293</v>
      </c>
      <c r="I2431">
        <v>13003</v>
      </c>
      <c r="J2431">
        <v>26</v>
      </c>
      <c r="K2431">
        <v>38</v>
      </c>
    </row>
    <row r="2432" spans="1:11">
      <c r="A2432">
        <v>90</v>
      </c>
      <c r="B2432" t="b">
        <v>0</v>
      </c>
      <c r="C2432" t="s">
        <v>44278</v>
      </c>
      <c r="D2432">
        <v>1037022454355</v>
      </c>
      <c r="E2432">
        <v>1</v>
      </c>
      <c r="F2432">
        <v>6153366731</v>
      </c>
      <c r="G2432">
        <v>2745000</v>
      </c>
      <c r="H2432" t="s">
        <v>40293</v>
      </c>
      <c r="I2432">
        <v>13003</v>
      </c>
      <c r="J2432">
        <v>1</v>
      </c>
      <c r="K2432">
        <v>1</v>
      </c>
    </row>
    <row r="2433" spans="1:11">
      <c r="A2433">
        <v>90</v>
      </c>
      <c r="B2433" t="b">
        <v>0</v>
      </c>
      <c r="C2433" t="s">
        <v>45710</v>
      </c>
      <c r="D2433">
        <v>1037022454355</v>
      </c>
      <c r="E2433">
        <v>1</v>
      </c>
      <c r="F2433">
        <v>6153426333</v>
      </c>
      <c r="G2433">
        <v>2743000</v>
      </c>
      <c r="H2433" t="s">
        <v>40293</v>
      </c>
      <c r="I2433">
        <v>13003</v>
      </c>
      <c r="J2433">
        <v>5</v>
      </c>
      <c r="K2433">
        <v>5</v>
      </c>
    </row>
    <row r="2434" spans="1:11">
      <c r="A2434">
        <v>90</v>
      </c>
      <c r="B2434" t="b">
        <v>0</v>
      </c>
      <c r="C2434" t="s">
        <v>45748</v>
      </c>
      <c r="D2434">
        <v>1037022454355</v>
      </c>
      <c r="E2434">
        <v>1</v>
      </c>
      <c r="F2434">
        <v>6128424754</v>
      </c>
      <c r="G2434">
        <v>2742000</v>
      </c>
      <c r="H2434" t="s">
        <v>40293</v>
      </c>
      <c r="I2434">
        <v>13003</v>
      </c>
      <c r="J2434">
        <v>38</v>
      </c>
      <c r="K2434">
        <v>40</v>
      </c>
    </row>
    <row r="2435" spans="1:11">
      <c r="A2435">
        <v>90</v>
      </c>
      <c r="B2435" t="b">
        <v>0</v>
      </c>
      <c r="C2435" t="s">
        <v>45768</v>
      </c>
      <c r="D2435">
        <v>1037022454355</v>
      </c>
      <c r="E2435">
        <v>1</v>
      </c>
      <c r="F2435">
        <v>6131852274</v>
      </c>
      <c r="G2435">
        <v>2742000</v>
      </c>
      <c r="H2435" t="s">
        <v>40293</v>
      </c>
      <c r="I2435">
        <v>13003</v>
      </c>
      <c r="J2435">
        <v>19</v>
      </c>
      <c r="K2435">
        <v>20</v>
      </c>
    </row>
    <row r="2436" spans="1:11">
      <c r="A2436">
        <v>90</v>
      </c>
      <c r="B2436" t="b">
        <v>0</v>
      </c>
      <c r="C2436" t="s">
        <v>45781</v>
      </c>
      <c r="D2436">
        <v>1037022454355</v>
      </c>
      <c r="E2436">
        <v>1</v>
      </c>
      <c r="F2436">
        <v>6134192260</v>
      </c>
      <c r="G2436">
        <v>2742000</v>
      </c>
      <c r="H2436" t="s">
        <v>40293</v>
      </c>
      <c r="I2436">
        <v>13003</v>
      </c>
      <c r="J2436">
        <v>4</v>
      </c>
      <c r="K2436">
        <v>10</v>
      </c>
    </row>
    <row r="2437" spans="1:11">
      <c r="A2437">
        <v>3</v>
      </c>
      <c r="B2437" t="b">
        <v>0</v>
      </c>
      <c r="C2437" t="s">
        <v>45386</v>
      </c>
      <c r="D2437">
        <v>1037022454355</v>
      </c>
      <c r="E2437">
        <v>1</v>
      </c>
      <c r="F2437">
        <v>6156895756</v>
      </c>
      <c r="G2437">
        <v>2700000</v>
      </c>
      <c r="H2437" t="s">
        <v>40293</v>
      </c>
      <c r="I2437">
        <v>13003</v>
      </c>
      <c r="J2437">
        <v>2</v>
      </c>
      <c r="K2437">
        <v>2</v>
      </c>
    </row>
    <row r="2438" spans="1:11">
      <c r="A2438">
        <v>30</v>
      </c>
      <c r="B2438" t="b">
        <v>0</v>
      </c>
      <c r="C2438" t="s">
        <v>45891</v>
      </c>
      <c r="D2438">
        <v>1037022454355</v>
      </c>
      <c r="E2438">
        <v>1</v>
      </c>
      <c r="F2438">
        <v>6155885799</v>
      </c>
      <c r="G2438">
        <v>2699000</v>
      </c>
      <c r="H2438" t="s">
        <v>40293</v>
      </c>
      <c r="I2438">
        <v>13003</v>
      </c>
      <c r="J2438">
        <v>9</v>
      </c>
      <c r="K2438">
        <v>10</v>
      </c>
    </row>
    <row r="2439" spans="1:11">
      <c r="A2439">
        <v>90</v>
      </c>
      <c r="B2439" t="b">
        <v>0</v>
      </c>
      <c r="C2439" t="s">
        <v>44200</v>
      </c>
      <c r="D2439">
        <v>1037022454355</v>
      </c>
      <c r="E2439">
        <v>1</v>
      </c>
      <c r="F2439">
        <v>6157306002</v>
      </c>
      <c r="G2439">
        <v>2698000</v>
      </c>
      <c r="H2439" t="s">
        <v>40293</v>
      </c>
      <c r="I2439">
        <v>13003</v>
      </c>
      <c r="J2439">
        <v>10</v>
      </c>
      <c r="K2439">
        <v>10</v>
      </c>
    </row>
    <row r="2440" spans="1:11">
      <c r="A2440">
        <v>90</v>
      </c>
      <c r="B2440" t="b">
        <v>0</v>
      </c>
      <c r="C2440" t="s">
        <v>46100</v>
      </c>
      <c r="D2440">
        <v>1037022454355</v>
      </c>
      <c r="E2440">
        <v>1</v>
      </c>
      <c r="F2440">
        <v>6157504865</v>
      </c>
      <c r="G2440">
        <v>2697000</v>
      </c>
      <c r="H2440" t="s">
        <v>40293</v>
      </c>
      <c r="I2440">
        <v>13003</v>
      </c>
      <c r="J2440">
        <v>1</v>
      </c>
      <c r="K2440">
        <v>1</v>
      </c>
    </row>
    <row r="2441" spans="1:11">
      <c r="A2441">
        <v>90</v>
      </c>
      <c r="B2441" t="b">
        <v>0</v>
      </c>
      <c r="C2441" t="s">
        <v>46252</v>
      </c>
      <c r="D2441">
        <v>1037022454355</v>
      </c>
      <c r="E2441">
        <v>1</v>
      </c>
      <c r="F2441">
        <v>6152581295</v>
      </c>
      <c r="G2441">
        <v>250</v>
      </c>
      <c r="H2441" t="s">
        <v>40293</v>
      </c>
      <c r="I2441">
        <v>13119</v>
      </c>
      <c r="J2441">
        <v>8985</v>
      </c>
      <c r="K2441">
        <v>9739</v>
      </c>
    </row>
    <row r="2442" spans="1:11">
      <c r="A2442">
        <v>90</v>
      </c>
      <c r="B2442" t="b">
        <v>0</v>
      </c>
      <c r="C2442" t="s">
        <v>42884</v>
      </c>
      <c r="D2442">
        <v>1037022454355</v>
      </c>
      <c r="E2442">
        <v>1</v>
      </c>
      <c r="F2442">
        <v>6140100635</v>
      </c>
      <c r="G2442">
        <v>45600000</v>
      </c>
      <c r="H2442" t="s">
        <v>40293</v>
      </c>
      <c r="I2442">
        <v>13209</v>
      </c>
      <c r="J2442">
        <v>5</v>
      </c>
      <c r="K2442">
        <v>5</v>
      </c>
    </row>
    <row r="2443" spans="1:11">
      <c r="A2443">
        <v>90</v>
      </c>
      <c r="B2443" t="b">
        <v>0</v>
      </c>
      <c r="C2443" t="s">
        <v>45096</v>
      </c>
      <c r="D2443">
        <v>1037022454355</v>
      </c>
      <c r="E2443">
        <v>1</v>
      </c>
      <c r="F2443">
        <v>6149748359</v>
      </c>
      <c r="G2443">
        <v>35950000</v>
      </c>
      <c r="H2443" t="s">
        <v>40293</v>
      </c>
      <c r="I2443">
        <v>13216</v>
      </c>
      <c r="J2443">
        <v>6</v>
      </c>
      <c r="K2443">
        <v>6</v>
      </c>
    </row>
    <row r="2444" spans="1:11">
      <c r="A2444">
        <v>90</v>
      </c>
      <c r="B2444" t="b">
        <v>0</v>
      </c>
      <c r="C2444" t="s">
        <v>45055</v>
      </c>
      <c r="D2444">
        <v>1037022454355</v>
      </c>
      <c r="E2444">
        <v>1</v>
      </c>
      <c r="F2444">
        <v>6149092522</v>
      </c>
      <c r="G2444">
        <v>29820000</v>
      </c>
      <c r="H2444" t="s">
        <v>40293</v>
      </c>
      <c r="I2444">
        <v>13216</v>
      </c>
      <c r="J2444">
        <v>6</v>
      </c>
      <c r="K2444">
        <v>6</v>
      </c>
    </row>
    <row r="2445" spans="1:11">
      <c r="A2445">
        <v>90</v>
      </c>
      <c r="B2445" t="b">
        <v>0</v>
      </c>
      <c r="C2445" t="s">
        <v>44286</v>
      </c>
      <c r="D2445">
        <v>1037022454355</v>
      </c>
      <c r="E2445">
        <v>1</v>
      </c>
      <c r="F2445">
        <v>6145838451</v>
      </c>
      <c r="G2445">
        <v>29810000</v>
      </c>
      <c r="H2445" t="s">
        <v>40293</v>
      </c>
      <c r="I2445">
        <v>13216</v>
      </c>
      <c r="J2445">
        <v>1</v>
      </c>
      <c r="K2445">
        <v>6</v>
      </c>
    </row>
    <row r="2446" spans="1:11">
      <c r="A2446">
        <v>90</v>
      </c>
      <c r="B2446" t="b">
        <v>0</v>
      </c>
      <c r="C2446" t="s">
        <v>40585</v>
      </c>
      <c r="D2446">
        <v>1037022454355</v>
      </c>
      <c r="E2446">
        <v>1</v>
      </c>
      <c r="F2446">
        <v>6106836730</v>
      </c>
      <c r="G2446">
        <v>25000000</v>
      </c>
      <c r="H2446" t="s">
        <v>40293</v>
      </c>
      <c r="I2446">
        <v>13218</v>
      </c>
      <c r="J2446">
        <v>2</v>
      </c>
      <c r="K2446">
        <v>5</v>
      </c>
    </row>
    <row r="2447" spans="1:11">
      <c r="A2447">
        <v>90</v>
      </c>
      <c r="B2447" t="b">
        <v>0</v>
      </c>
      <c r="C2447" t="s">
        <v>41105</v>
      </c>
      <c r="D2447">
        <v>1037022454355</v>
      </c>
      <c r="E2447">
        <v>1</v>
      </c>
      <c r="F2447">
        <v>6106826646</v>
      </c>
      <c r="G2447">
        <v>28000000</v>
      </c>
      <c r="H2447" t="s">
        <v>40293</v>
      </c>
      <c r="I2447">
        <v>13219</v>
      </c>
      <c r="J2447">
        <v>2</v>
      </c>
      <c r="K2447">
        <v>5</v>
      </c>
    </row>
    <row r="2448" spans="1:11">
      <c r="A2448">
        <v>90</v>
      </c>
      <c r="B2448" t="b">
        <v>0</v>
      </c>
      <c r="C2448" t="s">
        <v>41576</v>
      </c>
      <c r="D2448">
        <v>1037022454355</v>
      </c>
      <c r="E2448">
        <v>1</v>
      </c>
      <c r="F2448">
        <v>6106836826</v>
      </c>
      <c r="G2448">
        <v>26500000</v>
      </c>
      <c r="H2448" t="s">
        <v>40293</v>
      </c>
      <c r="I2448">
        <v>13221</v>
      </c>
      <c r="J2448">
        <v>1</v>
      </c>
      <c r="K2448">
        <v>5</v>
      </c>
    </row>
    <row r="2449" spans="1:11">
      <c r="A2449">
        <v>90</v>
      </c>
      <c r="B2449" t="b">
        <v>0</v>
      </c>
      <c r="C2449" t="s">
        <v>41295</v>
      </c>
      <c r="D2449">
        <v>1037022454355</v>
      </c>
      <c r="E2449">
        <v>1</v>
      </c>
      <c r="F2449">
        <v>6106830045</v>
      </c>
      <c r="G2449">
        <v>26000000</v>
      </c>
      <c r="H2449" t="s">
        <v>40293</v>
      </c>
      <c r="I2449">
        <v>13222</v>
      </c>
      <c r="J2449">
        <v>3</v>
      </c>
      <c r="K2449">
        <v>5</v>
      </c>
    </row>
    <row r="2450" spans="1:11">
      <c r="A2450">
        <v>90</v>
      </c>
      <c r="B2450" t="b">
        <v>0</v>
      </c>
      <c r="C2450" t="s">
        <v>41615</v>
      </c>
      <c r="D2450">
        <v>1037022454355</v>
      </c>
      <c r="E2450">
        <v>1</v>
      </c>
      <c r="F2450">
        <v>6106837740</v>
      </c>
      <c r="G2450">
        <v>28500000</v>
      </c>
      <c r="H2450" t="s">
        <v>40293</v>
      </c>
      <c r="I2450">
        <v>13226</v>
      </c>
      <c r="J2450">
        <v>4</v>
      </c>
      <c r="K2450">
        <v>5</v>
      </c>
    </row>
    <row r="2451" spans="1:11">
      <c r="A2451">
        <v>90</v>
      </c>
      <c r="B2451" t="b">
        <v>0</v>
      </c>
      <c r="C2451" t="s">
        <v>41623</v>
      </c>
      <c r="D2451">
        <v>1037022454355</v>
      </c>
      <c r="E2451">
        <v>1</v>
      </c>
      <c r="F2451">
        <v>6106837911</v>
      </c>
      <c r="G2451">
        <v>28500000</v>
      </c>
      <c r="H2451" t="s">
        <v>40293</v>
      </c>
      <c r="I2451">
        <v>13229</v>
      </c>
      <c r="J2451">
        <v>4</v>
      </c>
      <c r="K2451">
        <v>5</v>
      </c>
    </row>
    <row r="2452" spans="1:11">
      <c r="A2452">
        <v>90</v>
      </c>
      <c r="B2452" t="b">
        <v>0</v>
      </c>
      <c r="C2452" t="s">
        <v>41630</v>
      </c>
      <c r="D2452">
        <v>1037022454355</v>
      </c>
      <c r="E2452">
        <v>1</v>
      </c>
      <c r="F2452">
        <v>6106838115</v>
      </c>
      <c r="G2452">
        <v>28500000</v>
      </c>
      <c r="H2452" t="s">
        <v>40293</v>
      </c>
      <c r="I2452">
        <v>13230</v>
      </c>
      <c r="J2452">
        <v>2</v>
      </c>
      <c r="K2452">
        <v>3</v>
      </c>
    </row>
    <row r="2453" spans="1:11">
      <c r="A2453">
        <v>90</v>
      </c>
      <c r="B2453" t="b">
        <v>0</v>
      </c>
      <c r="C2453" t="s">
        <v>41313</v>
      </c>
      <c r="D2453">
        <v>1037022454355</v>
      </c>
      <c r="E2453">
        <v>1</v>
      </c>
      <c r="F2453">
        <v>6117742102</v>
      </c>
      <c r="G2453">
        <v>40010000</v>
      </c>
      <c r="H2453" t="s">
        <v>40293</v>
      </c>
      <c r="I2453">
        <v>13231</v>
      </c>
      <c r="J2453">
        <v>2</v>
      </c>
      <c r="K2453">
        <v>4</v>
      </c>
    </row>
    <row r="2454" spans="1:11">
      <c r="A2454">
        <v>90</v>
      </c>
      <c r="B2454" t="b">
        <v>0</v>
      </c>
      <c r="C2454" t="s">
        <v>41622</v>
      </c>
      <c r="D2454">
        <v>1037022454355</v>
      </c>
      <c r="E2454">
        <v>1</v>
      </c>
      <c r="F2454">
        <v>6121681783</v>
      </c>
      <c r="G2454">
        <v>50000000</v>
      </c>
      <c r="H2454" t="s">
        <v>40293</v>
      </c>
      <c r="I2454">
        <v>13233</v>
      </c>
      <c r="J2454">
        <v>1</v>
      </c>
      <c r="K2454">
        <v>1</v>
      </c>
    </row>
    <row r="2455" spans="1:11">
      <c r="A2455">
        <v>90</v>
      </c>
      <c r="B2455" t="b">
        <v>0</v>
      </c>
      <c r="C2455" t="s">
        <v>41613</v>
      </c>
      <c r="D2455">
        <v>1037022454355</v>
      </c>
      <c r="E2455">
        <v>1</v>
      </c>
      <c r="F2455">
        <v>6106837614</v>
      </c>
      <c r="G2455">
        <v>28500000</v>
      </c>
      <c r="H2455" t="s">
        <v>40293</v>
      </c>
      <c r="I2455">
        <v>13233</v>
      </c>
      <c r="J2455">
        <v>2</v>
      </c>
      <c r="K2455">
        <v>3</v>
      </c>
    </row>
    <row r="2456" spans="1:11">
      <c r="A2456">
        <v>90</v>
      </c>
      <c r="B2456" t="b">
        <v>0</v>
      </c>
      <c r="C2456" t="s">
        <v>42755</v>
      </c>
      <c r="D2456">
        <v>1037022454355</v>
      </c>
      <c r="E2456">
        <v>1</v>
      </c>
      <c r="F2456">
        <v>6121678836</v>
      </c>
      <c r="G2456">
        <v>90000000</v>
      </c>
      <c r="H2456" t="s">
        <v>40293</v>
      </c>
      <c r="I2456">
        <v>13240</v>
      </c>
      <c r="J2456">
        <v>1</v>
      </c>
      <c r="K2456">
        <v>3</v>
      </c>
    </row>
    <row r="2457" spans="1:11">
      <c r="A2457">
        <v>90</v>
      </c>
      <c r="B2457" t="b">
        <v>0</v>
      </c>
      <c r="C2457" t="s">
        <v>40729</v>
      </c>
      <c r="D2457">
        <v>1037022454355</v>
      </c>
      <c r="E2457">
        <v>1</v>
      </c>
      <c r="F2457">
        <v>6106837236</v>
      </c>
      <c r="G2457">
        <v>28500000</v>
      </c>
      <c r="H2457" t="s">
        <v>40293</v>
      </c>
      <c r="I2457">
        <v>13245</v>
      </c>
      <c r="J2457">
        <v>2</v>
      </c>
      <c r="K2457">
        <v>5</v>
      </c>
    </row>
    <row r="2458" spans="1:11">
      <c r="A2458">
        <v>90</v>
      </c>
      <c r="B2458" t="b">
        <v>0</v>
      </c>
      <c r="C2458" t="s">
        <v>40431</v>
      </c>
      <c r="D2458">
        <v>1037022454355</v>
      </c>
      <c r="E2458">
        <v>1</v>
      </c>
      <c r="F2458">
        <v>6112611750</v>
      </c>
      <c r="G2458">
        <v>27960000</v>
      </c>
      <c r="H2458" t="s">
        <v>40293</v>
      </c>
      <c r="I2458">
        <v>13245</v>
      </c>
      <c r="J2458">
        <v>10</v>
      </c>
      <c r="K2458">
        <v>15</v>
      </c>
    </row>
    <row r="2459" spans="1:11">
      <c r="A2459">
        <v>90</v>
      </c>
      <c r="B2459" t="b">
        <v>0</v>
      </c>
      <c r="C2459" t="s">
        <v>41370</v>
      </c>
      <c r="D2459">
        <v>1037022454355</v>
      </c>
      <c r="E2459">
        <v>1</v>
      </c>
      <c r="F2459">
        <v>6106831518</v>
      </c>
      <c r="G2459">
        <v>22500000</v>
      </c>
      <c r="H2459" t="s">
        <v>40293</v>
      </c>
      <c r="I2459">
        <v>13246</v>
      </c>
      <c r="J2459">
        <v>4</v>
      </c>
      <c r="K2459">
        <v>5</v>
      </c>
    </row>
    <row r="2460" spans="1:11">
      <c r="A2460">
        <v>90</v>
      </c>
      <c r="B2460" t="b">
        <v>0</v>
      </c>
      <c r="C2460" t="s">
        <v>41583</v>
      </c>
      <c r="D2460">
        <v>1037022454355</v>
      </c>
      <c r="E2460">
        <v>1</v>
      </c>
      <c r="F2460">
        <v>6106836980</v>
      </c>
      <c r="G2460">
        <v>26500000</v>
      </c>
      <c r="H2460" t="s">
        <v>40293</v>
      </c>
      <c r="I2460">
        <v>13247</v>
      </c>
      <c r="J2460">
        <v>3</v>
      </c>
      <c r="K2460">
        <v>5</v>
      </c>
    </row>
    <row r="2461" spans="1:11">
      <c r="A2461">
        <v>90</v>
      </c>
      <c r="B2461" t="b">
        <v>0</v>
      </c>
      <c r="C2461" t="s">
        <v>41587</v>
      </c>
      <c r="D2461">
        <v>1037022454355</v>
      </c>
      <c r="E2461">
        <v>1</v>
      </c>
      <c r="F2461">
        <v>6106837048</v>
      </c>
      <c r="G2461">
        <v>26500000</v>
      </c>
      <c r="H2461" t="s">
        <v>40293</v>
      </c>
      <c r="I2461">
        <v>13248</v>
      </c>
      <c r="J2461">
        <v>3</v>
      </c>
      <c r="K2461">
        <v>5</v>
      </c>
    </row>
    <row r="2462" spans="1:11">
      <c r="A2462">
        <v>90</v>
      </c>
      <c r="B2462" t="b">
        <v>0</v>
      </c>
      <c r="C2462" t="s">
        <v>41447</v>
      </c>
      <c r="D2462">
        <v>1037022454355</v>
      </c>
      <c r="E2462">
        <v>1</v>
      </c>
      <c r="F2462">
        <v>6121677418</v>
      </c>
      <c r="G2462">
        <v>50000000</v>
      </c>
      <c r="H2462" t="s">
        <v>40293</v>
      </c>
      <c r="I2462">
        <v>13256</v>
      </c>
      <c r="J2462">
        <v>2</v>
      </c>
      <c r="K2462">
        <v>3</v>
      </c>
    </row>
    <row r="2463" spans="1:11">
      <c r="A2463">
        <v>90</v>
      </c>
      <c r="B2463" t="b">
        <v>0</v>
      </c>
      <c r="C2463" t="s">
        <v>41463</v>
      </c>
      <c r="D2463">
        <v>1037022454355</v>
      </c>
      <c r="E2463">
        <v>1</v>
      </c>
      <c r="F2463">
        <v>6121677773</v>
      </c>
      <c r="G2463">
        <v>80000000</v>
      </c>
      <c r="H2463" t="s">
        <v>40293</v>
      </c>
      <c r="I2463">
        <v>13257</v>
      </c>
      <c r="J2463">
        <v>1</v>
      </c>
      <c r="K2463">
        <v>1</v>
      </c>
    </row>
    <row r="2464" spans="1:11">
      <c r="A2464">
        <v>90</v>
      </c>
      <c r="B2464" t="b">
        <v>0</v>
      </c>
      <c r="C2464" t="s">
        <v>43010</v>
      </c>
      <c r="D2464">
        <v>1037022454355</v>
      </c>
      <c r="E2464">
        <v>1</v>
      </c>
      <c r="F2464">
        <v>6138302653</v>
      </c>
      <c r="G2464">
        <v>70000000</v>
      </c>
      <c r="H2464" t="s">
        <v>40293</v>
      </c>
      <c r="I2464">
        <v>13257</v>
      </c>
      <c r="J2464">
        <v>2</v>
      </c>
      <c r="K2464">
        <v>2</v>
      </c>
    </row>
    <row r="2465" spans="1:11">
      <c r="A2465">
        <v>90</v>
      </c>
      <c r="B2465" t="b">
        <v>0</v>
      </c>
      <c r="C2465" t="s">
        <v>43287</v>
      </c>
      <c r="D2465">
        <v>1037022454355</v>
      </c>
      <c r="E2465">
        <v>1</v>
      </c>
      <c r="F2465">
        <v>6140100188</v>
      </c>
      <c r="G2465">
        <v>10620000</v>
      </c>
      <c r="H2465" t="s">
        <v>40293</v>
      </c>
      <c r="I2465">
        <v>13257</v>
      </c>
      <c r="J2465">
        <v>25</v>
      </c>
      <c r="K2465">
        <v>28</v>
      </c>
    </row>
    <row r="2466" spans="1:11">
      <c r="A2466">
        <v>90</v>
      </c>
      <c r="B2466" t="b">
        <v>0</v>
      </c>
      <c r="C2466" t="s">
        <v>40471</v>
      </c>
      <c r="D2466">
        <v>1037022454355</v>
      </c>
      <c r="E2466">
        <v>1</v>
      </c>
      <c r="F2466">
        <v>6108516426</v>
      </c>
      <c r="G2466">
        <v>12000000</v>
      </c>
      <c r="H2466" t="s">
        <v>40293</v>
      </c>
      <c r="I2466">
        <v>13258</v>
      </c>
      <c r="J2466">
        <v>39</v>
      </c>
      <c r="K2466">
        <v>46</v>
      </c>
    </row>
    <row r="2467" spans="1:11">
      <c r="A2467">
        <v>90</v>
      </c>
      <c r="B2467" t="b">
        <v>0</v>
      </c>
      <c r="C2467" t="s">
        <v>41484</v>
      </c>
      <c r="D2467">
        <v>1037022454355</v>
      </c>
      <c r="E2467">
        <v>1</v>
      </c>
      <c r="F2467">
        <v>6121678455</v>
      </c>
      <c r="G2467">
        <v>12000000</v>
      </c>
      <c r="H2467" t="s">
        <v>40293</v>
      </c>
      <c r="I2467">
        <v>13258</v>
      </c>
      <c r="J2467">
        <v>3</v>
      </c>
      <c r="K2467">
        <v>3</v>
      </c>
    </row>
    <row r="2468" spans="1:11">
      <c r="A2468">
        <v>30</v>
      </c>
      <c r="B2468" t="b">
        <v>0</v>
      </c>
      <c r="C2468" t="s">
        <v>44919</v>
      </c>
      <c r="D2468">
        <v>1037022454355</v>
      </c>
      <c r="E2468">
        <v>1</v>
      </c>
      <c r="F2468">
        <v>6154536880</v>
      </c>
      <c r="G2468">
        <v>31620000</v>
      </c>
      <c r="H2468" t="s">
        <v>40293</v>
      </c>
      <c r="I2468">
        <v>13259</v>
      </c>
      <c r="J2468">
        <v>4</v>
      </c>
      <c r="K2468">
        <v>4</v>
      </c>
    </row>
    <row r="2469" spans="1:11">
      <c r="A2469">
        <v>90</v>
      </c>
      <c r="B2469" t="b">
        <v>0</v>
      </c>
      <c r="C2469" t="s">
        <v>43539</v>
      </c>
      <c r="D2469">
        <v>1037022454355</v>
      </c>
      <c r="E2469">
        <v>1</v>
      </c>
      <c r="F2469">
        <v>6146443694</v>
      </c>
      <c r="G2469">
        <v>26900000</v>
      </c>
      <c r="H2469" t="s">
        <v>40293</v>
      </c>
      <c r="I2469">
        <v>13261</v>
      </c>
      <c r="J2469">
        <v>5</v>
      </c>
      <c r="K2469">
        <v>5</v>
      </c>
    </row>
    <row r="2470" spans="1:11">
      <c r="A2470">
        <v>90</v>
      </c>
      <c r="B2470" t="b">
        <v>0</v>
      </c>
      <c r="C2470" t="s">
        <v>46505</v>
      </c>
      <c r="D2470">
        <v>1037022454355</v>
      </c>
      <c r="E2470">
        <v>1</v>
      </c>
      <c r="F2470">
        <v>6152944991</v>
      </c>
      <c r="G2470">
        <v>26890000</v>
      </c>
      <c r="H2470" t="s">
        <v>40293</v>
      </c>
      <c r="I2470">
        <v>13261</v>
      </c>
      <c r="J2470">
        <v>2</v>
      </c>
      <c r="K2470">
        <v>5</v>
      </c>
    </row>
    <row r="2471" spans="1:11">
      <c r="A2471">
        <v>90</v>
      </c>
      <c r="B2471" t="b">
        <v>0</v>
      </c>
      <c r="C2471" t="s">
        <v>45900</v>
      </c>
      <c r="D2471">
        <v>1037022454355</v>
      </c>
      <c r="E2471">
        <v>1</v>
      </c>
      <c r="F2471">
        <v>6156705141</v>
      </c>
      <c r="G2471">
        <v>5800000</v>
      </c>
      <c r="H2471" t="s">
        <v>40293</v>
      </c>
      <c r="I2471">
        <v>13283</v>
      </c>
      <c r="J2471">
        <v>1</v>
      </c>
      <c r="K2471">
        <v>1</v>
      </c>
    </row>
    <row r="2472" spans="1:11">
      <c r="A2472">
        <v>90</v>
      </c>
      <c r="B2472" t="b">
        <v>0</v>
      </c>
      <c r="C2472" t="s">
        <v>40497</v>
      </c>
      <c r="D2472">
        <v>1037022454355</v>
      </c>
      <c r="E2472">
        <v>1</v>
      </c>
      <c r="F2472">
        <v>6119690958</v>
      </c>
      <c r="G2472">
        <v>80000</v>
      </c>
      <c r="H2472" t="s">
        <v>40293</v>
      </c>
      <c r="I2472">
        <v>13320</v>
      </c>
      <c r="J2472">
        <v>6</v>
      </c>
      <c r="K2472">
        <v>6</v>
      </c>
    </row>
    <row r="2473" spans="1:11">
      <c r="A2473">
        <v>90</v>
      </c>
      <c r="B2473" t="b">
        <v>0</v>
      </c>
      <c r="C2473" t="s">
        <v>41888</v>
      </c>
      <c r="D2473">
        <v>1037022454355</v>
      </c>
      <c r="E2473">
        <v>1</v>
      </c>
      <c r="F2473">
        <v>6127207459</v>
      </c>
      <c r="G2473">
        <v>6000000</v>
      </c>
      <c r="H2473" t="s">
        <v>40293</v>
      </c>
      <c r="I2473">
        <v>13820</v>
      </c>
      <c r="J2473">
        <v>1</v>
      </c>
      <c r="K2473">
        <v>1</v>
      </c>
    </row>
    <row r="2474" spans="1:11">
      <c r="A2474">
        <v>90</v>
      </c>
      <c r="B2474" t="b">
        <v>0</v>
      </c>
      <c r="C2474" t="s">
        <v>45008</v>
      </c>
      <c r="D2474">
        <v>1037022454355</v>
      </c>
      <c r="E2474">
        <v>1</v>
      </c>
      <c r="F2474">
        <v>6155842017</v>
      </c>
      <c r="G2474">
        <v>40000000</v>
      </c>
      <c r="H2474" t="s">
        <v>40293</v>
      </c>
      <c r="I2474">
        <v>13827</v>
      </c>
      <c r="J2474">
        <v>1</v>
      </c>
      <c r="K2474">
        <v>1</v>
      </c>
    </row>
    <row r="2475" spans="1:11">
      <c r="A2475">
        <v>90</v>
      </c>
      <c r="B2475" t="b">
        <v>0</v>
      </c>
      <c r="C2475" t="s">
        <v>43166</v>
      </c>
      <c r="D2475">
        <v>1037022454355</v>
      </c>
      <c r="E2475">
        <v>1</v>
      </c>
      <c r="F2475">
        <v>6143156288</v>
      </c>
      <c r="G2475">
        <v>10000000</v>
      </c>
      <c r="H2475" t="s">
        <v>40293</v>
      </c>
      <c r="I2475">
        <v>13874</v>
      </c>
      <c r="J2475">
        <v>4</v>
      </c>
      <c r="K2475">
        <v>4</v>
      </c>
    </row>
    <row r="2476" spans="1:11">
      <c r="A2476">
        <v>90</v>
      </c>
      <c r="B2476" t="b">
        <v>0</v>
      </c>
      <c r="C2476" t="s">
        <v>41358</v>
      </c>
      <c r="D2476">
        <v>1037022454355</v>
      </c>
      <c r="E2476">
        <v>1</v>
      </c>
      <c r="F2476">
        <v>6115711262</v>
      </c>
      <c r="G2476">
        <v>45400000</v>
      </c>
      <c r="H2476" t="s">
        <v>40293</v>
      </c>
      <c r="I2476">
        <v>13923</v>
      </c>
      <c r="J2476">
        <v>5</v>
      </c>
      <c r="K2476">
        <v>9</v>
      </c>
    </row>
    <row r="2477" spans="1:11">
      <c r="A2477">
        <v>90</v>
      </c>
      <c r="B2477" t="b">
        <v>0</v>
      </c>
      <c r="C2477" t="s">
        <v>41341</v>
      </c>
      <c r="D2477">
        <v>1037022454355</v>
      </c>
      <c r="E2477">
        <v>1</v>
      </c>
      <c r="F2477">
        <v>6104307612</v>
      </c>
      <c r="G2477">
        <v>10000000</v>
      </c>
      <c r="H2477" t="s">
        <v>40293</v>
      </c>
      <c r="I2477">
        <v>13931</v>
      </c>
      <c r="J2477">
        <v>1</v>
      </c>
      <c r="K2477">
        <v>1</v>
      </c>
    </row>
    <row r="2478" spans="1:11">
      <c r="A2478">
        <v>90</v>
      </c>
      <c r="B2478" t="b">
        <v>0</v>
      </c>
      <c r="C2478" t="s">
        <v>42957</v>
      </c>
      <c r="D2478">
        <v>1037022454355</v>
      </c>
      <c r="E2478">
        <v>1</v>
      </c>
      <c r="F2478">
        <v>6140102566</v>
      </c>
      <c r="G2478">
        <v>134200000</v>
      </c>
      <c r="H2478" t="s">
        <v>40293</v>
      </c>
      <c r="I2478">
        <v>13937</v>
      </c>
      <c r="J2478">
        <v>6</v>
      </c>
      <c r="K2478">
        <v>8</v>
      </c>
    </row>
    <row r="2479" spans="1:11">
      <c r="A2479">
        <v>90</v>
      </c>
      <c r="B2479" t="b">
        <v>0</v>
      </c>
      <c r="C2479" t="s">
        <v>46553</v>
      </c>
      <c r="D2479">
        <v>1037022454355</v>
      </c>
      <c r="E2479">
        <v>1</v>
      </c>
      <c r="F2479">
        <v>6156123932</v>
      </c>
      <c r="G2479">
        <v>126900000</v>
      </c>
      <c r="H2479" t="s">
        <v>40293</v>
      </c>
      <c r="I2479">
        <v>13943</v>
      </c>
      <c r="J2479">
        <v>3</v>
      </c>
      <c r="K2479">
        <v>3</v>
      </c>
    </row>
    <row r="2480" spans="1:11">
      <c r="A2480">
        <v>90</v>
      </c>
      <c r="B2480" t="b">
        <v>0</v>
      </c>
      <c r="C2480" t="s">
        <v>41916</v>
      </c>
      <c r="D2480">
        <v>1037022454355</v>
      </c>
      <c r="E2480">
        <v>1</v>
      </c>
      <c r="F2480">
        <v>6126043524</v>
      </c>
      <c r="G2480">
        <v>100800000</v>
      </c>
      <c r="H2480" t="s">
        <v>40293</v>
      </c>
      <c r="I2480">
        <v>13945</v>
      </c>
      <c r="J2480">
        <v>4</v>
      </c>
      <c r="K2480">
        <v>8</v>
      </c>
    </row>
    <row r="2481" spans="1:11">
      <c r="A2481">
        <v>90</v>
      </c>
      <c r="B2481" t="b">
        <v>0</v>
      </c>
      <c r="C2481" t="s">
        <v>43765</v>
      </c>
      <c r="D2481">
        <v>1037022454355</v>
      </c>
      <c r="E2481">
        <v>1</v>
      </c>
      <c r="F2481">
        <v>6074066862</v>
      </c>
      <c r="G2481">
        <v>54610000</v>
      </c>
      <c r="H2481" t="s">
        <v>40293</v>
      </c>
      <c r="I2481">
        <v>13947</v>
      </c>
      <c r="J2481">
        <v>2</v>
      </c>
      <c r="K2481">
        <v>10</v>
      </c>
    </row>
    <row r="2482" spans="1:11">
      <c r="A2482">
        <v>90</v>
      </c>
      <c r="B2482" t="b">
        <v>0</v>
      </c>
      <c r="C2482" t="s">
        <v>43354</v>
      </c>
      <c r="D2482">
        <v>1037022454355</v>
      </c>
      <c r="E2482">
        <v>1</v>
      </c>
      <c r="F2482">
        <v>6073856893</v>
      </c>
      <c r="G2482">
        <v>35170000</v>
      </c>
      <c r="H2482" t="s">
        <v>40293</v>
      </c>
      <c r="I2482">
        <v>13948</v>
      </c>
      <c r="J2482">
        <v>1</v>
      </c>
      <c r="K2482">
        <v>12</v>
      </c>
    </row>
    <row r="2483" spans="1:11">
      <c r="A2483">
        <v>30</v>
      </c>
      <c r="B2483" t="b">
        <v>0</v>
      </c>
      <c r="C2483" t="s">
        <v>43786</v>
      </c>
      <c r="D2483">
        <v>1037022454355</v>
      </c>
      <c r="E2483">
        <v>1</v>
      </c>
      <c r="F2483">
        <v>6146893572</v>
      </c>
      <c r="G2483">
        <v>136000000</v>
      </c>
      <c r="H2483" t="s">
        <v>40293</v>
      </c>
      <c r="I2483">
        <v>13957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45109</v>
      </c>
      <c r="D2484">
        <v>1037022454355</v>
      </c>
      <c r="E2484">
        <v>1</v>
      </c>
      <c r="F2484">
        <v>6111147740</v>
      </c>
      <c r="G2484">
        <v>20000000</v>
      </c>
      <c r="H2484" t="s">
        <v>40293</v>
      </c>
      <c r="I2484">
        <v>13963</v>
      </c>
      <c r="J2484">
        <v>4</v>
      </c>
      <c r="K2484">
        <v>4</v>
      </c>
    </row>
    <row r="2485" spans="1:11">
      <c r="A2485">
        <v>90</v>
      </c>
      <c r="B2485" t="b">
        <v>0</v>
      </c>
      <c r="C2485" t="s">
        <v>45456</v>
      </c>
      <c r="D2485">
        <v>1037022454355</v>
      </c>
      <c r="E2485">
        <v>1</v>
      </c>
      <c r="F2485">
        <v>6154897738</v>
      </c>
      <c r="G2485">
        <v>16000000</v>
      </c>
      <c r="H2485" t="s">
        <v>40293</v>
      </c>
      <c r="I2485">
        <v>13965</v>
      </c>
      <c r="J2485">
        <v>1</v>
      </c>
      <c r="K2485">
        <v>1</v>
      </c>
    </row>
    <row r="2486" spans="1:11">
      <c r="A2486">
        <v>90</v>
      </c>
      <c r="B2486" t="b">
        <v>0</v>
      </c>
      <c r="C2486" t="s">
        <v>42843</v>
      </c>
      <c r="D2486">
        <v>1037022454355</v>
      </c>
      <c r="E2486">
        <v>1</v>
      </c>
      <c r="F2486">
        <v>6137838296</v>
      </c>
      <c r="G2486">
        <v>5000000</v>
      </c>
      <c r="H2486" t="s">
        <v>40293</v>
      </c>
      <c r="I2486">
        <v>13966</v>
      </c>
      <c r="J2486">
        <v>1</v>
      </c>
      <c r="K2486">
        <v>1</v>
      </c>
    </row>
    <row r="2487" spans="1:11">
      <c r="A2487">
        <v>90</v>
      </c>
      <c r="B2487" t="b">
        <v>0</v>
      </c>
      <c r="C2487" t="s">
        <v>42533</v>
      </c>
      <c r="D2487">
        <v>1037022454355</v>
      </c>
      <c r="E2487">
        <v>1</v>
      </c>
      <c r="F2487">
        <v>6134807158</v>
      </c>
      <c r="G2487">
        <v>4990000</v>
      </c>
      <c r="H2487" t="s">
        <v>40293</v>
      </c>
      <c r="I2487">
        <v>13967</v>
      </c>
      <c r="J2487">
        <v>2</v>
      </c>
      <c r="K2487">
        <v>2</v>
      </c>
    </row>
    <row r="2488" spans="1:11">
      <c r="A2488">
        <v>30</v>
      </c>
      <c r="B2488" t="b">
        <v>0</v>
      </c>
      <c r="C2488" t="s">
        <v>43088</v>
      </c>
      <c r="D2488">
        <v>1037022454355</v>
      </c>
      <c r="E2488">
        <v>1</v>
      </c>
      <c r="F2488">
        <v>6144399525</v>
      </c>
      <c r="G2488">
        <v>299000000</v>
      </c>
      <c r="H2488" t="s">
        <v>40293</v>
      </c>
      <c r="I2488">
        <v>13969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45389</v>
      </c>
      <c r="D2489">
        <v>1037022454355</v>
      </c>
      <c r="E2489">
        <v>1</v>
      </c>
      <c r="F2489">
        <v>6154896929</v>
      </c>
      <c r="G2489">
        <v>298900000</v>
      </c>
      <c r="H2489" t="s">
        <v>40293</v>
      </c>
      <c r="I2489">
        <v>13969</v>
      </c>
      <c r="J2489">
        <v>2</v>
      </c>
      <c r="K2489">
        <v>2</v>
      </c>
    </row>
    <row r="2490" spans="1:11">
      <c r="A2490">
        <v>90</v>
      </c>
      <c r="B2490" t="b">
        <v>0</v>
      </c>
      <c r="C2490" t="s">
        <v>45227</v>
      </c>
      <c r="D2490">
        <v>1037022454355</v>
      </c>
      <c r="E2490">
        <v>1</v>
      </c>
      <c r="F2490">
        <v>6156631441</v>
      </c>
      <c r="G2490">
        <v>1800000</v>
      </c>
      <c r="H2490" t="s">
        <v>40293</v>
      </c>
      <c r="I2490">
        <v>13970</v>
      </c>
      <c r="J2490">
        <v>11</v>
      </c>
      <c r="K2490">
        <v>11</v>
      </c>
    </row>
    <row r="2491" spans="1:11">
      <c r="A2491">
        <v>90</v>
      </c>
      <c r="B2491" t="b">
        <v>0</v>
      </c>
      <c r="C2491" t="s">
        <v>46017</v>
      </c>
      <c r="D2491">
        <v>1037022454355</v>
      </c>
      <c r="E2491">
        <v>1</v>
      </c>
      <c r="F2491">
        <v>6156706522</v>
      </c>
      <c r="G2491">
        <v>1799000</v>
      </c>
      <c r="H2491" t="s">
        <v>40293</v>
      </c>
      <c r="I2491">
        <v>13970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43550</v>
      </c>
      <c r="D2492">
        <v>1037022454355</v>
      </c>
      <c r="E2492">
        <v>1</v>
      </c>
      <c r="F2492">
        <v>6077101861</v>
      </c>
      <c r="G2492">
        <v>6001000</v>
      </c>
      <c r="H2492" t="s">
        <v>40293</v>
      </c>
      <c r="I2492">
        <v>13986</v>
      </c>
      <c r="J2492">
        <v>9</v>
      </c>
      <c r="K2492">
        <v>10</v>
      </c>
    </row>
    <row r="2493" spans="1:11">
      <c r="A2493">
        <v>90</v>
      </c>
      <c r="B2493" t="b">
        <v>0</v>
      </c>
      <c r="C2493" t="s">
        <v>41050</v>
      </c>
      <c r="D2493">
        <v>1037022454355</v>
      </c>
      <c r="E2493">
        <v>1</v>
      </c>
      <c r="F2493">
        <v>6114853641</v>
      </c>
      <c r="G2493">
        <v>6000000</v>
      </c>
      <c r="H2493" t="s">
        <v>40293</v>
      </c>
      <c r="I2493">
        <v>13988</v>
      </c>
      <c r="J2493">
        <v>2</v>
      </c>
      <c r="K2493">
        <v>5</v>
      </c>
    </row>
    <row r="2494" spans="1:11">
      <c r="A2494">
        <v>90</v>
      </c>
      <c r="B2494" t="b">
        <v>0</v>
      </c>
      <c r="C2494" t="s">
        <v>43412</v>
      </c>
      <c r="D2494">
        <v>1037022454355</v>
      </c>
      <c r="E2494">
        <v>1</v>
      </c>
      <c r="F2494">
        <v>6077102508</v>
      </c>
      <c r="G2494">
        <v>5301000</v>
      </c>
      <c r="H2494" t="s">
        <v>40293</v>
      </c>
      <c r="I2494">
        <v>13990</v>
      </c>
      <c r="J2494">
        <v>4</v>
      </c>
      <c r="K2494">
        <v>6</v>
      </c>
    </row>
    <row r="2495" spans="1:11">
      <c r="A2495">
        <v>90</v>
      </c>
      <c r="B2495" t="b">
        <v>0</v>
      </c>
      <c r="C2495" t="s">
        <v>43155</v>
      </c>
      <c r="D2495">
        <v>1037022454355</v>
      </c>
      <c r="E2495">
        <v>1</v>
      </c>
      <c r="F2495">
        <v>6077357773</v>
      </c>
      <c r="G2495">
        <v>4701000</v>
      </c>
      <c r="H2495" t="s">
        <v>40293</v>
      </c>
      <c r="I2495">
        <v>13992</v>
      </c>
      <c r="J2495">
        <v>23</v>
      </c>
      <c r="K2495">
        <v>26</v>
      </c>
    </row>
    <row r="2496" spans="1:11">
      <c r="A2496">
        <v>90</v>
      </c>
      <c r="B2496" t="b">
        <v>0</v>
      </c>
      <c r="C2496" t="s">
        <v>42598</v>
      </c>
      <c r="D2496">
        <v>1037022454355</v>
      </c>
      <c r="E2496">
        <v>1</v>
      </c>
      <c r="F2496">
        <v>6136284943</v>
      </c>
      <c r="G2496">
        <v>4999000</v>
      </c>
      <c r="H2496" t="s">
        <v>40293</v>
      </c>
      <c r="I2496">
        <v>13996</v>
      </c>
      <c r="J2496">
        <v>1</v>
      </c>
      <c r="K2496">
        <v>1</v>
      </c>
    </row>
    <row r="2497" spans="1:11">
      <c r="A2497">
        <v>90</v>
      </c>
      <c r="B2497" t="b">
        <v>0</v>
      </c>
      <c r="C2497" t="s">
        <v>42589</v>
      </c>
      <c r="D2497">
        <v>1037022454355</v>
      </c>
      <c r="E2497">
        <v>1</v>
      </c>
      <c r="F2497">
        <v>6069405018</v>
      </c>
      <c r="G2497">
        <v>499900</v>
      </c>
      <c r="H2497" t="s">
        <v>40293</v>
      </c>
      <c r="I2497">
        <v>14019</v>
      </c>
      <c r="J2497">
        <v>4</v>
      </c>
      <c r="K2497">
        <v>7</v>
      </c>
    </row>
    <row r="2498" spans="1:11">
      <c r="A2498">
        <v>90</v>
      </c>
      <c r="B2498" t="b">
        <v>0</v>
      </c>
      <c r="C2498" t="s">
        <v>43592</v>
      </c>
      <c r="D2498">
        <v>1037022454355</v>
      </c>
      <c r="E2498">
        <v>1</v>
      </c>
      <c r="F2498">
        <v>6077108214</v>
      </c>
      <c r="G2498">
        <v>9601000</v>
      </c>
      <c r="H2498" t="s">
        <v>40293</v>
      </c>
      <c r="I2498">
        <v>14033</v>
      </c>
      <c r="J2498">
        <v>11</v>
      </c>
      <c r="K2498">
        <v>29</v>
      </c>
    </row>
    <row r="2499" spans="1:11">
      <c r="A2499">
        <v>90</v>
      </c>
      <c r="B2499" t="b">
        <v>0</v>
      </c>
      <c r="C2499" t="s">
        <v>43254</v>
      </c>
      <c r="D2499">
        <v>1037022454355</v>
      </c>
      <c r="E2499">
        <v>1</v>
      </c>
      <c r="F2499">
        <v>6077360605</v>
      </c>
      <c r="G2499">
        <v>1201000</v>
      </c>
      <c r="H2499" t="s">
        <v>40293</v>
      </c>
      <c r="I2499">
        <v>14035</v>
      </c>
      <c r="J2499">
        <v>3</v>
      </c>
      <c r="K2499">
        <v>20</v>
      </c>
    </row>
    <row r="2500" spans="1:11">
      <c r="A2500">
        <v>90</v>
      </c>
      <c r="B2500" t="b">
        <v>0</v>
      </c>
      <c r="C2500" t="s">
        <v>43723</v>
      </c>
      <c r="D2500">
        <v>1037022454355</v>
      </c>
      <c r="E2500">
        <v>1</v>
      </c>
      <c r="F2500">
        <v>6077107607</v>
      </c>
      <c r="G2500">
        <v>12010000</v>
      </c>
      <c r="H2500" t="s">
        <v>40293</v>
      </c>
      <c r="I2500">
        <v>14037</v>
      </c>
      <c r="J2500">
        <v>15</v>
      </c>
      <c r="K2500">
        <v>22</v>
      </c>
    </row>
    <row r="2501" spans="1:11">
      <c r="A2501">
        <v>90</v>
      </c>
      <c r="B2501" t="b">
        <v>0</v>
      </c>
      <c r="C2501" t="s">
        <v>40602</v>
      </c>
      <c r="D2501">
        <v>1037022454355</v>
      </c>
      <c r="E2501">
        <v>1</v>
      </c>
      <c r="F2501">
        <v>6116580203</v>
      </c>
      <c r="G2501">
        <v>5000000</v>
      </c>
      <c r="H2501" t="s">
        <v>40293</v>
      </c>
      <c r="I2501">
        <v>14039</v>
      </c>
      <c r="J2501">
        <v>5</v>
      </c>
      <c r="K2501">
        <v>5</v>
      </c>
    </row>
    <row r="2502" spans="1:11">
      <c r="A2502">
        <v>90</v>
      </c>
      <c r="B2502" t="b">
        <v>0</v>
      </c>
      <c r="C2502" t="s">
        <v>46077</v>
      </c>
      <c r="D2502">
        <v>1037022454355</v>
      </c>
      <c r="E2502">
        <v>1</v>
      </c>
      <c r="F2502">
        <v>6156641953</v>
      </c>
      <c r="G2502">
        <v>37200000</v>
      </c>
      <c r="H2502" t="s">
        <v>40293</v>
      </c>
      <c r="I2502">
        <v>14041</v>
      </c>
      <c r="J2502">
        <v>6</v>
      </c>
      <c r="K2502">
        <v>6</v>
      </c>
    </row>
    <row r="2503" spans="1:11">
      <c r="A2503">
        <v>90</v>
      </c>
      <c r="B2503" t="b">
        <v>0</v>
      </c>
      <c r="C2503" t="s">
        <v>46106</v>
      </c>
      <c r="D2503">
        <v>1037022454355</v>
      </c>
      <c r="E2503">
        <v>1</v>
      </c>
      <c r="F2503">
        <v>6153595052</v>
      </c>
      <c r="G2503">
        <v>6000000</v>
      </c>
      <c r="H2503" t="s">
        <v>40293</v>
      </c>
      <c r="I2503">
        <v>14043</v>
      </c>
      <c r="J2503">
        <v>5</v>
      </c>
      <c r="K2503">
        <v>5</v>
      </c>
    </row>
    <row r="2504" spans="1:11">
      <c r="A2504">
        <v>90</v>
      </c>
      <c r="B2504" t="b">
        <v>0</v>
      </c>
      <c r="C2504" t="s">
        <v>46043</v>
      </c>
      <c r="D2504">
        <v>1037022454355</v>
      </c>
      <c r="E2504">
        <v>1</v>
      </c>
      <c r="F2504">
        <v>6156641436</v>
      </c>
      <c r="G2504">
        <v>78900000</v>
      </c>
      <c r="H2504" t="s">
        <v>40293</v>
      </c>
      <c r="I2504">
        <v>14047</v>
      </c>
      <c r="J2504">
        <v>3</v>
      </c>
      <c r="K2504">
        <v>3</v>
      </c>
    </row>
    <row r="2505" spans="1:11">
      <c r="A2505">
        <v>90</v>
      </c>
      <c r="B2505" t="b">
        <v>0</v>
      </c>
      <c r="C2505" t="s">
        <v>40654</v>
      </c>
      <c r="D2505">
        <v>1037022454355</v>
      </c>
      <c r="E2505">
        <v>1</v>
      </c>
      <c r="F2505">
        <v>6100459311</v>
      </c>
      <c r="G2505">
        <v>50210000</v>
      </c>
      <c r="H2505" t="s">
        <v>40293</v>
      </c>
      <c r="I2505">
        <v>14047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43007</v>
      </c>
      <c r="D2506">
        <v>1037022454355</v>
      </c>
      <c r="E2506">
        <v>1</v>
      </c>
      <c r="F2506">
        <v>6143152199</v>
      </c>
      <c r="G2506">
        <v>2500000</v>
      </c>
      <c r="H2506" t="s">
        <v>40293</v>
      </c>
      <c r="I2506">
        <v>14059</v>
      </c>
      <c r="J2506">
        <v>5</v>
      </c>
      <c r="K2506">
        <v>6</v>
      </c>
    </row>
    <row r="2507" spans="1:11">
      <c r="A2507">
        <v>90</v>
      </c>
      <c r="B2507" t="b">
        <v>0</v>
      </c>
      <c r="C2507" t="s">
        <v>46086</v>
      </c>
      <c r="D2507">
        <v>1037022454355</v>
      </c>
      <c r="E2507">
        <v>1</v>
      </c>
      <c r="F2507">
        <v>6153332555</v>
      </c>
      <c r="G2507">
        <v>35010000</v>
      </c>
      <c r="H2507" t="s">
        <v>40293</v>
      </c>
      <c r="I2507">
        <v>14072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41581</v>
      </c>
      <c r="D2508">
        <v>1037022454355</v>
      </c>
      <c r="E2508">
        <v>1</v>
      </c>
      <c r="F2508">
        <v>6089306072</v>
      </c>
      <c r="G2508">
        <v>414900</v>
      </c>
      <c r="H2508" t="s">
        <v>40293</v>
      </c>
      <c r="I2508">
        <v>14078</v>
      </c>
      <c r="J2508">
        <v>44</v>
      </c>
      <c r="K2508">
        <v>45</v>
      </c>
    </row>
    <row r="2509" spans="1:11">
      <c r="A2509">
        <v>90</v>
      </c>
      <c r="B2509" t="b">
        <v>0</v>
      </c>
      <c r="C2509" t="s">
        <v>40645</v>
      </c>
      <c r="D2509">
        <v>1037022454355</v>
      </c>
      <c r="E2509">
        <v>1</v>
      </c>
      <c r="F2509">
        <v>6116581021</v>
      </c>
      <c r="G2509">
        <v>5000000</v>
      </c>
      <c r="H2509" t="s">
        <v>40293</v>
      </c>
      <c r="I2509">
        <v>14080</v>
      </c>
      <c r="J2509">
        <v>4</v>
      </c>
      <c r="K2509">
        <v>4</v>
      </c>
    </row>
    <row r="2510" spans="1:11">
      <c r="A2510">
        <v>90</v>
      </c>
      <c r="B2510" t="b">
        <v>0</v>
      </c>
      <c r="C2510" t="s">
        <v>41581</v>
      </c>
      <c r="D2510">
        <v>1037022454355</v>
      </c>
      <c r="E2510">
        <v>1</v>
      </c>
      <c r="F2510">
        <v>6089306071</v>
      </c>
      <c r="G2510">
        <v>949000</v>
      </c>
      <c r="H2510" t="s">
        <v>40293</v>
      </c>
      <c r="I2510">
        <v>14084</v>
      </c>
      <c r="J2510">
        <v>40</v>
      </c>
      <c r="K2510">
        <v>40</v>
      </c>
    </row>
    <row r="2511" spans="1:11">
      <c r="A2511">
        <v>90</v>
      </c>
      <c r="B2511" t="b">
        <v>0</v>
      </c>
      <c r="C2511" t="s">
        <v>40463</v>
      </c>
      <c r="D2511">
        <v>1037022454355</v>
      </c>
      <c r="E2511">
        <v>1</v>
      </c>
      <c r="F2511">
        <v>6087118691</v>
      </c>
      <c r="G2511">
        <v>948900</v>
      </c>
      <c r="H2511" t="s">
        <v>40293</v>
      </c>
      <c r="I2511">
        <v>14084</v>
      </c>
      <c r="J2511">
        <v>19</v>
      </c>
      <c r="K2511">
        <v>44</v>
      </c>
    </row>
    <row r="2512" spans="1:11">
      <c r="A2512">
        <v>90</v>
      </c>
      <c r="B2512" t="b">
        <v>0</v>
      </c>
      <c r="C2512" t="s">
        <v>40635</v>
      </c>
      <c r="D2512">
        <v>1037022454355</v>
      </c>
      <c r="E2512">
        <v>1</v>
      </c>
      <c r="F2512">
        <v>6116580887</v>
      </c>
      <c r="G2512">
        <v>5000000</v>
      </c>
      <c r="H2512" t="s">
        <v>40293</v>
      </c>
      <c r="I2512">
        <v>14086</v>
      </c>
      <c r="J2512">
        <v>2</v>
      </c>
      <c r="K2512">
        <v>3</v>
      </c>
    </row>
    <row r="2513" spans="1:11">
      <c r="A2513">
        <v>90</v>
      </c>
      <c r="B2513" t="b">
        <v>0</v>
      </c>
      <c r="C2513" t="s">
        <v>43235</v>
      </c>
      <c r="D2513">
        <v>1037022454355</v>
      </c>
      <c r="E2513">
        <v>1</v>
      </c>
      <c r="F2513">
        <v>6143912146</v>
      </c>
      <c r="G2513">
        <v>450000</v>
      </c>
      <c r="H2513" t="s">
        <v>40293</v>
      </c>
      <c r="I2513">
        <v>14088</v>
      </c>
      <c r="J2513">
        <v>1</v>
      </c>
      <c r="K2513">
        <v>1</v>
      </c>
    </row>
    <row r="2514" spans="1:11">
      <c r="A2514">
        <v>90</v>
      </c>
      <c r="B2514" t="b">
        <v>0</v>
      </c>
      <c r="C2514" t="s">
        <v>41581</v>
      </c>
      <c r="D2514">
        <v>1037022454355</v>
      </c>
      <c r="E2514">
        <v>1</v>
      </c>
      <c r="F2514">
        <v>6089306070</v>
      </c>
      <c r="G2514">
        <v>304000</v>
      </c>
      <c r="H2514" t="s">
        <v>40293</v>
      </c>
      <c r="I2514">
        <v>14090</v>
      </c>
      <c r="J2514">
        <v>78</v>
      </c>
      <c r="K2514">
        <v>80</v>
      </c>
    </row>
    <row r="2515" spans="1:11">
      <c r="A2515">
        <v>90</v>
      </c>
      <c r="B2515" t="b">
        <v>0</v>
      </c>
      <c r="C2515" t="s">
        <v>42436</v>
      </c>
      <c r="D2515">
        <v>1037022454355</v>
      </c>
      <c r="E2515">
        <v>1</v>
      </c>
      <c r="F2515">
        <v>6068643440</v>
      </c>
      <c r="G2515">
        <v>303800</v>
      </c>
      <c r="H2515" t="s">
        <v>40293</v>
      </c>
      <c r="I2515">
        <v>14090</v>
      </c>
      <c r="J2515">
        <v>18</v>
      </c>
      <c r="K2515">
        <v>22</v>
      </c>
    </row>
    <row r="2516" spans="1:11">
      <c r="A2516">
        <v>90</v>
      </c>
      <c r="B2516" t="b">
        <v>0</v>
      </c>
      <c r="C2516" t="s">
        <v>41581</v>
      </c>
      <c r="D2516">
        <v>1037022454355</v>
      </c>
      <c r="E2516">
        <v>1</v>
      </c>
      <c r="F2516">
        <v>6089306073</v>
      </c>
      <c r="G2516">
        <v>479000</v>
      </c>
      <c r="H2516" t="s">
        <v>40293</v>
      </c>
      <c r="I2516">
        <v>14096</v>
      </c>
      <c r="J2516">
        <v>27</v>
      </c>
      <c r="K2516">
        <v>27</v>
      </c>
    </row>
    <row r="2517" spans="1:11">
      <c r="A2517">
        <v>90</v>
      </c>
      <c r="B2517" t="b">
        <v>0</v>
      </c>
      <c r="C2517" t="s">
        <v>40836</v>
      </c>
      <c r="D2517">
        <v>1037022454355</v>
      </c>
      <c r="E2517">
        <v>1</v>
      </c>
      <c r="F2517">
        <v>6089289857</v>
      </c>
      <c r="G2517">
        <v>478900</v>
      </c>
      <c r="H2517" t="s">
        <v>40293</v>
      </c>
      <c r="I2517">
        <v>14096</v>
      </c>
      <c r="J2517">
        <v>34</v>
      </c>
      <c r="K2517">
        <v>40</v>
      </c>
    </row>
    <row r="2518" spans="1:11">
      <c r="A2518">
        <v>90</v>
      </c>
      <c r="B2518" t="b">
        <v>0</v>
      </c>
      <c r="C2518" t="s">
        <v>42549</v>
      </c>
      <c r="D2518">
        <v>1037022454355</v>
      </c>
      <c r="E2518">
        <v>1</v>
      </c>
      <c r="F2518">
        <v>6068649474</v>
      </c>
      <c r="G2518">
        <v>478800</v>
      </c>
      <c r="H2518" t="s">
        <v>40293</v>
      </c>
      <c r="I2518">
        <v>14096</v>
      </c>
      <c r="J2518">
        <v>1</v>
      </c>
      <c r="K2518">
        <v>5</v>
      </c>
    </row>
    <row r="2519" spans="1:11">
      <c r="A2519">
        <v>90</v>
      </c>
      <c r="B2519" t="b">
        <v>0</v>
      </c>
      <c r="C2519" t="s">
        <v>43495</v>
      </c>
      <c r="D2519">
        <v>1037022454355</v>
      </c>
      <c r="E2519">
        <v>1</v>
      </c>
      <c r="F2519">
        <v>6074614795</v>
      </c>
      <c r="G2519">
        <v>37010000</v>
      </c>
      <c r="H2519" t="s">
        <v>40293</v>
      </c>
      <c r="I2519">
        <v>14110</v>
      </c>
      <c r="J2519">
        <v>29</v>
      </c>
      <c r="K2519">
        <v>30</v>
      </c>
    </row>
    <row r="2520" spans="1:11">
      <c r="A2520">
        <v>90</v>
      </c>
      <c r="B2520" t="b">
        <v>0</v>
      </c>
      <c r="C2520" t="s">
        <v>40542</v>
      </c>
      <c r="D2520">
        <v>1037022454355</v>
      </c>
      <c r="E2520">
        <v>1</v>
      </c>
      <c r="F2520">
        <v>6124852635</v>
      </c>
      <c r="G2520">
        <v>37000000</v>
      </c>
      <c r="H2520" t="s">
        <v>40293</v>
      </c>
      <c r="I2520">
        <v>14112</v>
      </c>
      <c r="J2520">
        <v>1</v>
      </c>
      <c r="K2520">
        <v>1</v>
      </c>
    </row>
    <row r="2521" spans="1:11">
      <c r="A2521">
        <v>90</v>
      </c>
      <c r="B2521" t="b">
        <v>0</v>
      </c>
      <c r="C2521" t="s">
        <v>40309</v>
      </c>
      <c r="D2521">
        <v>1037022454355</v>
      </c>
      <c r="E2521">
        <v>1</v>
      </c>
      <c r="F2521">
        <v>6099173806</v>
      </c>
      <c r="G2521">
        <v>130400000</v>
      </c>
      <c r="H2521" t="s">
        <v>40293</v>
      </c>
      <c r="I2521">
        <v>14114</v>
      </c>
      <c r="J2521">
        <v>1</v>
      </c>
      <c r="K2521">
        <v>1</v>
      </c>
    </row>
    <row r="2522" spans="1:11">
      <c r="A2522">
        <v>90</v>
      </c>
      <c r="B2522" t="b">
        <v>0</v>
      </c>
      <c r="C2522" t="s">
        <v>43513</v>
      </c>
      <c r="D2522">
        <v>1037022454355</v>
      </c>
      <c r="E2522">
        <v>1</v>
      </c>
      <c r="F2522">
        <v>6074615293</v>
      </c>
      <c r="G2522">
        <v>37210000</v>
      </c>
      <c r="H2522" t="s">
        <v>40293</v>
      </c>
      <c r="I2522">
        <v>14122</v>
      </c>
      <c r="J2522">
        <v>4</v>
      </c>
      <c r="K2522">
        <v>5</v>
      </c>
    </row>
    <row r="2523" spans="1:11">
      <c r="A2523">
        <v>90</v>
      </c>
      <c r="B2523" t="b">
        <v>0</v>
      </c>
      <c r="C2523" t="s">
        <v>40913</v>
      </c>
      <c r="D2523">
        <v>1037022454355</v>
      </c>
      <c r="E2523">
        <v>1</v>
      </c>
      <c r="F2523">
        <v>6102431595</v>
      </c>
      <c r="G2523">
        <v>14400000</v>
      </c>
      <c r="H2523" t="s">
        <v>40293</v>
      </c>
      <c r="I2523">
        <v>14126</v>
      </c>
      <c r="J2523">
        <v>20</v>
      </c>
      <c r="K2523">
        <v>20</v>
      </c>
    </row>
    <row r="2524" spans="1:11">
      <c r="A2524">
        <v>90</v>
      </c>
      <c r="B2524" t="b">
        <v>0</v>
      </c>
      <c r="C2524" t="s">
        <v>46477</v>
      </c>
      <c r="D2524">
        <v>1037022454355</v>
      </c>
      <c r="E2524">
        <v>1</v>
      </c>
      <c r="F2524">
        <v>6155336788</v>
      </c>
      <c r="G2524">
        <v>139900000</v>
      </c>
      <c r="H2524" t="s">
        <v>40293</v>
      </c>
      <c r="I2524">
        <v>14127</v>
      </c>
      <c r="J2524">
        <v>1</v>
      </c>
      <c r="K2524">
        <v>1</v>
      </c>
    </row>
    <row r="2525" spans="1:11">
      <c r="A2525">
        <v>90</v>
      </c>
      <c r="B2525" t="b">
        <v>0</v>
      </c>
      <c r="C2525" t="s">
        <v>45265</v>
      </c>
      <c r="D2525">
        <v>1037022454355</v>
      </c>
      <c r="E2525">
        <v>1</v>
      </c>
      <c r="F2525">
        <v>6153237847</v>
      </c>
      <c r="G2525">
        <v>15000000</v>
      </c>
      <c r="H2525" t="s">
        <v>40293</v>
      </c>
      <c r="I2525">
        <v>14128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44517</v>
      </c>
      <c r="D2526">
        <v>1037022454355</v>
      </c>
      <c r="E2526">
        <v>1</v>
      </c>
      <c r="F2526">
        <v>6153214598</v>
      </c>
      <c r="G2526">
        <v>12500000</v>
      </c>
      <c r="H2526" t="s">
        <v>40293</v>
      </c>
      <c r="I2526">
        <v>14130</v>
      </c>
      <c r="J2526">
        <v>19</v>
      </c>
      <c r="K2526">
        <v>20</v>
      </c>
    </row>
    <row r="2527" spans="1:11">
      <c r="A2527">
        <v>90</v>
      </c>
      <c r="B2527" t="b">
        <v>0</v>
      </c>
      <c r="C2527" t="s">
        <v>43951</v>
      </c>
      <c r="D2527">
        <v>1037022454355</v>
      </c>
      <c r="E2527">
        <v>1</v>
      </c>
      <c r="F2527">
        <v>6143153349</v>
      </c>
      <c r="G2527">
        <v>30000000</v>
      </c>
      <c r="H2527" t="s">
        <v>40293</v>
      </c>
      <c r="I2527">
        <v>14132</v>
      </c>
      <c r="J2527">
        <v>2</v>
      </c>
      <c r="K2527">
        <v>2</v>
      </c>
    </row>
    <row r="2528" spans="1:11">
      <c r="A2528">
        <v>90</v>
      </c>
      <c r="B2528" t="b">
        <v>0</v>
      </c>
      <c r="C2528" t="s">
        <v>43645</v>
      </c>
      <c r="D2528">
        <v>1037022454355</v>
      </c>
      <c r="E2528">
        <v>1</v>
      </c>
      <c r="F2528">
        <v>6073964334</v>
      </c>
      <c r="G2528">
        <v>42010000</v>
      </c>
      <c r="H2528" t="s">
        <v>40293</v>
      </c>
      <c r="I2528">
        <v>14134</v>
      </c>
      <c r="J2528">
        <v>1</v>
      </c>
      <c r="K2528">
        <v>10</v>
      </c>
    </row>
    <row r="2529" spans="1:11">
      <c r="A2529">
        <v>90</v>
      </c>
      <c r="B2529" t="b">
        <v>0</v>
      </c>
      <c r="C2529" t="s">
        <v>40423</v>
      </c>
      <c r="D2529">
        <v>1037022454355</v>
      </c>
      <c r="E2529">
        <v>1</v>
      </c>
      <c r="F2529">
        <v>6118968463</v>
      </c>
      <c r="G2529">
        <v>45000000</v>
      </c>
      <c r="H2529" t="s">
        <v>40293</v>
      </c>
      <c r="I2529">
        <v>14142</v>
      </c>
      <c r="J2529">
        <v>2</v>
      </c>
      <c r="K2529">
        <v>4</v>
      </c>
    </row>
    <row r="2530" spans="1:11">
      <c r="A2530">
        <v>90</v>
      </c>
      <c r="B2530" t="b">
        <v>0</v>
      </c>
      <c r="C2530" t="s">
        <v>45098</v>
      </c>
      <c r="D2530">
        <v>1037022454355</v>
      </c>
      <c r="E2530">
        <v>1</v>
      </c>
      <c r="F2530">
        <v>6149912204</v>
      </c>
      <c r="G2530">
        <v>40010000</v>
      </c>
      <c r="H2530" t="s">
        <v>40293</v>
      </c>
      <c r="I2530">
        <v>14146</v>
      </c>
      <c r="J2530">
        <v>1</v>
      </c>
      <c r="K2530">
        <v>1</v>
      </c>
    </row>
    <row r="2531" spans="1:11">
      <c r="A2531">
        <v>30</v>
      </c>
      <c r="B2531" t="b">
        <v>0</v>
      </c>
      <c r="C2531" t="s">
        <v>45579</v>
      </c>
      <c r="D2531">
        <v>1037022454355</v>
      </c>
      <c r="E2531">
        <v>1</v>
      </c>
      <c r="F2531">
        <v>6148509335</v>
      </c>
      <c r="G2531">
        <v>113700000</v>
      </c>
      <c r="H2531" t="s">
        <v>40293</v>
      </c>
      <c r="I2531">
        <v>14170</v>
      </c>
      <c r="J2531">
        <v>2</v>
      </c>
      <c r="K2531">
        <v>5</v>
      </c>
    </row>
    <row r="2532" spans="1:11">
      <c r="A2532">
        <v>90</v>
      </c>
      <c r="B2532" t="b">
        <v>0</v>
      </c>
      <c r="C2532" t="s">
        <v>42475</v>
      </c>
      <c r="D2532">
        <v>1037022454355</v>
      </c>
      <c r="E2532">
        <v>1</v>
      </c>
      <c r="F2532">
        <v>6132149749</v>
      </c>
      <c r="G2532">
        <v>35000000</v>
      </c>
      <c r="H2532" t="s">
        <v>40293</v>
      </c>
      <c r="I2532">
        <v>14172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43035</v>
      </c>
      <c r="D2533">
        <v>1037022454355</v>
      </c>
      <c r="E2533">
        <v>1</v>
      </c>
      <c r="F2533">
        <v>6143152986</v>
      </c>
      <c r="G2533">
        <v>34820000</v>
      </c>
      <c r="H2533" t="s">
        <v>40293</v>
      </c>
      <c r="I2533">
        <v>14172</v>
      </c>
      <c r="J2533">
        <v>5</v>
      </c>
      <c r="K2533">
        <v>5</v>
      </c>
    </row>
    <row r="2534" spans="1:11">
      <c r="A2534">
        <v>90</v>
      </c>
      <c r="B2534" t="b">
        <v>0</v>
      </c>
      <c r="C2534" t="s">
        <v>43306</v>
      </c>
      <c r="D2534">
        <v>1037022454355</v>
      </c>
      <c r="E2534">
        <v>1</v>
      </c>
      <c r="F2534">
        <v>6140309233</v>
      </c>
      <c r="G2534">
        <v>34820000</v>
      </c>
      <c r="H2534" t="s">
        <v>40293</v>
      </c>
      <c r="I2534">
        <v>14172</v>
      </c>
      <c r="J2534">
        <v>1</v>
      </c>
      <c r="K2534">
        <v>3</v>
      </c>
    </row>
    <row r="2535" spans="1:11">
      <c r="A2535">
        <v>90</v>
      </c>
      <c r="B2535" t="b">
        <v>0</v>
      </c>
      <c r="C2535" t="s">
        <v>43438</v>
      </c>
      <c r="D2535">
        <v>1037022454355</v>
      </c>
      <c r="E2535">
        <v>1</v>
      </c>
      <c r="F2535">
        <v>6146243698</v>
      </c>
      <c r="G2535">
        <v>39600000</v>
      </c>
      <c r="H2535" t="s">
        <v>40293</v>
      </c>
      <c r="I2535">
        <v>14174</v>
      </c>
      <c r="J2535">
        <v>2</v>
      </c>
      <c r="K2535">
        <v>2</v>
      </c>
    </row>
    <row r="2536" spans="1:11">
      <c r="A2536">
        <v>90</v>
      </c>
      <c r="B2536" t="b">
        <v>0</v>
      </c>
      <c r="C2536" t="s">
        <v>40880</v>
      </c>
      <c r="D2536">
        <v>1037022454355</v>
      </c>
      <c r="E2536">
        <v>1</v>
      </c>
      <c r="F2536">
        <v>6102430881</v>
      </c>
      <c r="G2536">
        <v>30000000</v>
      </c>
      <c r="H2536" t="s">
        <v>40293</v>
      </c>
      <c r="I2536">
        <v>14178</v>
      </c>
      <c r="J2536">
        <v>2</v>
      </c>
      <c r="K2536">
        <v>11</v>
      </c>
    </row>
    <row r="2537" spans="1:11">
      <c r="A2537">
        <v>90</v>
      </c>
      <c r="B2537" t="b">
        <v>0</v>
      </c>
      <c r="C2537" t="s">
        <v>42005</v>
      </c>
      <c r="D2537">
        <v>1037022454355</v>
      </c>
      <c r="E2537">
        <v>1</v>
      </c>
      <c r="F2537">
        <v>6131581916</v>
      </c>
      <c r="G2537">
        <v>18000000</v>
      </c>
      <c r="H2537" t="s">
        <v>40293</v>
      </c>
      <c r="I2537">
        <v>14184</v>
      </c>
      <c r="J2537">
        <v>11</v>
      </c>
      <c r="K2537">
        <v>11</v>
      </c>
    </row>
    <row r="2538" spans="1:11">
      <c r="A2538">
        <v>90</v>
      </c>
      <c r="B2538" t="b">
        <v>0</v>
      </c>
      <c r="C2538" t="s">
        <v>46276</v>
      </c>
      <c r="D2538">
        <v>1037022454355</v>
      </c>
      <c r="E2538">
        <v>1</v>
      </c>
      <c r="F2538">
        <v>6147273106</v>
      </c>
      <c r="G2538">
        <v>237000000</v>
      </c>
      <c r="H2538" t="s">
        <v>40293</v>
      </c>
      <c r="I2538">
        <v>14188</v>
      </c>
      <c r="J2538">
        <v>2</v>
      </c>
      <c r="K2538">
        <v>8</v>
      </c>
    </row>
    <row r="2539" spans="1:11">
      <c r="A2539">
        <v>90</v>
      </c>
      <c r="B2539" t="b">
        <v>0</v>
      </c>
      <c r="C2539" t="s">
        <v>46031</v>
      </c>
      <c r="D2539">
        <v>1037022454355</v>
      </c>
      <c r="E2539">
        <v>1</v>
      </c>
      <c r="F2539">
        <v>6153397222</v>
      </c>
      <c r="G2539">
        <v>236600000</v>
      </c>
      <c r="H2539" t="s">
        <v>40293</v>
      </c>
      <c r="I2539">
        <v>14188</v>
      </c>
      <c r="J2539">
        <v>1</v>
      </c>
      <c r="K2539">
        <v>3</v>
      </c>
    </row>
    <row r="2540" spans="1:11">
      <c r="A2540">
        <v>90</v>
      </c>
      <c r="B2540" t="b">
        <v>0</v>
      </c>
      <c r="C2540" t="s">
        <v>46195</v>
      </c>
      <c r="D2540">
        <v>1037022454355</v>
      </c>
      <c r="E2540">
        <v>1</v>
      </c>
      <c r="F2540">
        <v>6156643670</v>
      </c>
      <c r="G2540">
        <v>159500000</v>
      </c>
      <c r="H2540" t="s">
        <v>40293</v>
      </c>
      <c r="I2540">
        <v>14190</v>
      </c>
      <c r="J2540">
        <v>9</v>
      </c>
      <c r="K2540">
        <v>9</v>
      </c>
    </row>
    <row r="2541" spans="1:11">
      <c r="A2541">
        <v>90</v>
      </c>
      <c r="B2541" t="b">
        <v>0</v>
      </c>
      <c r="C2541" t="s">
        <v>45798</v>
      </c>
      <c r="D2541">
        <v>1037022454355</v>
      </c>
      <c r="E2541">
        <v>1</v>
      </c>
      <c r="F2541">
        <v>6157162849</v>
      </c>
      <c r="G2541">
        <v>159300000</v>
      </c>
      <c r="H2541" t="s">
        <v>40293</v>
      </c>
      <c r="I2541">
        <v>14190</v>
      </c>
      <c r="J2541">
        <v>1</v>
      </c>
      <c r="K2541">
        <v>1</v>
      </c>
    </row>
    <row r="2542" spans="1:11">
      <c r="A2542">
        <v>90</v>
      </c>
      <c r="B2542" t="b">
        <v>0</v>
      </c>
      <c r="C2542" t="s">
        <v>44130</v>
      </c>
      <c r="D2542">
        <v>1037022454355</v>
      </c>
      <c r="E2542">
        <v>1</v>
      </c>
      <c r="F2542">
        <v>6156125355</v>
      </c>
      <c r="G2542">
        <v>159200000</v>
      </c>
      <c r="H2542" t="s">
        <v>40293</v>
      </c>
      <c r="I2542">
        <v>14190</v>
      </c>
      <c r="J2542">
        <v>10</v>
      </c>
      <c r="K2542">
        <v>10</v>
      </c>
    </row>
    <row r="2543" spans="1:11">
      <c r="A2543">
        <v>90</v>
      </c>
      <c r="B2543" t="b">
        <v>0</v>
      </c>
      <c r="C2543" t="s">
        <v>42010</v>
      </c>
      <c r="D2543">
        <v>1037022454355</v>
      </c>
      <c r="E2543">
        <v>1</v>
      </c>
      <c r="F2543">
        <v>6114608866</v>
      </c>
      <c r="G2543">
        <v>29900000</v>
      </c>
      <c r="H2543" t="s">
        <v>40293</v>
      </c>
      <c r="I2543">
        <v>14194</v>
      </c>
      <c r="J2543">
        <v>1</v>
      </c>
      <c r="K2543">
        <v>2</v>
      </c>
    </row>
    <row r="2544" spans="1:11">
      <c r="A2544">
        <v>90</v>
      </c>
      <c r="B2544" t="b">
        <v>0</v>
      </c>
      <c r="C2544" t="s">
        <v>41890</v>
      </c>
      <c r="D2544">
        <v>1037022454355</v>
      </c>
      <c r="E2544">
        <v>1</v>
      </c>
      <c r="F2544">
        <v>6128452792</v>
      </c>
      <c r="G2544">
        <v>30000000</v>
      </c>
      <c r="H2544" t="s">
        <v>40293</v>
      </c>
      <c r="I2544">
        <v>14220</v>
      </c>
      <c r="J2544">
        <v>1</v>
      </c>
      <c r="K2544">
        <v>1</v>
      </c>
    </row>
    <row r="2545" spans="1:11">
      <c r="A2545">
        <v>90</v>
      </c>
      <c r="B2545" t="b">
        <v>0</v>
      </c>
      <c r="C2545" t="s">
        <v>41148</v>
      </c>
      <c r="D2545">
        <v>1037022454355</v>
      </c>
      <c r="E2545">
        <v>1</v>
      </c>
      <c r="F2545">
        <v>6114855588</v>
      </c>
      <c r="G2545">
        <v>90120000</v>
      </c>
      <c r="H2545" t="s">
        <v>40293</v>
      </c>
      <c r="I2545">
        <v>14230</v>
      </c>
      <c r="J2545">
        <v>6</v>
      </c>
      <c r="K2545">
        <v>8</v>
      </c>
    </row>
    <row r="2546" spans="1:11">
      <c r="A2546">
        <v>90</v>
      </c>
      <c r="B2546" t="b">
        <v>0</v>
      </c>
      <c r="C2546" t="s">
        <v>42905</v>
      </c>
      <c r="D2546">
        <v>1037022454355</v>
      </c>
      <c r="E2546">
        <v>1</v>
      </c>
      <c r="F2546">
        <v>6147179179</v>
      </c>
      <c r="G2546">
        <v>126500000</v>
      </c>
      <c r="H2546" t="s">
        <v>40293</v>
      </c>
      <c r="I2546">
        <v>14238</v>
      </c>
      <c r="J2546">
        <v>3</v>
      </c>
      <c r="K2546">
        <v>6</v>
      </c>
    </row>
    <row r="2547" spans="1:11">
      <c r="A2547">
        <v>30</v>
      </c>
      <c r="B2547" t="b">
        <v>0</v>
      </c>
      <c r="C2547" t="s">
        <v>43478</v>
      </c>
      <c r="D2547">
        <v>1037022454355</v>
      </c>
      <c r="E2547">
        <v>1</v>
      </c>
      <c r="F2547">
        <v>6143985966</v>
      </c>
      <c r="G2547">
        <v>138900000</v>
      </c>
      <c r="H2547" t="s">
        <v>40293</v>
      </c>
      <c r="I2547">
        <v>14242</v>
      </c>
      <c r="J2547">
        <v>1</v>
      </c>
      <c r="K2547">
        <v>1</v>
      </c>
    </row>
    <row r="2548" spans="1:11">
      <c r="A2548">
        <v>90</v>
      </c>
      <c r="B2548" t="b">
        <v>0</v>
      </c>
      <c r="C2548" t="s">
        <v>40513</v>
      </c>
      <c r="D2548">
        <v>1037022454355</v>
      </c>
      <c r="E2548">
        <v>1</v>
      </c>
      <c r="F2548">
        <v>6112580694</v>
      </c>
      <c r="G2548">
        <v>189000000</v>
      </c>
      <c r="H2548" t="s">
        <v>40293</v>
      </c>
      <c r="I2548">
        <v>14248</v>
      </c>
      <c r="J2548">
        <v>5</v>
      </c>
      <c r="K2548">
        <v>5</v>
      </c>
    </row>
    <row r="2549" spans="1:11">
      <c r="A2549">
        <v>90</v>
      </c>
      <c r="B2549" t="b">
        <v>0</v>
      </c>
      <c r="C2549" t="s">
        <v>43252</v>
      </c>
      <c r="D2549">
        <v>1037022454355</v>
      </c>
      <c r="E2549">
        <v>1</v>
      </c>
      <c r="F2549">
        <v>6145236042</v>
      </c>
      <c r="G2549">
        <v>139000000</v>
      </c>
      <c r="H2549" t="s">
        <v>40293</v>
      </c>
      <c r="I2549">
        <v>14252</v>
      </c>
      <c r="J2549">
        <v>1</v>
      </c>
      <c r="K2549">
        <v>1</v>
      </c>
    </row>
    <row r="2550" spans="1:11">
      <c r="A2550">
        <v>90</v>
      </c>
      <c r="B2550" t="b">
        <v>0</v>
      </c>
      <c r="C2550" t="s">
        <v>43456</v>
      </c>
      <c r="D2550">
        <v>1037022454355</v>
      </c>
      <c r="E2550">
        <v>1</v>
      </c>
      <c r="F2550">
        <v>6073957956</v>
      </c>
      <c r="G2550">
        <v>137600000</v>
      </c>
      <c r="H2550" t="s">
        <v>40293</v>
      </c>
      <c r="I2550">
        <v>14258</v>
      </c>
      <c r="J2550">
        <v>2</v>
      </c>
      <c r="K2550">
        <v>3</v>
      </c>
    </row>
    <row r="2551" spans="1:11">
      <c r="A2551">
        <v>90</v>
      </c>
      <c r="B2551" t="b">
        <v>0</v>
      </c>
      <c r="C2551" t="s">
        <v>44849</v>
      </c>
      <c r="D2551">
        <v>1037022454355</v>
      </c>
      <c r="E2551">
        <v>1</v>
      </c>
      <c r="F2551">
        <v>6148172394</v>
      </c>
      <c r="G2551">
        <v>130000000</v>
      </c>
      <c r="H2551" t="s">
        <v>40293</v>
      </c>
      <c r="I2551">
        <v>14258</v>
      </c>
      <c r="J2551">
        <v>1</v>
      </c>
      <c r="K2551">
        <v>1</v>
      </c>
    </row>
    <row r="2552" spans="1:11">
      <c r="A2552">
        <v>90</v>
      </c>
      <c r="B2552" t="b">
        <v>0</v>
      </c>
      <c r="C2552" t="s">
        <v>40429</v>
      </c>
      <c r="D2552">
        <v>1037022454355</v>
      </c>
      <c r="E2552">
        <v>1</v>
      </c>
      <c r="F2552">
        <v>6105075043</v>
      </c>
      <c r="G2552">
        <v>131100000</v>
      </c>
      <c r="H2552" t="s">
        <v>40293</v>
      </c>
      <c r="I2552">
        <v>14264</v>
      </c>
      <c r="J2552">
        <v>3</v>
      </c>
      <c r="K2552">
        <v>5</v>
      </c>
    </row>
    <row r="2553" spans="1:11">
      <c r="A2553">
        <v>90</v>
      </c>
      <c r="B2553" t="b">
        <v>0</v>
      </c>
      <c r="C2553" t="s">
        <v>43687</v>
      </c>
      <c r="D2553">
        <v>1037022454355</v>
      </c>
      <c r="E2553">
        <v>1</v>
      </c>
      <c r="F2553">
        <v>6073966141</v>
      </c>
      <c r="G2553">
        <v>312100</v>
      </c>
      <c r="H2553" t="s">
        <v>40293</v>
      </c>
      <c r="I2553">
        <v>14278</v>
      </c>
      <c r="J2553">
        <v>26</v>
      </c>
      <c r="K2553">
        <v>463</v>
      </c>
    </row>
    <row r="2554" spans="1:11">
      <c r="A2554">
        <v>90</v>
      </c>
      <c r="B2554" t="b">
        <v>0</v>
      </c>
      <c r="C2554" t="s">
        <v>40462</v>
      </c>
      <c r="D2554">
        <v>1037022454355</v>
      </c>
      <c r="E2554">
        <v>1</v>
      </c>
      <c r="F2554">
        <v>6087118688</v>
      </c>
      <c r="G2554">
        <v>1390000</v>
      </c>
      <c r="H2554" t="s">
        <v>40293</v>
      </c>
      <c r="I2554">
        <v>14286</v>
      </c>
      <c r="J2554">
        <v>22</v>
      </c>
      <c r="K2554">
        <v>22</v>
      </c>
    </row>
    <row r="2555" spans="1:11">
      <c r="A2555">
        <v>90</v>
      </c>
      <c r="B2555" t="b">
        <v>0</v>
      </c>
      <c r="C2555" t="s">
        <v>45877</v>
      </c>
      <c r="D2555">
        <v>1037022454355</v>
      </c>
      <c r="E2555">
        <v>1</v>
      </c>
      <c r="F2555">
        <v>6156704883</v>
      </c>
      <c r="G2555">
        <v>5800000</v>
      </c>
      <c r="H2555" t="s">
        <v>40293</v>
      </c>
      <c r="I2555">
        <v>14298</v>
      </c>
      <c r="J2555">
        <v>1</v>
      </c>
      <c r="K2555">
        <v>1</v>
      </c>
    </row>
    <row r="2556" spans="1:11">
      <c r="A2556">
        <v>90</v>
      </c>
      <c r="B2556" t="b">
        <v>0</v>
      </c>
      <c r="C2556" t="s">
        <v>41677</v>
      </c>
      <c r="D2556">
        <v>1037022454355</v>
      </c>
      <c r="E2556">
        <v>1</v>
      </c>
      <c r="F2556">
        <v>6107658179</v>
      </c>
      <c r="G2556">
        <v>1098</v>
      </c>
      <c r="H2556" t="s">
        <v>40293</v>
      </c>
      <c r="I2556">
        <v>15331</v>
      </c>
      <c r="J2556">
        <v>6</v>
      </c>
      <c r="K2556">
        <v>14</v>
      </c>
    </row>
    <row r="2557" spans="1:11">
      <c r="A2557">
        <v>90</v>
      </c>
      <c r="B2557" t="b">
        <v>0</v>
      </c>
      <c r="C2557" t="s">
        <v>42513</v>
      </c>
      <c r="D2557">
        <v>1037022454355</v>
      </c>
      <c r="E2557">
        <v>1</v>
      </c>
      <c r="F2557">
        <v>6137526069</v>
      </c>
      <c r="G2557">
        <v>1097</v>
      </c>
      <c r="H2557" t="s">
        <v>40293</v>
      </c>
      <c r="I2557">
        <v>15331</v>
      </c>
      <c r="J2557">
        <v>10</v>
      </c>
      <c r="K2557">
        <v>10</v>
      </c>
    </row>
    <row r="2558" spans="1:11">
      <c r="A2558">
        <v>90</v>
      </c>
      <c r="B2558" t="b">
        <v>0</v>
      </c>
      <c r="C2558" t="s">
        <v>44307</v>
      </c>
      <c r="D2558">
        <v>1037022454355</v>
      </c>
      <c r="E2558">
        <v>1</v>
      </c>
      <c r="F2558">
        <v>6152916716</v>
      </c>
      <c r="G2558">
        <v>1096</v>
      </c>
      <c r="H2558" t="s">
        <v>40293</v>
      </c>
      <c r="I2558">
        <v>15331</v>
      </c>
      <c r="J2558">
        <v>71</v>
      </c>
      <c r="K2558">
        <v>71</v>
      </c>
    </row>
    <row r="2559" spans="1:11">
      <c r="A2559">
        <v>90</v>
      </c>
      <c r="B2559" t="b">
        <v>0</v>
      </c>
      <c r="C2559" t="s">
        <v>41926</v>
      </c>
      <c r="D2559">
        <v>1037022454355</v>
      </c>
      <c r="E2559">
        <v>1</v>
      </c>
      <c r="F2559">
        <v>6127723451</v>
      </c>
      <c r="G2559">
        <v>7499000</v>
      </c>
      <c r="H2559" t="s">
        <v>40293</v>
      </c>
      <c r="I2559">
        <v>15457</v>
      </c>
      <c r="J2559">
        <v>1</v>
      </c>
      <c r="K2559">
        <v>1</v>
      </c>
    </row>
    <row r="2560" spans="1:11">
      <c r="A2560">
        <v>90</v>
      </c>
      <c r="B2560" t="b">
        <v>0</v>
      </c>
      <c r="C2560" t="s">
        <v>46269</v>
      </c>
      <c r="D2560">
        <v>1037022454355</v>
      </c>
      <c r="E2560">
        <v>1</v>
      </c>
      <c r="F2560">
        <v>6149632358</v>
      </c>
      <c r="G2560">
        <v>7498000</v>
      </c>
      <c r="H2560" t="s">
        <v>40293</v>
      </c>
      <c r="I2560">
        <v>15457</v>
      </c>
      <c r="J2560">
        <v>2</v>
      </c>
      <c r="K2560">
        <v>2</v>
      </c>
    </row>
    <row r="2561" spans="1:11">
      <c r="A2561">
        <v>90</v>
      </c>
      <c r="B2561" t="b">
        <v>0</v>
      </c>
      <c r="C2561" t="s">
        <v>40408</v>
      </c>
      <c r="D2561">
        <v>1037022454355</v>
      </c>
      <c r="E2561">
        <v>1</v>
      </c>
      <c r="F2561">
        <v>6101928692</v>
      </c>
      <c r="G2561">
        <v>4099000</v>
      </c>
      <c r="H2561" t="s">
        <v>40293</v>
      </c>
      <c r="I2561">
        <v>15460</v>
      </c>
      <c r="J2561">
        <v>1</v>
      </c>
      <c r="K2561">
        <v>1</v>
      </c>
    </row>
    <row r="2562" spans="1:11">
      <c r="A2562">
        <v>90</v>
      </c>
      <c r="B2562" t="b">
        <v>0</v>
      </c>
      <c r="C2562" t="s">
        <v>40989</v>
      </c>
      <c r="D2562">
        <v>1037022454355</v>
      </c>
      <c r="E2562">
        <v>1</v>
      </c>
      <c r="F2562">
        <v>6091390589</v>
      </c>
      <c r="G2562">
        <v>4098000</v>
      </c>
      <c r="H2562" t="s">
        <v>40293</v>
      </c>
      <c r="I2562">
        <v>15460</v>
      </c>
      <c r="J2562">
        <v>4</v>
      </c>
      <c r="K2562">
        <v>92</v>
      </c>
    </row>
    <row r="2563" spans="1:11">
      <c r="A2563">
        <v>90</v>
      </c>
      <c r="B2563" t="b">
        <v>0</v>
      </c>
      <c r="C2563" t="s">
        <v>40815</v>
      </c>
      <c r="D2563">
        <v>1037022454355</v>
      </c>
      <c r="E2563">
        <v>1</v>
      </c>
      <c r="F2563">
        <v>6117559718</v>
      </c>
      <c r="G2563">
        <v>4090000</v>
      </c>
      <c r="H2563" t="s">
        <v>40293</v>
      </c>
      <c r="I2563">
        <v>15460</v>
      </c>
      <c r="J2563">
        <v>1</v>
      </c>
      <c r="K2563">
        <v>1</v>
      </c>
    </row>
    <row r="2564" spans="1:11">
      <c r="A2564">
        <v>90</v>
      </c>
      <c r="B2564" t="b">
        <v>0</v>
      </c>
      <c r="C2564" t="s">
        <v>43570</v>
      </c>
      <c r="D2564">
        <v>1037022454355</v>
      </c>
      <c r="E2564">
        <v>1</v>
      </c>
      <c r="F2564">
        <v>6138252742</v>
      </c>
      <c r="G2564">
        <v>3700000</v>
      </c>
      <c r="H2564" t="s">
        <v>40293</v>
      </c>
      <c r="I2564">
        <v>15460</v>
      </c>
      <c r="J2564">
        <v>5</v>
      </c>
      <c r="K2564">
        <v>22</v>
      </c>
    </row>
    <row r="2565" spans="1:11">
      <c r="A2565">
        <v>30</v>
      </c>
      <c r="B2565" t="b">
        <v>0</v>
      </c>
      <c r="C2565" t="s">
        <v>45327</v>
      </c>
      <c r="D2565">
        <v>1037022454355</v>
      </c>
      <c r="E2565">
        <v>1</v>
      </c>
      <c r="F2565">
        <v>6151291765</v>
      </c>
      <c r="G2565">
        <v>3600000</v>
      </c>
      <c r="H2565" t="s">
        <v>40293</v>
      </c>
      <c r="I2565">
        <v>15460</v>
      </c>
      <c r="J2565">
        <v>3</v>
      </c>
      <c r="K2565">
        <v>3</v>
      </c>
    </row>
    <row r="2566" spans="1:11">
      <c r="A2566">
        <v>90</v>
      </c>
      <c r="B2566" t="b">
        <v>0</v>
      </c>
      <c r="C2566" t="s">
        <v>45197</v>
      </c>
      <c r="D2566">
        <v>1037022454355</v>
      </c>
      <c r="E2566">
        <v>1</v>
      </c>
      <c r="F2566">
        <v>6149749696</v>
      </c>
      <c r="G2566">
        <v>3599000</v>
      </c>
      <c r="H2566" t="s">
        <v>40293</v>
      </c>
      <c r="I2566">
        <v>15460</v>
      </c>
      <c r="J2566">
        <v>21</v>
      </c>
      <c r="K2566">
        <v>21</v>
      </c>
    </row>
    <row r="2567" spans="1:11">
      <c r="A2567">
        <v>90</v>
      </c>
      <c r="B2567" t="b">
        <v>0</v>
      </c>
      <c r="C2567" t="s">
        <v>41333</v>
      </c>
      <c r="D2567">
        <v>1037022454355</v>
      </c>
      <c r="E2567">
        <v>1</v>
      </c>
      <c r="F2567">
        <v>6077339380</v>
      </c>
      <c r="G2567">
        <v>30000000</v>
      </c>
      <c r="H2567" t="s">
        <v>40293</v>
      </c>
      <c r="I2567">
        <v>15462</v>
      </c>
      <c r="J2567">
        <v>3</v>
      </c>
      <c r="K2567">
        <v>9</v>
      </c>
    </row>
    <row r="2568" spans="1:11">
      <c r="A2568">
        <v>90</v>
      </c>
      <c r="B2568" t="b">
        <v>0</v>
      </c>
      <c r="C2568" t="s">
        <v>45534</v>
      </c>
      <c r="D2568">
        <v>1037022454355</v>
      </c>
      <c r="E2568">
        <v>1</v>
      </c>
      <c r="F2568">
        <v>6153391302</v>
      </c>
      <c r="G2568">
        <v>2799000</v>
      </c>
      <c r="H2568" t="s">
        <v>40293</v>
      </c>
      <c r="I2568">
        <v>15463</v>
      </c>
      <c r="J2568">
        <v>80</v>
      </c>
      <c r="K2568">
        <v>80</v>
      </c>
    </row>
    <row r="2569" spans="1:11">
      <c r="A2569">
        <v>90</v>
      </c>
      <c r="B2569" t="b">
        <v>0</v>
      </c>
      <c r="C2569" t="s">
        <v>44090</v>
      </c>
      <c r="D2569">
        <v>1037022454355</v>
      </c>
      <c r="E2569">
        <v>1</v>
      </c>
      <c r="F2569">
        <v>6149374612</v>
      </c>
      <c r="G2569">
        <v>2798000</v>
      </c>
      <c r="H2569" t="s">
        <v>40293</v>
      </c>
      <c r="I2569">
        <v>15463</v>
      </c>
      <c r="J2569">
        <v>60</v>
      </c>
      <c r="K2569">
        <v>150</v>
      </c>
    </row>
    <row r="2570" spans="1:11">
      <c r="A2570">
        <v>90</v>
      </c>
      <c r="B2570" t="b">
        <v>0</v>
      </c>
      <c r="C2570" t="s">
        <v>45174</v>
      </c>
      <c r="D2570">
        <v>1037022454355</v>
      </c>
      <c r="E2570">
        <v>1</v>
      </c>
      <c r="F2570">
        <v>6149749426</v>
      </c>
      <c r="G2570">
        <v>2796000</v>
      </c>
      <c r="H2570" t="s">
        <v>40293</v>
      </c>
      <c r="I2570">
        <v>15463</v>
      </c>
      <c r="J2570">
        <v>42</v>
      </c>
      <c r="K2570">
        <v>45</v>
      </c>
    </row>
    <row r="2571" spans="1:11">
      <c r="A2571">
        <v>90</v>
      </c>
      <c r="B2571" t="b">
        <v>0</v>
      </c>
      <c r="C2571" t="s">
        <v>40799</v>
      </c>
      <c r="D2571">
        <v>1037022454355</v>
      </c>
      <c r="E2571">
        <v>1</v>
      </c>
      <c r="F2571">
        <v>6099774617</v>
      </c>
      <c r="G2571">
        <v>12510000</v>
      </c>
      <c r="H2571" t="s">
        <v>40293</v>
      </c>
      <c r="I2571">
        <v>15464</v>
      </c>
      <c r="J2571">
        <v>2</v>
      </c>
      <c r="K2571">
        <v>20</v>
      </c>
    </row>
    <row r="2572" spans="1:11">
      <c r="A2572">
        <v>90</v>
      </c>
      <c r="B2572" t="b">
        <v>0</v>
      </c>
      <c r="C2572" t="s">
        <v>44353</v>
      </c>
      <c r="D2572">
        <v>1037022454355</v>
      </c>
      <c r="E2572">
        <v>1</v>
      </c>
      <c r="F2572">
        <v>6153900350</v>
      </c>
      <c r="G2572">
        <v>12000000</v>
      </c>
      <c r="H2572" t="s">
        <v>40293</v>
      </c>
      <c r="I2572">
        <v>15464</v>
      </c>
      <c r="J2572">
        <v>19</v>
      </c>
      <c r="K2572">
        <v>21</v>
      </c>
    </row>
    <row r="2573" spans="1:11">
      <c r="A2573">
        <v>90</v>
      </c>
      <c r="B2573" t="b">
        <v>0</v>
      </c>
      <c r="C2573" t="s">
        <v>40749</v>
      </c>
      <c r="D2573">
        <v>1037022454355</v>
      </c>
      <c r="E2573">
        <v>1</v>
      </c>
      <c r="F2573">
        <v>6068545536</v>
      </c>
      <c r="G2573">
        <v>27180000</v>
      </c>
      <c r="H2573" t="s">
        <v>40293</v>
      </c>
      <c r="I2573">
        <v>15465</v>
      </c>
      <c r="J2573">
        <v>3</v>
      </c>
      <c r="K2573">
        <v>5</v>
      </c>
    </row>
    <row r="2574" spans="1:11">
      <c r="A2574">
        <v>90</v>
      </c>
      <c r="B2574" t="b">
        <v>0</v>
      </c>
      <c r="C2574" t="s">
        <v>44510</v>
      </c>
      <c r="D2574">
        <v>1037022454355</v>
      </c>
      <c r="E2574">
        <v>1</v>
      </c>
      <c r="F2574">
        <v>6155475460</v>
      </c>
      <c r="G2574">
        <v>27170000</v>
      </c>
      <c r="H2574" t="s">
        <v>40293</v>
      </c>
      <c r="I2574">
        <v>15465</v>
      </c>
      <c r="J2574">
        <v>5</v>
      </c>
      <c r="K2574">
        <v>5</v>
      </c>
    </row>
    <row r="2575" spans="1:11">
      <c r="A2575">
        <v>90</v>
      </c>
      <c r="B2575" t="b">
        <v>0</v>
      </c>
      <c r="C2575" t="s">
        <v>41506</v>
      </c>
      <c r="D2575">
        <v>1037022454355</v>
      </c>
      <c r="E2575">
        <v>1</v>
      </c>
      <c r="F2575">
        <v>6084148237</v>
      </c>
      <c r="G2575">
        <v>3990000</v>
      </c>
      <c r="H2575" t="s">
        <v>40293</v>
      </c>
      <c r="I2575">
        <v>15466</v>
      </c>
      <c r="J2575">
        <v>15</v>
      </c>
      <c r="K2575">
        <v>54</v>
      </c>
    </row>
    <row r="2576" spans="1:11">
      <c r="A2576">
        <v>90</v>
      </c>
      <c r="B2576" t="b">
        <v>0</v>
      </c>
      <c r="C2576" t="s">
        <v>41233</v>
      </c>
      <c r="D2576">
        <v>1037022454355</v>
      </c>
      <c r="E2576">
        <v>1</v>
      </c>
      <c r="F2576">
        <v>6088544501</v>
      </c>
      <c r="G2576">
        <v>3980000</v>
      </c>
      <c r="H2576" t="s">
        <v>40293</v>
      </c>
      <c r="I2576">
        <v>15466</v>
      </c>
      <c r="J2576">
        <v>77</v>
      </c>
      <c r="K2576">
        <v>84</v>
      </c>
    </row>
    <row r="2577" spans="1:11">
      <c r="A2577">
        <v>90</v>
      </c>
      <c r="B2577" t="b">
        <v>0</v>
      </c>
      <c r="C2577" t="s">
        <v>41528</v>
      </c>
      <c r="D2577">
        <v>1037022454355</v>
      </c>
      <c r="E2577">
        <v>1</v>
      </c>
      <c r="F2577">
        <v>6122531499</v>
      </c>
      <c r="G2577">
        <v>3976000</v>
      </c>
      <c r="H2577" t="s">
        <v>40293</v>
      </c>
      <c r="I2577">
        <v>15466</v>
      </c>
      <c r="J2577">
        <v>2</v>
      </c>
      <c r="K2577">
        <v>20</v>
      </c>
    </row>
    <row r="2578" spans="1:11">
      <c r="A2578">
        <v>90</v>
      </c>
      <c r="B2578" t="b">
        <v>0</v>
      </c>
      <c r="C2578" t="s">
        <v>42172</v>
      </c>
      <c r="D2578">
        <v>1037022454355</v>
      </c>
      <c r="E2578">
        <v>1</v>
      </c>
      <c r="F2578">
        <v>6078617052</v>
      </c>
      <c r="G2578">
        <v>3975000</v>
      </c>
      <c r="H2578" t="s">
        <v>40293</v>
      </c>
      <c r="I2578">
        <v>15466</v>
      </c>
      <c r="J2578">
        <v>1379</v>
      </c>
      <c r="K2578">
        <v>1549</v>
      </c>
    </row>
    <row r="2579" spans="1:11">
      <c r="A2579">
        <v>90</v>
      </c>
      <c r="B2579" t="b">
        <v>0</v>
      </c>
      <c r="C2579" t="s">
        <v>46552</v>
      </c>
      <c r="D2579">
        <v>1037022454355</v>
      </c>
      <c r="E2579">
        <v>1</v>
      </c>
      <c r="F2579">
        <v>6091833114</v>
      </c>
      <c r="G2579">
        <v>3960000</v>
      </c>
      <c r="H2579" t="s">
        <v>40293</v>
      </c>
      <c r="I2579">
        <v>15466</v>
      </c>
      <c r="J2579">
        <v>54</v>
      </c>
      <c r="K2579">
        <v>170</v>
      </c>
    </row>
    <row r="2580" spans="1:11">
      <c r="A2580">
        <v>90</v>
      </c>
      <c r="B2580" t="b">
        <v>0</v>
      </c>
      <c r="C2580" t="s">
        <v>43396</v>
      </c>
      <c r="D2580">
        <v>1037022454355</v>
      </c>
      <c r="E2580">
        <v>1</v>
      </c>
      <c r="F2580">
        <v>6138247151</v>
      </c>
      <c r="G2580">
        <v>8800000</v>
      </c>
      <c r="H2580" t="s">
        <v>40293</v>
      </c>
      <c r="I2580">
        <v>15477</v>
      </c>
      <c r="J2580">
        <v>6</v>
      </c>
      <c r="K2580">
        <v>12</v>
      </c>
    </row>
    <row r="2581" spans="1:11">
      <c r="A2581">
        <v>90</v>
      </c>
      <c r="B2581" t="b">
        <v>0</v>
      </c>
      <c r="C2581" t="s">
        <v>43666</v>
      </c>
      <c r="D2581">
        <v>1037022454355</v>
      </c>
      <c r="E2581">
        <v>1</v>
      </c>
      <c r="F2581">
        <v>6143009918</v>
      </c>
      <c r="G2581">
        <v>8700000</v>
      </c>
      <c r="H2581" t="s">
        <v>40293</v>
      </c>
      <c r="I2581">
        <v>15477</v>
      </c>
      <c r="J2581">
        <v>51</v>
      </c>
      <c r="K2581">
        <v>61</v>
      </c>
    </row>
    <row r="2582" spans="1:11">
      <c r="A2582">
        <v>90</v>
      </c>
      <c r="B2582" t="b">
        <v>0</v>
      </c>
      <c r="C2582" t="s">
        <v>44203</v>
      </c>
      <c r="D2582">
        <v>1037022454355</v>
      </c>
      <c r="E2582">
        <v>1</v>
      </c>
      <c r="F2582">
        <v>6154061997</v>
      </c>
      <c r="G2582">
        <v>8500000</v>
      </c>
      <c r="H2582" t="s">
        <v>40293</v>
      </c>
      <c r="I2582">
        <v>15477</v>
      </c>
      <c r="J2582">
        <v>20</v>
      </c>
      <c r="K2582">
        <v>20</v>
      </c>
    </row>
    <row r="2583" spans="1:11">
      <c r="A2583">
        <v>30</v>
      </c>
      <c r="B2583" t="b">
        <v>0</v>
      </c>
      <c r="C2583" t="s">
        <v>44267</v>
      </c>
      <c r="D2583">
        <v>1037022454355</v>
      </c>
      <c r="E2583">
        <v>1</v>
      </c>
      <c r="F2583">
        <v>6148459510</v>
      </c>
      <c r="G2583">
        <v>22460000</v>
      </c>
      <c r="H2583" t="s">
        <v>40293</v>
      </c>
      <c r="I2583">
        <v>15478</v>
      </c>
      <c r="J2583">
        <v>2</v>
      </c>
      <c r="K2583">
        <v>10</v>
      </c>
    </row>
    <row r="2584" spans="1:11">
      <c r="A2584">
        <v>90</v>
      </c>
      <c r="B2584" t="b">
        <v>0</v>
      </c>
      <c r="C2584" t="s">
        <v>41262</v>
      </c>
      <c r="D2584">
        <v>1037022454355</v>
      </c>
      <c r="E2584">
        <v>1</v>
      </c>
      <c r="F2584">
        <v>6108009138</v>
      </c>
      <c r="G2584">
        <v>4000000</v>
      </c>
      <c r="H2584" t="s">
        <v>40293</v>
      </c>
      <c r="I2584">
        <v>15479</v>
      </c>
      <c r="J2584">
        <v>6</v>
      </c>
      <c r="K2584">
        <v>50</v>
      </c>
    </row>
    <row r="2585" spans="1:11">
      <c r="A2585">
        <v>90</v>
      </c>
      <c r="B2585" t="b">
        <v>0</v>
      </c>
      <c r="C2585" t="s">
        <v>44915</v>
      </c>
      <c r="D2585">
        <v>1037022454355</v>
      </c>
      <c r="E2585">
        <v>1</v>
      </c>
      <c r="F2585">
        <v>6156660173</v>
      </c>
      <c r="G2585">
        <v>2600000</v>
      </c>
      <c r="H2585" t="s">
        <v>40293</v>
      </c>
      <c r="I2585">
        <v>15479</v>
      </c>
      <c r="J2585">
        <v>30</v>
      </c>
      <c r="K2585">
        <v>32</v>
      </c>
    </row>
    <row r="2586" spans="1:11">
      <c r="A2586">
        <v>90</v>
      </c>
      <c r="B2586" t="b">
        <v>0</v>
      </c>
      <c r="C2586" t="s">
        <v>41523</v>
      </c>
      <c r="D2586">
        <v>1037022454355</v>
      </c>
      <c r="E2586">
        <v>1</v>
      </c>
      <c r="F2586">
        <v>6122531339</v>
      </c>
      <c r="G2586">
        <v>12190000</v>
      </c>
      <c r="H2586" t="s">
        <v>40293</v>
      </c>
      <c r="I2586">
        <v>15480</v>
      </c>
      <c r="J2586">
        <v>4</v>
      </c>
      <c r="K2586">
        <v>5</v>
      </c>
    </row>
    <row r="2587" spans="1:11">
      <c r="A2587">
        <v>90</v>
      </c>
      <c r="B2587" t="b">
        <v>0</v>
      </c>
      <c r="C2587" t="s">
        <v>43803</v>
      </c>
      <c r="D2587">
        <v>1037022454355</v>
      </c>
      <c r="E2587">
        <v>1</v>
      </c>
      <c r="F2587">
        <v>6145731630</v>
      </c>
      <c r="G2587">
        <v>12000000</v>
      </c>
      <c r="H2587" t="s">
        <v>40293</v>
      </c>
      <c r="I2587">
        <v>15480</v>
      </c>
      <c r="J2587">
        <v>5</v>
      </c>
      <c r="K2587">
        <v>5</v>
      </c>
    </row>
    <row r="2588" spans="1:11">
      <c r="A2588">
        <v>90</v>
      </c>
      <c r="B2588" t="b">
        <v>0</v>
      </c>
      <c r="C2588" t="s">
        <v>45179</v>
      </c>
      <c r="D2588">
        <v>1037022454355</v>
      </c>
      <c r="E2588">
        <v>1</v>
      </c>
      <c r="F2588">
        <v>6155942611</v>
      </c>
      <c r="G2588">
        <v>60000</v>
      </c>
      <c r="H2588" t="s">
        <v>40293</v>
      </c>
      <c r="I2588">
        <v>15510</v>
      </c>
      <c r="J2588">
        <v>15</v>
      </c>
      <c r="K2588">
        <v>20</v>
      </c>
    </row>
    <row r="2589" spans="1:11">
      <c r="A2589">
        <v>90</v>
      </c>
      <c r="B2589" t="b">
        <v>0</v>
      </c>
      <c r="C2589" t="s">
        <v>40520</v>
      </c>
      <c r="D2589">
        <v>1037022454355</v>
      </c>
      <c r="E2589">
        <v>1</v>
      </c>
      <c r="F2589">
        <v>6112580826</v>
      </c>
      <c r="G2589">
        <v>109000000</v>
      </c>
      <c r="H2589" t="s">
        <v>40293</v>
      </c>
      <c r="I2589">
        <v>15675</v>
      </c>
      <c r="J2589">
        <v>4</v>
      </c>
      <c r="K2589">
        <v>4</v>
      </c>
    </row>
    <row r="2590" spans="1:11">
      <c r="A2590">
        <v>90</v>
      </c>
      <c r="B2590" t="b">
        <v>0</v>
      </c>
      <c r="C2590" t="s">
        <v>46450</v>
      </c>
      <c r="D2590">
        <v>1037022454355</v>
      </c>
      <c r="E2590">
        <v>1</v>
      </c>
      <c r="F2590">
        <v>6156122881</v>
      </c>
      <c r="G2590">
        <v>149900000</v>
      </c>
      <c r="H2590" t="s">
        <v>40293</v>
      </c>
      <c r="I2590">
        <v>15681</v>
      </c>
      <c r="J2590">
        <v>3</v>
      </c>
      <c r="K2590">
        <v>5</v>
      </c>
    </row>
    <row r="2591" spans="1:11">
      <c r="A2591">
        <v>90</v>
      </c>
      <c r="B2591" t="b">
        <v>0</v>
      </c>
      <c r="C2591" t="s">
        <v>45527</v>
      </c>
      <c r="D2591">
        <v>1037022454355</v>
      </c>
      <c r="E2591">
        <v>1</v>
      </c>
      <c r="F2591">
        <v>6156635264</v>
      </c>
      <c r="G2591">
        <v>33600000</v>
      </c>
      <c r="H2591" t="s">
        <v>40293</v>
      </c>
      <c r="I2591">
        <v>15729</v>
      </c>
      <c r="J2591">
        <v>50</v>
      </c>
      <c r="K2591">
        <v>50</v>
      </c>
    </row>
    <row r="2592" spans="1:11">
      <c r="A2592">
        <v>30</v>
      </c>
      <c r="B2592" t="b">
        <v>0</v>
      </c>
      <c r="C2592" t="s">
        <v>45583</v>
      </c>
      <c r="D2592">
        <v>1037022454355</v>
      </c>
      <c r="E2592">
        <v>1</v>
      </c>
      <c r="F2592">
        <v>6154538739</v>
      </c>
      <c r="G2592">
        <v>39590000</v>
      </c>
      <c r="H2592" t="s">
        <v>40293</v>
      </c>
      <c r="I2592">
        <v>15766</v>
      </c>
      <c r="J2592">
        <v>4</v>
      </c>
      <c r="K2592">
        <v>4</v>
      </c>
    </row>
    <row r="2593" spans="1:11">
      <c r="A2593">
        <v>90</v>
      </c>
      <c r="B2593" t="b">
        <v>0</v>
      </c>
      <c r="C2593" t="s">
        <v>45576</v>
      </c>
      <c r="D2593">
        <v>1037022454355</v>
      </c>
      <c r="E2593">
        <v>1</v>
      </c>
      <c r="F2593">
        <v>6156635775</v>
      </c>
      <c r="G2593">
        <v>38640000</v>
      </c>
      <c r="H2593" t="s">
        <v>40293</v>
      </c>
      <c r="I2593">
        <v>15766</v>
      </c>
      <c r="J2593">
        <v>11</v>
      </c>
      <c r="K2593">
        <v>12</v>
      </c>
    </row>
    <row r="2594" spans="1:11">
      <c r="A2594">
        <v>90</v>
      </c>
      <c r="B2594" t="b">
        <v>0</v>
      </c>
      <c r="C2594" t="s">
        <v>44643</v>
      </c>
      <c r="D2594">
        <v>1037022454355</v>
      </c>
      <c r="E2594">
        <v>1</v>
      </c>
      <c r="F2594">
        <v>6157168674</v>
      </c>
      <c r="G2594">
        <v>38630000</v>
      </c>
      <c r="H2594" t="s">
        <v>40293</v>
      </c>
      <c r="I2594">
        <v>15766</v>
      </c>
      <c r="J2594">
        <v>1</v>
      </c>
      <c r="K2594">
        <v>1</v>
      </c>
    </row>
    <row r="2595" spans="1:11">
      <c r="A2595">
        <v>90</v>
      </c>
      <c r="B2595" t="b">
        <v>0</v>
      </c>
      <c r="C2595" t="s">
        <v>44869</v>
      </c>
      <c r="D2595">
        <v>1037022454355</v>
      </c>
      <c r="E2595">
        <v>1</v>
      </c>
      <c r="F2595">
        <v>6142536619</v>
      </c>
      <c r="G2595">
        <v>38630000</v>
      </c>
      <c r="H2595" t="s">
        <v>40293</v>
      </c>
      <c r="I2595">
        <v>15766</v>
      </c>
      <c r="J2595">
        <v>1</v>
      </c>
      <c r="K2595">
        <v>6</v>
      </c>
    </row>
    <row r="2596" spans="1:11">
      <c r="A2596">
        <v>30</v>
      </c>
      <c r="B2596" t="b">
        <v>0</v>
      </c>
      <c r="C2596" t="s">
        <v>46255</v>
      </c>
      <c r="D2596">
        <v>1037022454355</v>
      </c>
      <c r="E2596">
        <v>1</v>
      </c>
      <c r="F2596">
        <v>6146617564</v>
      </c>
      <c r="G2596">
        <v>38620000</v>
      </c>
      <c r="H2596" t="s">
        <v>40293</v>
      </c>
      <c r="I2596">
        <v>15766</v>
      </c>
      <c r="J2596">
        <v>1</v>
      </c>
      <c r="K2596">
        <v>5</v>
      </c>
    </row>
    <row r="2597" spans="1:11">
      <c r="A2597">
        <v>90</v>
      </c>
      <c r="B2597" t="b">
        <v>0</v>
      </c>
      <c r="C2597" t="s">
        <v>43146</v>
      </c>
      <c r="D2597">
        <v>1037022454355</v>
      </c>
      <c r="E2597">
        <v>1</v>
      </c>
      <c r="F2597">
        <v>6140103418</v>
      </c>
      <c r="G2597">
        <v>45000000</v>
      </c>
      <c r="H2597" t="s">
        <v>40293</v>
      </c>
      <c r="I2597">
        <v>15790</v>
      </c>
      <c r="J2597">
        <v>2</v>
      </c>
      <c r="K2597">
        <v>5</v>
      </c>
    </row>
    <row r="2598" spans="1:11">
      <c r="A2598">
        <v>90</v>
      </c>
      <c r="B2598" t="b">
        <v>0</v>
      </c>
      <c r="C2598" t="s">
        <v>44209</v>
      </c>
      <c r="D2598">
        <v>1037022454355</v>
      </c>
      <c r="E2598">
        <v>1</v>
      </c>
      <c r="F2598">
        <v>6132631789</v>
      </c>
      <c r="G2598">
        <v>154000000</v>
      </c>
      <c r="H2598" t="s">
        <v>40293</v>
      </c>
      <c r="I2598">
        <v>15792</v>
      </c>
      <c r="J2598">
        <v>1</v>
      </c>
      <c r="K2598">
        <v>1</v>
      </c>
    </row>
    <row r="2599" spans="1:11">
      <c r="A2599">
        <v>90</v>
      </c>
      <c r="B2599" t="b">
        <v>0</v>
      </c>
      <c r="C2599" t="s">
        <v>41567</v>
      </c>
      <c r="D2599">
        <v>1037022454355</v>
      </c>
      <c r="E2599">
        <v>1</v>
      </c>
      <c r="F2599">
        <v>6114864739</v>
      </c>
      <c r="G2599">
        <v>116700000</v>
      </c>
      <c r="H2599" t="s">
        <v>40293</v>
      </c>
      <c r="I2599">
        <v>15806</v>
      </c>
      <c r="J2599">
        <v>1</v>
      </c>
      <c r="K2599">
        <v>3</v>
      </c>
    </row>
    <row r="2600" spans="1:11">
      <c r="A2600">
        <v>90</v>
      </c>
      <c r="B2600" t="b">
        <v>0</v>
      </c>
      <c r="C2600" t="s">
        <v>42018</v>
      </c>
      <c r="D2600">
        <v>1037022454355</v>
      </c>
      <c r="E2600">
        <v>1</v>
      </c>
      <c r="F2600">
        <v>6131583573</v>
      </c>
      <c r="G2600">
        <v>113700000</v>
      </c>
      <c r="H2600" t="s">
        <v>40293</v>
      </c>
      <c r="I2600">
        <v>15806</v>
      </c>
      <c r="J2600">
        <v>9</v>
      </c>
      <c r="K2600">
        <v>15</v>
      </c>
    </row>
    <row r="2601" spans="1:11">
      <c r="A2601">
        <v>90</v>
      </c>
      <c r="B2601" t="b">
        <v>0</v>
      </c>
      <c r="C2601" t="s">
        <v>46363</v>
      </c>
      <c r="D2601">
        <v>1037022454355</v>
      </c>
      <c r="E2601">
        <v>1</v>
      </c>
      <c r="F2601">
        <v>6147274338</v>
      </c>
      <c r="G2601">
        <v>113600000</v>
      </c>
      <c r="H2601" t="s">
        <v>40293</v>
      </c>
      <c r="I2601">
        <v>15806</v>
      </c>
      <c r="J2601">
        <v>9</v>
      </c>
      <c r="K2601">
        <v>9</v>
      </c>
    </row>
    <row r="2602" spans="1:11">
      <c r="A2602">
        <v>90</v>
      </c>
      <c r="B2602" t="b">
        <v>0</v>
      </c>
      <c r="C2602" t="s">
        <v>40910</v>
      </c>
      <c r="D2602">
        <v>1037022454355</v>
      </c>
      <c r="E2602">
        <v>1</v>
      </c>
      <c r="F2602">
        <v>6117738802</v>
      </c>
      <c r="G2602">
        <v>129800000</v>
      </c>
      <c r="H2602" t="s">
        <v>40293</v>
      </c>
      <c r="I2602">
        <v>15810</v>
      </c>
      <c r="J2602">
        <v>6</v>
      </c>
      <c r="K2602">
        <v>6</v>
      </c>
    </row>
    <row r="2603" spans="1:11">
      <c r="A2603">
        <v>90</v>
      </c>
      <c r="B2603" t="b">
        <v>0</v>
      </c>
      <c r="C2603" t="s">
        <v>41134</v>
      </c>
      <c r="D2603">
        <v>1037022454355</v>
      </c>
      <c r="E2603">
        <v>1</v>
      </c>
      <c r="F2603">
        <v>6117738950</v>
      </c>
      <c r="G2603">
        <v>129600000</v>
      </c>
      <c r="H2603" t="s">
        <v>40293</v>
      </c>
      <c r="I2603">
        <v>15810</v>
      </c>
      <c r="J2603">
        <v>4</v>
      </c>
      <c r="K2603">
        <v>5</v>
      </c>
    </row>
    <row r="2604" spans="1:11">
      <c r="A2604">
        <v>90</v>
      </c>
      <c r="B2604" t="b">
        <v>0</v>
      </c>
      <c r="C2604" t="s">
        <v>42745</v>
      </c>
      <c r="D2604">
        <v>1037022454355</v>
      </c>
      <c r="E2604">
        <v>1</v>
      </c>
      <c r="F2604">
        <v>6133010668</v>
      </c>
      <c r="G2604">
        <v>129000000</v>
      </c>
      <c r="H2604" t="s">
        <v>40293</v>
      </c>
      <c r="I2604">
        <v>15810</v>
      </c>
      <c r="J2604">
        <v>2</v>
      </c>
      <c r="K2604">
        <v>2</v>
      </c>
    </row>
    <row r="2605" spans="1:11">
      <c r="A2605">
        <v>90</v>
      </c>
      <c r="B2605" t="b">
        <v>0</v>
      </c>
      <c r="C2605" t="s">
        <v>42608</v>
      </c>
      <c r="D2605">
        <v>1037022454355</v>
      </c>
      <c r="E2605">
        <v>1</v>
      </c>
      <c r="F2605">
        <v>6117738853</v>
      </c>
      <c r="G2605">
        <v>128700000</v>
      </c>
      <c r="H2605" t="s">
        <v>40293</v>
      </c>
      <c r="I2605">
        <v>15810</v>
      </c>
      <c r="J2605">
        <v>4</v>
      </c>
      <c r="K2605">
        <v>6</v>
      </c>
    </row>
    <row r="2606" spans="1:11">
      <c r="A2606">
        <v>90</v>
      </c>
      <c r="B2606" t="b">
        <v>0</v>
      </c>
      <c r="C2606" t="s">
        <v>45528</v>
      </c>
      <c r="D2606">
        <v>1037022454355</v>
      </c>
      <c r="E2606">
        <v>1</v>
      </c>
      <c r="F2606">
        <v>6156841752</v>
      </c>
      <c r="G2606">
        <v>125000000</v>
      </c>
      <c r="H2606" t="s">
        <v>40293</v>
      </c>
      <c r="I2606">
        <v>15810</v>
      </c>
      <c r="J2606">
        <v>1</v>
      </c>
      <c r="K2606">
        <v>1</v>
      </c>
    </row>
    <row r="2607" spans="1:11">
      <c r="A2607">
        <v>30</v>
      </c>
      <c r="B2607" t="b">
        <v>0</v>
      </c>
      <c r="C2607" t="s">
        <v>46557</v>
      </c>
      <c r="D2607">
        <v>1037022454355</v>
      </c>
      <c r="E2607">
        <v>1</v>
      </c>
      <c r="F2607">
        <v>6157107015</v>
      </c>
      <c r="G2607">
        <v>124800000</v>
      </c>
      <c r="H2607" t="s">
        <v>40293</v>
      </c>
      <c r="I2607">
        <v>15810</v>
      </c>
      <c r="J2607">
        <v>2</v>
      </c>
      <c r="K2607">
        <v>2</v>
      </c>
    </row>
    <row r="2608" spans="1:11">
      <c r="A2608">
        <v>90</v>
      </c>
      <c r="B2608" t="b">
        <v>0</v>
      </c>
      <c r="C2608" t="s">
        <v>45997</v>
      </c>
      <c r="D2608">
        <v>1037022454355</v>
      </c>
      <c r="E2608">
        <v>1</v>
      </c>
      <c r="F2608">
        <v>6156122882</v>
      </c>
      <c r="G2608">
        <v>124700000</v>
      </c>
      <c r="H2608" t="s">
        <v>40293</v>
      </c>
      <c r="I2608">
        <v>15810</v>
      </c>
      <c r="J2608">
        <v>2</v>
      </c>
      <c r="K2608">
        <v>5</v>
      </c>
    </row>
    <row r="2609" spans="1:11">
      <c r="A2609">
        <v>90</v>
      </c>
      <c r="B2609" t="b">
        <v>0</v>
      </c>
      <c r="C2609" t="s">
        <v>44129</v>
      </c>
      <c r="D2609">
        <v>1037022454355</v>
      </c>
      <c r="E2609">
        <v>1</v>
      </c>
      <c r="F2609">
        <v>6156125358</v>
      </c>
      <c r="G2609">
        <v>86870000</v>
      </c>
      <c r="H2609" t="s">
        <v>40293</v>
      </c>
      <c r="I2609">
        <v>15887</v>
      </c>
      <c r="J2609">
        <v>4</v>
      </c>
      <c r="K2609">
        <v>5</v>
      </c>
    </row>
    <row r="2610" spans="1:11">
      <c r="A2610">
        <v>90</v>
      </c>
      <c r="B2610" t="b">
        <v>0</v>
      </c>
      <c r="C2610" t="s">
        <v>45836</v>
      </c>
      <c r="D2610">
        <v>1037022454355</v>
      </c>
      <c r="E2610">
        <v>1</v>
      </c>
      <c r="F2610">
        <v>6153394935</v>
      </c>
      <c r="G2610">
        <v>98000000</v>
      </c>
      <c r="H2610" t="s">
        <v>40293</v>
      </c>
      <c r="I2610">
        <v>15889</v>
      </c>
      <c r="J2610">
        <v>3</v>
      </c>
      <c r="K2610">
        <v>3</v>
      </c>
    </row>
    <row r="2611" spans="1:11">
      <c r="A2611">
        <v>90</v>
      </c>
      <c r="B2611" t="b">
        <v>0</v>
      </c>
      <c r="C2611" t="s">
        <v>45000</v>
      </c>
      <c r="D2611">
        <v>1037022454355</v>
      </c>
      <c r="E2611">
        <v>1</v>
      </c>
      <c r="F2611">
        <v>6155350419</v>
      </c>
      <c r="G2611">
        <v>97980000</v>
      </c>
      <c r="H2611" t="s">
        <v>40293</v>
      </c>
      <c r="I2611">
        <v>15889</v>
      </c>
      <c r="J2611">
        <v>2</v>
      </c>
      <c r="K2611">
        <v>2</v>
      </c>
    </row>
    <row r="2612" spans="1:11">
      <c r="A2612">
        <v>30</v>
      </c>
      <c r="B2612" t="b">
        <v>0</v>
      </c>
      <c r="C2612" t="s">
        <v>46233</v>
      </c>
      <c r="D2612">
        <v>1037022454355</v>
      </c>
      <c r="E2612">
        <v>1</v>
      </c>
      <c r="F2612">
        <v>6148452208</v>
      </c>
      <c r="G2612">
        <v>97570000</v>
      </c>
      <c r="H2612" t="s">
        <v>40293</v>
      </c>
      <c r="I2612">
        <v>15889</v>
      </c>
      <c r="J2612">
        <v>1</v>
      </c>
      <c r="K2612">
        <v>1</v>
      </c>
    </row>
    <row r="2613" spans="1:11">
      <c r="A2613">
        <v>90</v>
      </c>
      <c r="B2613" t="b">
        <v>0</v>
      </c>
      <c r="C2613" t="s">
        <v>44131</v>
      </c>
      <c r="D2613">
        <v>1037022454355</v>
      </c>
      <c r="E2613">
        <v>1</v>
      </c>
      <c r="F2613">
        <v>6156125357</v>
      </c>
      <c r="G2613">
        <v>97560000</v>
      </c>
      <c r="H2613" t="s">
        <v>40293</v>
      </c>
      <c r="I2613">
        <v>15889</v>
      </c>
      <c r="J2613">
        <v>5</v>
      </c>
      <c r="K2613">
        <v>5</v>
      </c>
    </row>
    <row r="2614" spans="1:11">
      <c r="A2614">
        <v>90</v>
      </c>
      <c r="B2614" t="b">
        <v>0</v>
      </c>
      <c r="C2614" t="s">
        <v>41297</v>
      </c>
      <c r="D2614">
        <v>1037022454355</v>
      </c>
      <c r="E2614">
        <v>1</v>
      </c>
      <c r="F2614">
        <v>6114858231</v>
      </c>
      <c r="G2614">
        <v>127600000</v>
      </c>
      <c r="H2614" t="s">
        <v>40293</v>
      </c>
      <c r="I2614">
        <v>15891</v>
      </c>
      <c r="J2614">
        <v>10</v>
      </c>
      <c r="K2614">
        <v>10</v>
      </c>
    </row>
    <row r="2615" spans="1:11">
      <c r="A2615">
        <v>30</v>
      </c>
      <c r="B2615" t="b">
        <v>0</v>
      </c>
      <c r="C2615" t="s">
        <v>43150</v>
      </c>
      <c r="D2615">
        <v>1037022454355</v>
      </c>
      <c r="E2615">
        <v>1</v>
      </c>
      <c r="F2615">
        <v>6141353531</v>
      </c>
      <c r="G2615">
        <v>127500000</v>
      </c>
      <c r="H2615" t="s">
        <v>40293</v>
      </c>
      <c r="I2615">
        <v>15891</v>
      </c>
      <c r="J2615">
        <v>1</v>
      </c>
      <c r="K2615">
        <v>1</v>
      </c>
    </row>
    <row r="2616" spans="1:11">
      <c r="A2616">
        <v>90</v>
      </c>
      <c r="B2616" t="b">
        <v>0</v>
      </c>
      <c r="C2616" t="s">
        <v>41413</v>
      </c>
      <c r="D2616">
        <v>1037022454355</v>
      </c>
      <c r="E2616">
        <v>1</v>
      </c>
      <c r="F2616">
        <v>6114860752</v>
      </c>
      <c r="G2616">
        <v>130900000</v>
      </c>
      <c r="H2616" t="s">
        <v>40293</v>
      </c>
      <c r="I2616">
        <v>15893</v>
      </c>
      <c r="J2616">
        <v>3</v>
      </c>
      <c r="K2616">
        <v>6</v>
      </c>
    </row>
    <row r="2617" spans="1:11">
      <c r="A2617">
        <v>90</v>
      </c>
      <c r="B2617" t="b">
        <v>0</v>
      </c>
      <c r="C2617" t="s">
        <v>40594</v>
      </c>
      <c r="D2617">
        <v>1037022454355</v>
      </c>
      <c r="E2617">
        <v>1</v>
      </c>
      <c r="F2617">
        <v>6116579994</v>
      </c>
      <c r="G2617">
        <v>40000000</v>
      </c>
      <c r="H2617" t="s">
        <v>40293</v>
      </c>
      <c r="I2617">
        <v>15917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40366</v>
      </c>
      <c r="D2618">
        <v>1037022454355</v>
      </c>
      <c r="E2618">
        <v>1</v>
      </c>
      <c r="F2618">
        <v>6114608865</v>
      </c>
      <c r="G2618">
        <v>10000000</v>
      </c>
      <c r="H2618" t="s">
        <v>40293</v>
      </c>
      <c r="I2618">
        <v>15935</v>
      </c>
      <c r="J2618">
        <v>1</v>
      </c>
      <c r="K2618">
        <v>1</v>
      </c>
    </row>
    <row r="2619" spans="1:11">
      <c r="A2619">
        <v>90</v>
      </c>
      <c r="B2619" t="b">
        <v>0</v>
      </c>
      <c r="C2619" t="s">
        <v>40334</v>
      </c>
      <c r="D2619">
        <v>1037022454355</v>
      </c>
      <c r="E2619">
        <v>1</v>
      </c>
      <c r="F2619">
        <v>6095275077</v>
      </c>
      <c r="G2619">
        <v>160000000</v>
      </c>
      <c r="H2619" t="s">
        <v>40293</v>
      </c>
      <c r="I2619">
        <v>15965</v>
      </c>
      <c r="J2619">
        <v>5</v>
      </c>
      <c r="K2619">
        <v>6</v>
      </c>
    </row>
    <row r="2620" spans="1:11">
      <c r="A2620">
        <v>30</v>
      </c>
      <c r="B2620" t="b">
        <v>0</v>
      </c>
      <c r="C2620" t="s">
        <v>43011</v>
      </c>
      <c r="D2620">
        <v>1037022454355</v>
      </c>
      <c r="E2620">
        <v>1</v>
      </c>
      <c r="F2620">
        <v>6145413304</v>
      </c>
      <c r="G2620">
        <v>159900000</v>
      </c>
      <c r="H2620" t="s">
        <v>40293</v>
      </c>
      <c r="I2620">
        <v>15965</v>
      </c>
      <c r="J2620">
        <v>1</v>
      </c>
      <c r="K2620">
        <v>2</v>
      </c>
    </row>
    <row r="2621" spans="1:11">
      <c r="A2621">
        <v>30</v>
      </c>
      <c r="B2621" t="b">
        <v>0</v>
      </c>
      <c r="C2621" t="s">
        <v>43785</v>
      </c>
      <c r="D2621">
        <v>1037022454355</v>
      </c>
      <c r="E2621">
        <v>1</v>
      </c>
      <c r="F2621">
        <v>6145927643</v>
      </c>
      <c r="G2621">
        <v>159800000</v>
      </c>
      <c r="H2621" t="s">
        <v>40293</v>
      </c>
      <c r="I2621">
        <v>15965</v>
      </c>
      <c r="J2621">
        <v>1</v>
      </c>
      <c r="K2621">
        <v>1</v>
      </c>
    </row>
    <row r="2622" spans="1:11">
      <c r="A2622">
        <v>90</v>
      </c>
      <c r="B2622" t="b">
        <v>0</v>
      </c>
      <c r="C2622" t="s">
        <v>42253</v>
      </c>
      <c r="D2622">
        <v>1037022454355</v>
      </c>
      <c r="E2622">
        <v>1</v>
      </c>
      <c r="F2622">
        <v>6129415739</v>
      </c>
      <c r="G2622">
        <v>22970000</v>
      </c>
      <c r="H2622" t="s">
        <v>40293</v>
      </c>
      <c r="I2622">
        <v>16008</v>
      </c>
      <c r="J2622">
        <v>8</v>
      </c>
      <c r="K2622">
        <v>8</v>
      </c>
    </row>
    <row r="2623" spans="1:11">
      <c r="A2623">
        <v>90</v>
      </c>
      <c r="B2623" t="b">
        <v>0</v>
      </c>
      <c r="C2623" t="s">
        <v>41264</v>
      </c>
      <c r="D2623">
        <v>1037022454355</v>
      </c>
      <c r="E2623">
        <v>1</v>
      </c>
      <c r="F2623">
        <v>6093918987</v>
      </c>
      <c r="G2623">
        <v>49500000</v>
      </c>
      <c r="H2623" t="s">
        <v>40293</v>
      </c>
      <c r="I2623">
        <v>16227</v>
      </c>
      <c r="J2623">
        <v>1</v>
      </c>
      <c r="K2623">
        <v>3</v>
      </c>
    </row>
    <row r="2624" spans="1:11">
      <c r="A2624">
        <v>90</v>
      </c>
      <c r="B2624" t="b">
        <v>0</v>
      </c>
      <c r="C2624" t="s">
        <v>42447</v>
      </c>
      <c r="D2624">
        <v>1037022454355</v>
      </c>
      <c r="E2624">
        <v>1</v>
      </c>
      <c r="F2624">
        <v>6136244191</v>
      </c>
      <c r="G2624">
        <v>44400000</v>
      </c>
      <c r="H2624" t="s">
        <v>40293</v>
      </c>
      <c r="I2624">
        <v>16227</v>
      </c>
      <c r="J2624">
        <v>7</v>
      </c>
      <c r="K2624">
        <v>28</v>
      </c>
    </row>
    <row r="2625" spans="1:11">
      <c r="A2625">
        <v>90</v>
      </c>
      <c r="B2625" t="b">
        <v>0</v>
      </c>
      <c r="C2625" t="s">
        <v>44069</v>
      </c>
      <c r="D2625">
        <v>1037022454355</v>
      </c>
      <c r="E2625">
        <v>1</v>
      </c>
      <c r="F2625">
        <v>6156583341</v>
      </c>
      <c r="G2625">
        <v>44350000</v>
      </c>
      <c r="H2625" t="s">
        <v>40293</v>
      </c>
      <c r="I2625">
        <v>16227</v>
      </c>
      <c r="J2625">
        <v>1</v>
      </c>
      <c r="K2625">
        <v>1</v>
      </c>
    </row>
    <row r="2626" spans="1:11">
      <c r="A2626">
        <v>14</v>
      </c>
      <c r="B2626" t="b">
        <v>0</v>
      </c>
      <c r="C2626" t="s">
        <v>44751</v>
      </c>
      <c r="D2626">
        <v>1037022454355</v>
      </c>
      <c r="E2626">
        <v>1</v>
      </c>
      <c r="F2626">
        <v>6155266919</v>
      </c>
      <c r="G2626">
        <v>44300000</v>
      </c>
      <c r="H2626" t="s">
        <v>40293</v>
      </c>
      <c r="I2626">
        <v>16227</v>
      </c>
      <c r="J2626">
        <v>1</v>
      </c>
      <c r="K2626">
        <v>1</v>
      </c>
    </row>
    <row r="2627" spans="1:11">
      <c r="A2627">
        <v>90</v>
      </c>
      <c r="B2627" t="b">
        <v>0</v>
      </c>
      <c r="C2627" t="s">
        <v>42868</v>
      </c>
      <c r="D2627">
        <v>1037022454355</v>
      </c>
      <c r="E2627">
        <v>1</v>
      </c>
      <c r="F2627">
        <v>6128729833</v>
      </c>
      <c r="G2627">
        <v>67990000</v>
      </c>
      <c r="H2627" t="s">
        <v>40293</v>
      </c>
      <c r="I2627">
        <v>16229</v>
      </c>
      <c r="J2627">
        <v>1</v>
      </c>
      <c r="K2627">
        <v>2</v>
      </c>
    </row>
    <row r="2628" spans="1:11">
      <c r="A2628">
        <v>90</v>
      </c>
      <c r="B2628" t="b">
        <v>0</v>
      </c>
      <c r="C2628" t="s">
        <v>42451</v>
      </c>
      <c r="D2628">
        <v>1037022454355</v>
      </c>
      <c r="E2628">
        <v>1</v>
      </c>
      <c r="F2628">
        <v>6136997927</v>
      </c>
      <c r="G2628">
        <v>66340000</v>
      </c>
      <c r="H2628" t="s">
        <v>40293</v>
      </c>
      <c r="I2628">
        <v>16229</v>
      </c>
      <c r="J2628">
        <v>1</v>
      </c>
      <c r="K2628">
        <v>1</v>
      </c>
    </row>
    <row r="2629" spans="1:11">
      <c r="A2629">
        <v>90</v>
      </c>
      <c r="B2629" t="b">
        <v>0</v>
      </c>
      <c r="C2629" t="s">
        <v>43038</v>
      </c>
      <c r="D2629">
        <v>1037022454355</v>
      </c>
      <c r="E2629">
        <v>1</v>
      </c>
      <c r="F2629">
        <v>6140302226</v>
      </c>
      <c r="G2629">
        <v>66340000</v>
      </c>
      <c r="H2629" t="s">
        <v>40293</v>
      </c>
      <c r="I2629">
        <v>16229</v>
      </c>
      <c r="J2629">
        <v>3</v>
      </c>
      <c r="K2629">
        <v>3</v>
      </c>
    </row>
    <row r="2630" spans="1:11">
      <c r="A2630">
        <v>90</v>
      </c>
      <c r="B2630" t="b">
        <v>0</v>
      </c>
      <c r="C2630" t="s">
        <v>45697</v>
      </c>
      <c r="D2630">
        <v>1037022454355</v>
      </c>
      <c r="E2630">
        <v>1</v>
      </c>
      <c r="F2630">
        <v>6156440862</v>
      </c>
      <c r="G2630">
        <v>63010000</v>
      </c>
      <c r="H2630" t="s">
        <v>40293</v>
      </c>
      <c r="I2630">
        <v>16229</v>
      </c>
      <c r="J2630">
        <v>3</v>
      </c>
      <c r="K2630">
        <v>3</v>
      </c>
    </row>
    <row r="2631" spans="1:11">
      <c r="A2631">
        <v>90</v>
      </c>
      <c r="B2631" t="b">
        <v>0</v>
      </c>
      <c r="C2631" t="s">
        <v>44071</v>
      </c>
      <c r="D2631">
        <v>1037022454355</v>
      </c>
      <c r="E2631">
        <v>1</v>
      </c>
      <c r="F2631">
        <v>6153060428</v>
      </c>
      <c r="G2631">
        <v>60000000</v>
      </c>
      <c r="H2631" t="s">
        <v>40293</v>
      </c>
      <c r="I2631">
        <v>16231</v>
      </c>
      <c r="J2631">
        <v>1</v>
      </c>
      <c r="K2631">
        <v>1</v>
      </c>
    </row>
    <row r="2632" spans="1:11">
      <c r="A2632">
        <v>90</v>
      </c>
      <c r="B2632" t="b">
        <v>0</v>
      </c>
      <c r="C2632" t="s">
        <v>44899</v>
      </c>
      <c r="D2632">
        <v>1037022454355</v>
      </c>
      <c r="E2632">
        <v>1</v>
      </c>
      <c r="F2632">
        <v>6151440257</v>
      </c>
      <c r="G2632">
        <v>49500000</v>
      </c>
      <c r="H2632" t="s">
        <v>40293</v>
      </c>
      <c r="I2632">
        <v>16233</v>
      </c>
      <c r="J2632">
        <v>1</v>
      </c>
      <c r="K2632">
        <v>1</v>
      </c>
    </row>
    <row r="2633" spans="1:11">
      <c r="A2633">
        <v>90</v>
      </c>
      <c r="B2633" t="b">
        <v>0</v>
      </c>
      <c r="C2633" t="s">
        <v>42770</v>
      </c>
      <c r="D2633">
        <v>1037022454355</v>
      </c>
      <c r="E2633">
        <v>1</v>
      </c>
      <c r="F2633">
        <v>6135048870</v>
      </c>
      <c r="G2633">
        <v>799000</v>
      </c>
      <c r="H2633" t="s">
        <v>40293</v>
      </c>
      <c r="I2633">
        <v>16236</v>
      </c>
      <c r="J2633">
        <v>1</v>
      </c>
      <c r="K2633">
        <v>2</v>
      </c>
    </row>
    <row r="2634" spans="1:11">
      <c r="A2634">
        <v>90</v>
      </c>
      <c r="B2634" t="b">
        <v>0</v>
      </c>
      <c r="C2634" t="s">
        <v>41558</v>
      </c>
      <c r="D2634">
        <v>1037022454355</v>
      </c>
      <c r="E2634">
        <v>1</v>
      </c>
      <c r="F2634">
        <v>6089764247</v>
      </c>
      <c r="G2634">
        <v>1483000</v>
      </c>
      <c r="H2634" t="s">
        <v>40293</v>
      </c>
      <c r="I2634">
        <v>16238</v>
      </c>
      <c r="J2634">
        <v>5</v>
      </c>
      <c r="K2634">
        <v>6</v>
      </c>
    </row>
    <row r="2635" spans="1:11">
      <c r="A2635">
        <v>90</v>
      </c>
      <c r="B2635" t="b">
        <v>0</v>
      </c>
      <c r="C2635" t="s">
        <v>41712</v>
      </c>
      <c r="D2635">
        <v>1037022454355</v>
      </c>
      <c r="E2635">
        <v>1</v>
      </c>
      <c r="F2635">
        <v>6080035718</v>
      </c>
      <c r="G2635">
        <v>840000</v>
      </c>
      <c r="H2635" t="s">
        <v>40293</v>
      </c>
      <c r="I2635">
        <v>16238</v>
      </c>
      <c r="J2635">
        <v>76</v>
      </c>
      <c r="K2635">
        <v>96</v>
      </c>
    </row>
    <row r="2636" spans="1:11">
      <c r="A2636">
        <v>90</v>
      </c>
      <c r="B2636" t="b">
        <v>0</v>
      </c>
      <c r="C2636" t="s">
        <v>41921</v>
      </c>
      <c r="D2636">
        <v>1037022454355</v>
      </c>
      <c r="E2636">
        <v>1</v>
      </c>
      <c r="F2636">
        <v>6127080161</v>
      </c>
      <c r="G2636">
        <v>839900</v>
      </c>
      <c r="H2636" t="s">
        <v>40293</v>
      </c>
      <c r="I2636">
        <v>16238</v>
      </c>
      <c r="J2636">
        <v>2</v>
      </c>
      <c r="K2636">
        <v>2</v>
      </c>
    </row>
    <row r="2637" spans="1:11">
      <c r="A2637">
        <v>90</v>
      </c>
      <c r="B2637" t="b">
        <v>0</v>
      </c>
      <c r="C2637" t="s">
        <v>43942</v>
      </c>
      <c r="D2637">
        <v>1037022454355</v>
      </c>
      <c r="E2637">
        <v>1</v>
      </c>
      <c r="F2637">
        <v>6142262186</v>
      </c>
      <c r="G2637">
        <v>817000</v>
      </c>
      <c r="H2637" t="s">
        <v>40293</v>
      </c>
      <c r="I2637">
        <v>16238</v>
      </c>
      <c r="J2637">
        <v>3</v>
      </c>
      <c r="K2637">
        <v>10</v>
      </c>
    </row>
    <row r="2638" spans="1:11">
      <c r="A2638">
        <v>90</v>
      </c>
      <c r="B2638" t="b">
        <v>0</v>
      </c>
      <c r="C2638" t="s">
        <v>40946</v>
      </c>
      <c r="D2638">
        <v>1037022454355</v>
      </c>
      <c r="E2638">
        <v>1</v>
      </c>
      <c r="F2638">
        <v>6121851340</v>
      </c>
      <c r="G2638">
        <v>2600000</v>
      </c>
      <c r="H2638" t="s">
        <v>40293</v>
      </c>
      <c r="I2638">
        <v>16240</v>
      </c>
      <c r="J2638">
        <v>7</v>
      </c>
      <c r="K2638">
        <v>10</v>
      </c>
    </row>
    <row r="2639" spans="1:11">
      <c r="A2639">
        <v>90</v>
      </c>
      <c r="B2639" t="b">
        <v>0</v>
      </c>
      <c r="C2639" t="s">
        <v>42344</v>
      </c>
      <c r="D2639">
        <v>1037022454355</v>
      </c>
      <c r="E2639">
        <v>1</v>
      </c>
      <c r="F2639">
        <v>6134009636</v>
      </c>
      <c r="G2639">
        <v>2600000</v>
      </c>
      <c r="H2639" t="s">
        <v>40293</v>
      </c>
      <c r="I2639">
        <v>16240</v>
      </c>
      <c r="J2639">
        <v>1</v>
      </c>
      <c r="K2639">
        <v>1</v>
      </c>
    </row>
    <row r="2640" spans="1:11">
      <c r="A2640">
        <v>90</v>
      </c>
      <c r="B2640" t="b">
        <v>0</v>
      </c>
      <c r="C2640" t="s">
        <v>43656</v>
      </c>
      <c r="D2640">
        <v>1037022454355</v>
      </c>
      <c r="E2640">
        <v>1</v>
      </c>
      <c r="F2640">
        <v>6140011595</v>
      </c>
      <c r="G2640">
        <v>1500000</v>
      </c>
      <c r="H2640" t="s">
        <v>40293</v>
      </c>
      <c r="I2640">
        <v>16240</v>
      </c>
      <c r="J2640">
        <v>2</v>
      </c>
      <c r="K2640">
        <v>6</v>
      </c>
    </row>
    <row r="2641" spans="1:11">
      <c r="A2641">
        <v>90</v>
      </c>
      <c r="B2641" t="b">
        <v>0</v>
      </c>
      <c r="C2641" t="s">
        <v>45865</v>
      </c>
      <c r="D2641">
        <v>1037022454355</v>
      </c>
      <c r="E2641">
        <v>1</v>
      </c>
      <c r="F2641">
        <v>6149626860</v>
      </c>
      <c r="G2641">
        <v>1400000</v>
      </c>
      <c r="H2641" t="s">
        <v>40293</v>
      </c>
      <c r="I2641">
        <v>16240</v>
      </c>
      <c r="J2641">
        <v>4</v>
      </c>
      <c r="K2641">
        <v>4</v>
      </c>
    </row>
    <row r="2642" spans="1:11">
      <c r="A2642">
        <v>90</v>
      </c>
      <c r="B2642" t="b">
        <v>0</v>
      </c>
      <c r="C2642" t="s">
        <v>46434</v>
      </c>
      <c r="D2642">
        <v>1037022454355</v>
      </c>
      <c r="E2642">
        <v>1</v>
      </c>
      <c r="F2642">
        <v>6150552202</v>
      </c>
      <c r="G2642">
        <v>1350000</v>
      </c>
      <c r="H2642" t="s">
        <v>40293</v>
      </c>
      <c r="I2642">
        <v>16240</v>
      </c>
      <c r="J2642">
        <v>2</v>
      </c>
      <c r="K2642">
        <v>4</v>
      </c>
    </row>
    <row r="2643" spans="1:11">
      <c r="A2643">
        <v>90</v>
      </c>
      <c r="B2643" t="b">
        <v>0</v>
      </c>
      <c r="C2643" t="s">
        <v>40984</v>
      </c>
      <c r="D2643">
        <v>1037022454355</v>
      </c>
      <c r="E2643">
        <v>1</v>
      </c>
      <c r="F2643">
        <v>6090735140</v>
      </c>
      <c r="G2643">
        <v>999900</v>
      </c>
      <c r="H2643" t="s">
        <v>40293</v>
      </c>
      <c r="I2643">
        <v>16242</v>
      </c>
      <c r="J2643">
        <v>8</v>
      </c>
      <c r="K2643">
        <v>8</v>
      </c>
    </row>
    <row r="2644" spans="1:11">
      <c r="A2644">
        <v>90</v>
      </c>
      <c r="B2644" t="b">
        <v>0</v>
      </c>
      <c r="C2644" t="s">
        <v>41461</v>
      </c>
      <c r="D2644">
        <v>1037022454355</v>
      </c>
      <c r="E2644">
        <v>1</v>
      </c>
      <c r="F2644">
        <v>6123348906</v>
      </c>
      <c r="G2644">
        <v>897600</v>
      </c>
      <c r="H2644" t="s">
        <v>40293</v>
      </c>
      <c r="I2644">
        <v>16242</v>
      </c>
      <c r="J2644">
        <v>18</v>
      </c>
      <c r="K2644">
        <v>18</v>
      </c>
    </row>
    <row r="2645" spans="1:11">
      <c r="A2645">
        <v>90</v>
      </c>
      <c r="B2645" t="b">
        <v>0</v>
      </c>
      <c r="C2645" t="s">
        <v>41593</v>
      </c>
      <c r="D2645">
        <v>1037022454355</v>
      </c>
      <c r="E2645">
        <v>1</v>
      </c>
      <c r="F2645">
        <v>6080036206</v>
      </c>
      <c r="G2645">
        <v>897300</v>
      </c>
      <c r="H2645" t="s">
        <v>40293</v>
      </c>
      <c r="I2645">
        <v>16242</v>
      </c>
      <c r="J2645">
        <v>31</v>
      </c>
      <c r="K2645">
        <v>98</v>
      </c>
    </row>
    <row r="2646" spans="1:11">
      <c r="A2646">
        <v>90</v>
      </c>
      <c r="B2646" t="b">
        <v>0</v>
      </c>
      <c r="C2646" t="s">
        <v>46434</v>
      </c>
      <c r="D2646">
        <v>1037022454355</v>
      </c>
      <c r="E2646">
        <v>1</v>
      </c>
      <c r="F2646">
        <v>6150552200</v>
      </c>
      <c r="G2646">
        <v>897200</v>
      </c>
      <c r="H2646" t="s">
        <v>40293</v>
      </c>
      <c r="I2646">
        <v>16242</v>
      </c>
      <c r="J2646">
        <v>2</v>
      </c>
      <c r="K2646">
        <v>5</v>
      </c>
    </row>
    <row r="2647" spans="1:11">
      <c r="A2647">
        <v>90</v>
      </c>
      <c r="B2647" t="b">
        <v>0</v>
      </c>
      <c r="C2647" t="s">
        <v>46304</v>
      </c>
      <c r="D2647">
        <v>1037022454355</v>
      </c>
      <c r="E2647">
        <v>1</v>
      </c>
      <c r="F2647">
        <v>6148518574</v>
      </c>
      <c r="G2647">
        <v>9000000</v>
      </c>
      <c r="H2647" t="s">
        <v>40293</v>
      </c>
      <c r="I2647">
        <v>16243</v>
      </c>
      <c r="J2647">
        <v>5</v>
      </c>
      <c r="K2647">
        <v>5</v>
      </c>
    </row>
    <row r="2648" spans="1:11">
      <c r="A2648">
        <v>90</v>
      </c>
      <c r="B2648" t="b">
        <v>0</v>
      </c>
      <c r="C2648" t="s">
        <v>44399</v>
      </c>
      <c r="D2648">
        <v>1037022454355</v>
      </c>
      <c r="E2648">
        <v>1</v>
      </c>
      <c r="F2648">
        <v>6156119533</v>
      </c>
      <c r="G2648">
        <v>229900000</v>
      </c>
      <c r="H2648" t="s">
        <v>40293</v>
      </c>
      <c r="I2648">
        <v>16246</v>
      </c>
      <c r="J2648">
        <v>3</v>
      </c>
      <c r="K2648">
        <v>3</v>
      </c>
    </row>
    <row r="2649" spans="1:11">
      <c r="A2649">
        <v>90</v>
      </c>
      <c r="B2649" t="b">
        <v>0</v>
      </c>
      <c r="C2649" t="s">
        <v>42926</v>
      </c>
      <c r="D2649">
        <v>1037022454355</v>
      </c>
      <c r="E2649">
        <v>1</v>
      </c>
      <c r="F2649">
        <v>6144558325</v>
      </c>
      <c r="G2649">
        <v>200000</v>
      </c>
      <c r="H2649" t="s">
        <v>40293</v>
      </c>
      <c r="I2649">
        <v>16266</v>
      </c>
      <c r="J2649">
        <v>14</v>
      </c>
      <c r="K2649">
        <v>14</v>
      </c>
    </row>
    <row r="2650" spans="1:11">
      <c r="A2650">
        <v>90</v>
      </c>
      <c r="B2650" t="b">
        <v>0</v>
      </c>
      <c r="C2650" t="s">
        <v>45646</v>
      </c>
      <c r="D2650">
        <v>1037022454355</v>
      </c>
      <c r="E2650">
        <v>1</v>
      </c>
      <c r="F2650">
        <v>6147723778</v>
      </c>
      <c r="G2650">
        <v>200000</v>
      </c>
      <c r="H2650" t="s">
        <v>40293</v>
      </c>
      <c r="I2650">
        <v>16266</v>
      </c>
      <c r="J2650">
        <v>1</v>
      </c>
      <c r="K2650">
        <v>1</v>
      </c>
    </row>
    <row r="2651" spans="1:11">
      <c r="A2651">
        <v>90</v>
      </c>
      <c r="B2651" t="b">
        <v>0</v>
      </c>
      <c r="C2651" t="s">
        <v>41812</v>
      </c>
      <c r="D2651">
        <v>1037022454355</v>
      </c>
      <c r="E2651">
        <v>1</v>
      </c>
      <c r="F2651">
        <v>6129128703</v>
      </c>
      <c r="G2651">
        <v>1551000</v>
      </c>
      <c r="H2651" t="s">
        <v>40293</v>
      </c>
      <c r="I2651">
        <v>16267</v>
      </c>
      <c r="J2651">
        <v>6</v>
      </c>
      <c r="K2651">
        <v>6</v>
      </c>
    </row>
    <row r="2652" spans="1:11">
      <c r="A2652">
        <v>90</v>
      </c>
      <c r="B2652" t="b">
        <v>0</v>
      </c>
      <c r="C2652" t="s">
        <v>43213</v>
      </c>
      <c r="D2652">
        <v>1037022454355</v>
      </c>
      <c r="E2652">
        <v>1</v>
      </c>
      <c r="F2652">
        <v>6143911444</v>
      </c>
      <c r="G2652">
        <v>1492000</v>
      </c>
      <c r="H2652" t="s">
        <v>40293</v>
      </c>
      <c r="I2652">
        <v>16267</v>
      </c>
      <c r="J2652">
        <v>6</v>
      </c>
      <c r="K2652">
        <v>6</v>
      </c>
    </row>
    <row r="2653" spans="1:11">
      <c r="A2653">
        <v>90</v>
      </c>
      <c r="B2653" t="b">
        <v>0</v>
      </c>
      <c r="C2653" t="s">
        <v>43421</v>
      </c>
      <c r="D2653">
        <v>1037022454355</v>
      </c>
      <c r="E2653">
        <v>1</v>
      </c>
      <c r="F2653">
        <v>6137559746</v>
      </c>
      <c r="G2653">
        <v>1492000</v>
      </c>
      <c r="H2653" t="s">
        <v>40293</v>
      </c>
      <c r="I2653">
        <v>16267</v>
      </c>
      <c r="J2653">
        <v>12</v>
      </c>
      <c r="K2653">
        <v>12</v>
      </c>
    </row>
    <row r="2654" spans="1:11">
      <c r="A2654">
        <v>90</v>
      </c>
      <c r="B2654" t="b">
        <v>0</v>
      </c>
      <c r="C2654" t="s">
        <v>43588</v>
      </c>
      <c r="D2654">
        <v>1037022454355</v>
      </c>
      <c r="E2654">
        <v>1</v>
      </c>
      <c r="F2654">
        <v>6130782069</v>
      </c>
      <c r="G2654">
        <v>1492000</v>
      </c>
      <c r="H2654" t="s">
        <v>40293</v>
      </c>
      <c r="I2654">
        <v>16267</v>
      </c>
      <c r="J2654">
        <v>12</v>
      </c>
      <c r="K2654">
        <v>12</v>
      </c>
    </row>
    <row r="2655" spans="1:11">
      <c r="A2655">
        <v>90</v>
      </c>
      <c r="B2655" t="b">
        <v>0</v>
      </c>
      <c r="C2655" t="s">
        <v>41773</v>
      </c>
      <c r="D2655">
        <v>1037022454355</v>
      </c>
      <c r="E2655">
        <v>1</v>
      </c>
      <c r="F2655">
        <v>6129128797</v>
      </c>
      <c r="G2655">
        <v>825100</v>
      </c>
      <c r="H2655" t="s">
        <v>40293</v>
      </c>
      <c r="I2655">
        <v>16268</v>
      </c>
      <c r="J2655">
        <v>13</v>
      </c>
      <c r="K2655">
        <v>21</v>
      </c>
    </row>
    <row r="2656" spans="1:11">
      <c r="A2656">
        <v>90</v>
      </c>
      <c r="B2656" t="b">
        <v>0</v>
      </c>
      <c r="C2656" t="s">
        <v>41813</v>
      </c>
      <c r="D2656">
        <v>1037022454355</v>
      </c>
      <c r="E2656">
        <v>1</v>
      </c>
      <c r="F2656">
        <v>6129128743</v>
      </c>
      <c r="G2656">
        <v>450100</v>
      </c>
      <c r="H2656" t="s">
        <v>40293</v>
      </c>
      <c r="I2656">
        <v>16269</v>
      </c>
      <c r="J2656">
        <v>21</v>
      </c>
      <c r="K2656">
        <v>21</v>
      </c>
    </row>
    <row r="2657" spans="1:11">
      <c r="A2657">
        <v>90</v>
      </c>
      <c r="B2657" t="b">
        <v>0</v>
      </c>
      <c r="C2657" t="s">
        <v>41355</v>
      </c>
      <c r="D2657">
        <v>1037022454355</v>
      </c>
      <c r="E2657">
        <v>1</v>
      </c>
      <c r="F2657">
        <v>6117021877</v>
      </c>
      <c r="G2657">
        <v>78.400000000000006</v>
      </c>
      <c r="H2657" t="s">
        <v>40293</v>
      </c>
      <c r="I2657">
        <v>16272</v>
      </c>
      <c r="J2657">
        <v>200000</v>
      </c>
      <c r="K2657">
        <v>200000</v>
      </c>
    </row>
    <row r="2658" spans="1:11">
      <c r="A2658">
        <v>90</v>
      </c>
      <c r="B2658" t="b">
        <v>0</v>
      </c>
      <c r="C2658" t="s">
        <v>41958</v>
      </c>
      <c r="D2658">
        <v>1037022454355</v>
      </c>
      <c r="E2658">
        <v>1</v>
      </c>
      <c r="F2658">
        <v>6127970528</v>
      </c>
      <c r="G2658">
        <v>66</v>
      </c>
      <c r="H2658" t="s">
        <v>40293</v>
      </c>
      <c r="I2658">
        <v>16272</v>
      </c>
      <c r="J2658">
        <v>697650</v>
      </c>
      <c r="K2658">
        <v>697650</v>
      </c>
    </row>
    <row r="2659" spans="1:11">
      <c r="A2659">
        <v>90</v>
      </c>
      <c r="B2659" t="b">
        <v>0</v>
      </c>
      <c r="C2659" t="s">
        <v>41340</v>
      </c>
      <c r="D2659">
        <v>1037022454355</v>
      </c>
      <c r="E2659">
        <v>1</v>
      </c>
      <c r="F2659">
        <v>6117021590</v>
      </c>
      <c r="G2659">
        <v>65</v>
      </c>
      <c r="H2659" t="s">
        <v>40293</v>
      </c>
      <c r="I2659">
        <v>16272</v>
      </c>
      <c r="J2659">
        <v>200000</v>
      </c>
      <c r="K2659">
        <v>200000</v>
      </c>
    </row>
    <row r="2660" spans="1:11">
      <c r="A2660">
        <v>90</v>
      </c>
      <c r="B2660" t="b">
        <v>0</v>
      </c>
      <c r="C2660" t="s">
        <v>41336</v>
      </c>
      <c r="D2660">
        <v>1037022454355</v>
      </c>
      <c r="E2660">
        <v>1</v>
      </c>
      <c r="F2660">
        <v>6117021498</v>
      </c>
      <c r="G2660">
        <v>55</v>
      </c>
      <c r="H2660" t="s">
        <v>40293</v>
      </c>
      <c r="I2660">
        <v>16272</v>
      </c>
      <c r="J2660">
        <v>150000</v>
      </c>
      <c r="K2660">
        <v>150000</v>
      </c>
    </row>
    <row r="2661" spans="1:11">
      <c r="A2661">
        <v>90</v>
      </c>
      <c r="B2661" t="b">
        <v>0</v>
      </c>
      <c r="C2661" t="s">
        <v>40735</v>
      </c>
      <c r="D2661">
        <v>1037022454355</v>
      </c>
      <c r="E2661">
        <v>1</v>
      </c>
      <c r="F2661">
        <v>6117558561</v>
      </c>
      <c r="G2661">
        <v>54.75</v>
      </c>
      <c r="H2661" t="s">
        <v>40293</v>
      </c>
      <c r="I2661">
        <v>16272</v>
      </c>
      <c r="J2661">
        <v>114930</v>
      </c>
      <c r="K2661">
        <v>505819</v>
      </c>
    </row>
    <row r="2662" spans="1:11">
      <c r="A2662">
        <v>90</v>
      </c>
      <c r="B2662" t="b">
        <v>0</v>
      </c>
      <c r="C2662" t="s">
        <v>43623</v>
      </c>
      <c r="D2662">
        <v>1037022454355</v>
      </c>
      <c r="E2662">
        <v>1</v>
      </c>
      <c r="F2662">
        <v>6141531268</v>
      </c>
      <c r="G2662">
        <v>29</v>
      </c>
      <c r="H2662" t="s">
        <v>40293</v>
      </c>
      <c r="I2662">
        <v>16272</v>
      </c>
      <c r="J2662">
        <v>41420</v>
      </c>
      <c r="K2662">
        <v>41420</v>
      </c>
    </row>
    <row r="2663" spans="1:11">
      <c r="A2663">
        <v>30</v>
      </c>
      <c r="B2663" t="b">
        <v>0</v>
      </c>
      <c r="C2663" t="s">
        <v>44067</v>
      </c>
      <c r="D2663">
        <v>1037022454355</v>
      </c>
      <c r="E2663">
        <v>1</v>
      </c>
      <c r="F2663">
        <v>6150619548</v>
      </c>
      <c r="G2663">
        <v>24</v>
      </c>
      <c r="H2663" t="s">
        <v>40293</v>
      </c>
      <c r="I2663">
        <v>16272</v>
      </c>
      <c r="J2663">
        <v>15231</v>
      </c>
      <c r="K2663">
        <v>15231</v>
      </c>
    </row>
    <row r="2664" spans="1:11">
      <c r="A2664">
        <v>90</v>
      </c>
      <c r="B2664" t="b">
        <v>0</v>
      </c>
      <c r="C2664" t="s">
        <v>44599</v>
      </c>
      <c r="D2664">
        <v>1037022454355</v>
      </c>
      <c r="E2664">
        <v>1</v>
      </c>
      <c r="F2664">
        <v>6151577297</v>
      </c>
      <c r="G2664">
        <v>20</v>
      </c>
      <c r="H2664" t="s">
        <v>40293</v>
      </c>
      <c r="I2664">
        <v>16272</v>
      </c>
      <c r="J2664">
        <v>35000</v>
      </c>
      <c r="K2664">
        <v>50000</v>
      </c>
    </row>
    <row r="2665" spans="1:11">
      <c r="A2665">
        <v>90</v>
      </c>
      <c r="B2665" t="b">
        <v>0</v>
      </c>
      <c r="C2665" t="s">
        <v>44924</v>
      </c>
      <c r="D2665">
        <v>1037022454355</v>
      </c>
      <c r="E2665">
        <v>1</v>
      </c>
      <c r="F2665">
        <v>6152531569</v>
      </c>
      <c r="G2665">
        <v>19</v>
      </c>
      <c r="H2665" t="s">
        <v>40293</v>
      </c>
      <c r="I2665">
        <v>16272</v>
      </c>
      <c r="J2665">
        <v>2354705</v>
      </c>
      <c r="K2665">
        <v>2448342</v>
      </c>
    </row>
    <row r="2666" spans="1:11">
      <c r="A2666">
        <v>90</v>
      </c>
      <c r="B2666" t="b">
        <v>0</v>
      </c>
      <c r="C2666" t="s">
        <v>44939</v>
      </c>
      <c r="D2666">
        <v>1037022454355</v>
      </c>
      <c r="E2666">
        <v>1</v>
      </c>
      <c r="F2666">
        <v>6141357806</v>
      </c>
      <c r="G2666">
        <v>18.5</v>
      </c>
      <c r="H2666" t="s">
        <v>40293</v>
      </c>
      <c r="I2666">
        <v>16272</v>
      </c>
      <c r="J2666">
        <v>2770124</v>
      </c>
      <c r="K2666">
        <v>2891377</v>
      </c>
    </row>
    <row r="2667" spans="1:11">
      <c r="A2667">
        <v>90</v>
      </c>
      <c r="B2667" t="b">
        <v>0</v>
      </c>
      <c r="C2667" t="s">
        <v>45237</v>
      </c>
      <c r="D2667">
        <v>1037022454355</v>
      </c>
      <c r="E2667">
        <v>1</v>
      </c>
      <c r="F2667">
        <v>6155058684</v>
      </c>
      <c r="G2667">
        <v>18.5</v>
      </c>
      <c r="H2667" t="s">
        <v>40293</v>
      </c>
      <c r="I2667">
        <v>16272</v>
      </c>
      <c r="J2667">
        <v>191854</v>
      </c>
      <c r="K2667">
        <v>191854</v>
      </c>
    </row>
    <row r="2668" spans="1:11">
      <c r="A2668">
        <v>90</v>
      </c>
      <c r="B2668" t="b">
        <v>0</v>
      </c>
      <c r="C2668" t="s">
        <v>45356</v>
      </c>
      <c r="D2668">
        <v>1037022454355</v>
      </c>
      <c r="E2668">
        <v>1</v>
      </c>
      <c r="F2668">
        <v>6150997117</v>
      </c>
      <c r="G2668">
        <v>18.25</v>
      </c>
      <c r="H2668" t="s">
        <v>40293</v>
      </c>
      <c r="I2668">
        <v>16272</v>
      </c>
      <c r="J2668">
        <v>238632</v>
      </c>
      <c r="K2668">
        <v>262868</v>
      </c>
    </row>
    <row r="2669" spans="1:11">
      <c r="A2669">
        <v>90</v>
      </c>
      <c r="B2669" t="b">
        <v>0</v>
      </c>
      <c r="C2669" t="s">
        <v>44537</v>
      </c>
      <c r="D2669">
        <v>1037022454355</v>
      </c>
      <c r="E2669">
        <v>1</v>
      </c>
      <c r="F2669">
        <v>6156090635</v>
      </c>
      <c r="G2669">
        <v>18.239999999999998</v>
      </c>
      <c r="H2669" t="s">
        <v>40293</v>
      </c>
      <c r="I2669">
        <v>16272</v>
      </c>
      <c r="J2669">
        <v>533290</v>
      </c>
      <c r="K2669">
        <v>550293</v>
      </c>
    </row>
    <row r="2670" spans="1:11">
      <c r="A2670">
        <v>90</v>
      </c>
      <c r="B2670" t="b">
        <v>0</v>
      </c>
      <c r="C2670" t="s">
        <v>45144</v>
      </c>
      <c r="D2670">
        <v>1037022454355</v>
      </c>
      <c r="E2670">
        <v>1</v>
      </c>
      <c r="F2670">
        <v>6155057485</v>
      </c>
      <c r="G2670">
        <v>120</v>
      </c>
      <c r="H2670" t="s">
        <v>40293</v>
      </c>
      <c r="I2670">
        <v>16273</v>
      </c>
      <c r="J2670">
        <v>27008</v>
      </c>
      <c r="K2670">
        <v>27008</v>
      </c>
    </row>
    <row r="2671" spans="1:11">
      <c r="A2671">
        <v>30</v>
      </c>
      <c r="B2671" t="b">
        <v>0</v>
      </c>
      <c r="C2671" t="s">
        <v>45925</v>
      </c>
      <c r="D2671">
        <v>1037022454355</v>
      </c>
      <c r="E2671">
        <v>1</v>
      </c>
      <c r="F2671">
        <v>6157000244</v>
      </c>
      <c r="G2671">
        <v>120</v>
      </c>
      <c r="H2671" t="s">
        <v>40293</v>
      </c>
      <c r="I2671">
        <v>16273</v>
      </c>
      <c r="J2671">
        <v>778995</v>
      </c>
      <c r="K2671">
        <v>778995</v>
      </c>
    </row>
    <row r="2672" spans="1:11">
      <c r="A2672">
        <v>90</v>
      </c>
      <c r="B2672" t="b">
        <v>0</v>
      </c>
      <c r="C2672" t="s">
        <v>46511</v>
      </c>
      <c r="D2672">
        <v>1037022454355</v>
      </c>
      <c r="E2672">
        <v>1</v>
      </c>
      <c r="F2672">
        <v>6154616201</v>
      </c>
      <c r="G2672">
        <v>120</v>
      </c>
      <c r="H2672" t="s">
        <v>40293</v>
      </c>
      <c r="I2672">
        <v>16273</v>
      </c>
      <c r="J2672">
        <v>3093631</v>
      </c>
      <c r="K2672">
        <v>4656543</v>
      </c>
    </row>
    <row r="2673" spans="1:11">
      <c r="A2673">
        <v>90</v>
      </c>
      <c r="B2673" t="b">
        <v>0</v>
      </c>
      <c r="C2673" t="s">
        <v>46370</v>
      </c>
      <c r="D2673">
        <v>1037022454355</v>
      </c>
      <c r="E2673">
        <v>1</v>
      </c>
      <c r="F2673">
        <v>6152058606</v>
      </c>
      <c r="G2673">
        <v>119.9</v>
      </c>
      <c r="H2673" t="s">
        <v>40293</v>
      </c>
      <c r="I2673">
        <v>16273</v>
      </c>
      <c r="J2673">
        <v>1884321</v>
      </c>
      <c r="K2673">
        <v>2692195</v>
      </c>
    </row>
    <row r="2674" spans="1:11">
      <c r="A2674">
        <v>90</v>
      </c>
      <c r="B2674" t="b">
        <v>0</v>
      </c>
      <c r="C2674" t="s">
        <v>41285</v>
      </c>
      <c r="D2674">
        <v>1037022454355</v>
      </c>
      <c r="E2674">
        <v>1</v>
      </c>
      <c r="F2674">
        <v>6124164168</v>
      </c>
      <c r="G2674">
        <v>1396</v>
      </c>
      <c r="H2674" t="s">
        <v>40293</v>
      </c>
      <c r="I2674">
        <v>16274</v>
      </c>
      <c r="J2674">
        <v>254556</v>
      </c>
      <c r="K2674">
        <v>274604</v>
      </c>
    </row>
    <row r="2675" spans="1:11">
      <c r="A2675">
        <v>90</v>
      </c>
      <c r="B2675" t="b">
        <v>0</v>
      </c>
      <c r="C2675" t="s">
        <v>41570</v>
      </c>
      <c r="D2675">
        <v>1037022454355</v>
      </c>
      <c r="E2675">
        <v>1</v>
      </c>
      <c r="F2675">
        <v>6122532542</v>
      </c>
      <c r="G2675">
        <v>1394</v>
      </c>
      <c r="H2675" t="s">
        <v>40293</v>
      </c>
      <c r="I2675">
        <v>16274</v>
      </c>
      <c r="J2675">
        <v>7123</v>
      </c>
      <c r="K2675">
        <v>601123</v>
      </c>
    </row>
    <row r="2676" spans="1:11">
      <c r="A2676">
        <v>90</v>
      </c>
      <c r="B2676" t="b">
        <v>0</v>
      </c>
      <c r="C2676" t="s">
        <v>43022</v>
      </c>
      <c r="D2676">
        <v>1037022454355</v>
      </c>
      <c r="E2676">
        <v>1</v>
      </c>
      <c r="F2676">
        <v>6120804801</v>
      </c>
      <c r="G2676">
        <v>1393</v>
      </c>
      <c r="H2676" t="s">
        <v>40293</v>
      </c>
      <c r="I2676">
        <v>16274</v>
      </c>
      <c r="J2676">
        <v>665000</v>
      </c>
      <c r="K2676">
        <v>900000</v>
      </c>
    </row>
    <row r="2677" spans="1:11">
      <c r="A2677">
        <v>90</v>
      </c>
      <c r="B2677" t="b">
        <v>0</v>
      </c>
      <c r="C2677" t="s">
        <v>43290</v>
      </c>
      <c r="D2677">
        <v>1037022454355</v>
      </c>
      <c r="E2677">
        <v>1</v>
      </c>
      <c r="F2677">
        <v>6145125726</v>
      </c>
      <c r="G2677">
        <v>1392</v>
      </c>
      <c r="H2677" t="s">
        <v>40293</v>
      </c>
      <c r="I2677">
        <v>16274</v>
      </c>
      <c r="J2677">
        <v>5000</v>
      </c>
      <c r="K2677">
        <v>5000</v>
      </c>
    </row>
    <row r="2678" spans="1:11">
      <c r="A2678">
        <v>90</v>
      </c>
      <c r="B2678" t="b">
        <v>0</v>
      </c>
      <c r="C2678" t="s">
        <v>43304</v>
      </c>
      <c r="D2678">
        <v>1037022454355</v>
      </c>
      <c r="E2678">
        <v>1</v>
      </c>
      <c r="F2678">
        <v>6083761246</v>
      </c>
      <c r="G2678">
        <v>1000</v>
      </c>
      <c r="H2678" t="s">
        <v>40293</v>
      </c>
      <c r="I2678">
        <v>16274</v>
      </c>
      <c r="J2678">
        <v>1656778</v>
      </c>
      <c r="K2678">
        <v>3000000</v>
      </c>
    </row>
    <row r="2679" spans="1:11">
      <c r="A2679">
        <v>90</v>
      </c>
      <c r="B2679" t="b">
        <v>0</v>
      </c>
      <c r="C2679" t="s">
        <v>44054</v>
      </c>
      <c r="D2679">
        <v>1037022454355</v>
      </c>
      <c r="E2679">
        <v>1</v>
      </c>
      <c r="F2679">
        <v>6152749359</v>
      </c>
      <c r="G2679">
        <v>990</v>
      </c>
      <c r="H2679" t="s">
        <v>40293</v>
      </c>
      <c r="I2679">
        <v>16274</v>
      </c>
      <c r="J2679">
        <v>137202</v>
      </c>
      <c r="K2679">
        <v>844267</v>
      </c>
    </row>
    <row r="2680" spans="1:11">
      <c r="A2680">
        <v>90</v>
      </c>
      <c r="B2680" t="b">
        <v>0</v>
      </c>
      <c r="C2680" t="s">
        <v>44194</v>
      </c>
      <c r="D2680">
        <v>1037022454355</v>
      </c>
      <c r="E2680">
        <v>1</v>
      </c>
      <c r="F2680">
        <v>6152947796</v>
      </c>
      <c r="G2680">
        <v>860</v>
      </c>
      <c r="H2680" t="s">
        <v>40293</v>
      </c>
      <c r="I2680">
        <v>16274</v>
      </c>
      <c r="J2680">
        <v>918521</v>
      </c>
      <c r="K2680">
        <v>3049076</v>
      </c>
    </row>
    <row r="2681" spans="1:11">
      <c r="A2681">
        <v>90</v>
      </c>
      <c r="B2681" t="b">
        <v>0</v>
      </c>
      <c r="C2681" t="s">
        <v>44604</v>
      </c>
      <c r="D2681">
        <v>1037022454355</v>
      </c>
      <c r="E2681">
        <v>1</v>
      </c>
      <c r="F2681">
        <v>6154526486</v>
      </c>
      <c r="G2681">
        <v>858</v>
      </c>
      <c r="H2681" t="s">
        <v>40293</v>
      </c>
      <c r="I2681">
        <v>16274</v>
      </c>
      <c r="J2681">
        <v>1932021</v>
      </c>
      <c r="K2681">
        <v>3908207</v>
      </c>
    </row>
    <row r="2682" spans="1:11">
      <c r="A2682">
        <v>90</v>
      </c>
      <c r="B2682" t="b">
        <v>0</v>
      </c>
      <c r="C2682" t="s">
        <v>41958</v>
      </c>
      <c r="D2682">
        <v>1037022454355</v>
      </c>
      <c r="E2682">
        <v>1</v>
      </c>
      <c r="F2682">
        <v>6127970530</v>
      </c>
      <c r="G2682">
        <v>2000</v>
      </c>
      <c r="H2682" t="s">
        <v>40293</v>
      </c>
      <c r="I2682">
        <v>16275</v>
      </c>
      <c r="J2682">
        <v>55013</v>
      </c>
      <c r="K2682">
        <v>55013</v>
      </c>
    </row>
    <row r="2683" spans="1:11">
      <c r="A2683">
        <v>90</v>
      </c>
      <c r="B2683" t="b">
        <v>0</v>
      </c>
      <c r="C2683" t="s">
        <v>40826</v>
      </c>
      <c r="D2683">
        <v>1037022454355</v>
      </c>
      <c r="E2683">
        <v>1</v>
      </c>
      <c r="F2683">
        <v>6091747039</v>
      </c>
      <c r="G2683">
        <v>1280</v>
      </c>
      <c r="H2683" t="s">
        <v>40293</v>
      </c>
      <c r="I2683">
        <v>16275</v>
      </c>
      <c r="J2683">
        <v>710</v>
      </c>
      <c r="K2683">
        <v>710</v>
      </c>
    </row>
    <row r="2684" spans="1:11">
      <c r="A2684">
        <v>90</v>
      </c>
      <c r="B2684" t="b">
        <v>0</v>
      </c>
      <c r="C2684" t="s">
        <v>41081</v>
      </c>
      <c r="D2684">
        <v>1037022454355</v>
      </c>
      <c r="E2684">
        <v>1</v>
      </c>
      <c r="F2684">
        <v>6124815800</v>
      </c>
      <c r="G2684">
        <v>850</v>
      </c>
      <c r="H2684" t="s">
        <v>40293</v>
      </c>
      <c r="I2684">
        <v>16275</v>
      </c>
      <c r="J2684">
        <v>17338</v>
      </c>
      <c r="K2684">
        <v>95000</v>
      </c>
    </row>
    <row r="2685" spans="1:11">
      <c r="A2685">
        <v>90</v>
      </c>
      <c r="B2685" t="b">
        <v>0</v>
      </c>
      <c r="C2685" t="s">
        <v>42330</v>
      </c>
      <c r="D2685">
        <v>1037022454355</v>
      </c>
      <c r="E2685">
        <v>1</v>
      </c>
      <c r="F2685">
        <v>6132668168</v>
      </c>
      <c r="G2685">
        <v>848</v>
      </c>
      <c r="H2685" t="s">
        <v>40293</v>
      </c>
      <c r="I2685">
        <v>16275</v>
      </c>
      <c r="J2685">
        <v>252325</v>
      </c>
      <c r="K2685">
        <v>271879</v>
      </c>
    </row>
    <row r="2686" spans="1:11">
      <c r="A2686">
        <v>90</v>
      </c>
      <c r="B2686" t="b">
        <v>0</v>
      </c>
      <c r="C2686" t="s">
        <v>43549</v>
      </c>
      <c r="D2686">
        <v>1037022454355</v>
      </c>
      <c r="E2686">
        <v>1</v>
      </c>
      <c r="F2686">
        <v>6143920830</v>
      </c>
      <c r="G2686">
        <v>800</v>
      </c>
      <c r="H2686" t="s">
        <v>40293</v>
      </c>
      <c r="I2686">
        <v>16275</v>
      </c>
      <c r="J2686">
        <v>27826</v>
      </c>
      <c r="K2686">
        <v>148608</v>
      </c>
    </row>
    <row r="2687" spans="1:11">
      <c r="A2687">
        <v>90</v>
      </c>
      <c r="B2687" t="b">
        <v>0</v>
      </c>
      <c r="C2687" t="s">
        <v>42898</v>
      </c>
      <c r="D2687">
        <v>1037022454355</v>
      </c>
      <c r="E2687">
        <v>1</v>
      </c>
      <c r="F2687">
        <v>6145146968</v>
      </c>
      <c r="G2687">
        <v>795</v>
      </c>
      <c r="H2687" t="s">
        <v>40293</v>
      </c>
      <c r="I2687">
        <v>16275</v>
      </c>
      <c r="J2687">
        <v>1323</v>
      </c>
      <c r="K2687">
        <v>1323</v>
      </c>
    </row>
    <row r="2688" spans="1:11">
      <c r="A2688">
        <v>90</v>
      </c>
      <c r="B2688" t="b">
        <v>0</v>
      </c>
      <c r="C2688" t="s">
        <v>45348</v>
      </c>
      <c r="D2688">
        <v>1037022454355</v>
      </c>
      <c r="E2688">
        <v>1</v>
      </c>
      <c r="F2688">
        <v>6095881270</v>
      </c>
      <c r="G2688">
        <v>699</v>
      </c>
      <c r="H2688" t="s">
        <v>40293</v>
      </c>
      <c r="I2688">
        <v>16275</v>
      </c>
      <c r="J2688">
        <v>17449</v>
      </c>
      <c r="K2688">
        <v>50657</v>
      </c>
    </row>
    <row r="2689" spans="1:11">
      <c r="A2689">
        <v>90</v>
      </c>
      <c r="B2689" t="b">
        <v>0</v>
      </c>
      <c r="C2689" t="s">
        <v>45153</v>
      </c>
      <c r="D2689">
        <v>1037022454355</v>
      </c>
      <c r="E2689">
        <v>1</v>
      </c>
      <c r="F2689">
        <v>6155057666</v>
      </c>
      <c r="G2689">
        <v>698</v>
      </c>
      <c r="H2689" t="s">
        <v>40293</v>
      </c>
      <c r="I2689">
        <v>16275</v>
      </c>
      <c r="J2689">
        <v>490</v>
      </c>
      <c r="K2689">
        <v>490</v>
      </c>
    </row>
    <row r="2690" spans="1:11">
      <c r="A2690">
        <v>90</v>
      </c>
      <c r="B2690" t="b">
        <v>0</v>
      </c>
      <c r="C2690" t="s">
        <v>46040</v>
      </c>
      <c r="D2690">
        <v>1037022454355</v>
      </c>
      <c r="E2690">
        <v>1</v>
      </c>
      <c r="F2690">
        <v>6138422373</v>
      </c>
      <c r="G2690">
        <v>600.1</v>
      </c>
      <c r="H2690" t="s">
        <v>40293</v>
      </c>
      <c r="I2690">
        <v>16275</v>
      </c>
      <c r="J2690">
        <v>99068</v>
      </c>
      <c r="K2690">
        <v>272112</v>
      </c>
    </row>
    <row r="2691" spans="1:11">
      <c r="A2691">
        <v>90</v>
      </c>
      <c r="B2691" t="b">
        <v>0</v>
      </c>
      <c r="C2691" t="s">
        <v>42798</v>
      </c>
      <c r="D2691">
        <v>1037022454355</v>
      </c>
      <c r="E2691">
        <v>1</v>
      </c>
      <c r="F2691">
        <v>6137409611</v>
      </c>
      <c r="G2691">
        <v>3113000</v>
      </c>
      <c r="H2691" t="s">
        <v>40293</v>
      </c>
      <c r="I2691">
        <v>16278</v>
      </c>
      <c r="J2691">
        <v>6</v>
      </c>
      <c r="K2691">
        <v>8</v>
      </c>
    </row>
    <row r="2692" spans="1:11">
      <c r="A2692">
        <v>90</v>
      </c>
      <c r="B2692" t="b">
        <v>0</v>
      </c>
      <c r="C2692" t="s">
        <v>43684</v>
      </c>
      <c r="D2692">
        <v>1037022454355</v>
      </c>
      <c r="E2692">
        <v>1</v>
      </c>
      <c r="F2692">
        <v>6094609842</v>
      </c>
      <c r="G2692">
        <v>3108000</v>
      </c>
      <c r="H2692" t="s">
        <v>40293</v>
      </c>
      <c r="I2692">
        <v>16278</v>
      </c>
      <c r="J2692">
        <v>7</v>
      </c>
      <c r="K2692">
        <v>12</v>
      </c>
    </row>
    <row r="2693" spans="1:11">
      <c r="A2693">
        <v>90</v>
      </c>
      <c r="B2693" t="b">
        <v>0</v>
      </c>
      <c r="C2693" t="s">
        <v>43714</v>
      </c>
      <c r="D2693">
        <v>1037022454355</v>
      </c>
      <c r="E2693">
        <v>1</v>
      </c>
      <c r="F2693">
        <v>6138519940</v>
      </c>
      <c r="G2693">
        <v>3105000</v>
      </c>
      <c r="H2693" t="s">
        <v>40293</v>
      </c>
      <c r="I2693">
        <v>16278</v>
      </c>
      <c r="J2693">
        <v>14</v>
      </c>
      <c r="K2693">
        <v>20</v>
      </c>
    </row>
    <row r="2694" spans="1:11">
      <c r="A2694">
        <v>90</v>
      </c>
      <c r="B2694" t="b">
        <v>0</v>
      </c>
      <c r="C2694" t="s">
        <v>46029</v>
      </c>
      <c r="D2694">
        <v>1037022454355</v>
      </c>
      <c r="E2694">
        <v>1</v>
      </c>
      <c r="F2694">
        <v>6151240521</v>
      </c>
      <c r="G2694">
        <v>3103000</v>
      </c>
      <c r="H2694" t="s">
        <v>40293</v>
      </c>
      <c r="I2694">
        <v>16278</v>
      </c>
      <c r="J2694">
        <v>64</v>
      </c>
      <c r="K2694">
        <v>80</v>
      </c>
    </row>
    <row r="2695" spans="1:11">
      <c r="A2695">
        <v>90</v>
      </c>
      <c r="B2695" t="b">
        <v>0</v>
      </c>
      <c r="C2695" t="s">
        <v>45844</v>
      </c>
      <c r="D2695">
        <v>1037022454355</v>
      </c>
      <c r="E2695">
        <v>1</v>
      </c>
      <c r="F2695">
        <v>6156278564</v>
      </c>
      <c r="G2695">
        <v>3102000</v>
      </c>
      <c r="H2695" t="s">
        <v>40293</v>
      </c>
      <c r="I2695">
        <v>16278</v>
      </c>
      <c r="J2695">
        <v>24</v>
      </c>
      <c r="K2695">
        <v>25</v>
      </c>
    </row>
    <row r="2696" spans="1:11">
      <c r="A2696">
        <v>90</v>
      </c>
      <c r="B2696" t="b">
        <v>0</v>
      </c>
      <c r="C2696" t="s">
        <v>41805</v>
      </c>
      <c r="D2696">
        <v>1037022454355</v>
      </c>
      <c r="E2696">
        <v>1</v>
      </c>
      <c r="F2696">
        <v>6128800099</v>
      </c>
      <c r="G2696">
        <v>55000</v>
      </c>
      <c r="H2696" t="s">
        <v>40293</v>
      </c>
      <c r="I2696">
        <v>16297</v>
      </c>
      <c r="J2696">
        <v>277</v>
      </c>
      <c r="K2696">
        <v>281</v>
      </c>
    </row>
    <row r="2697" spans="1:11">
      <c r="A2697">
        <v>90</v>
      </c>
      <c r="B2697" t="b">
        <v>0</v>
      </c>
      <c r="C2697" t="s">
        <v>42631</v>
      </c>
      <c r="D2697">
        <v>1037022454355</v>
      </c>
      <c r="E2697">
        <v>1</v>
      </c>
      <c r="F2697">
        <v>6069406933</v>
      </c>
      <c r="G2697">
        <v>499100</v>
      </c>
      <c r="H2697" t="s">
        <v>40293</v>
      </c>
      <c r="I2697">
        <v>16301</v>
      </c>
      <c r="J2697">
        <v>1</v>
      </c>
      <c r="K2697">
        <v>1</v>
      </c>
    </row>
    <row r="2698" spans="1:11">
      <c r="A2698">
        <v>90</v>
      </c>
      <c r="B2698" t="b">
        <v>0</v>
      </c>
      <c r="C2698" t="s">
        <v>42376</v>
      </c>
      <c r="D2698">
        <v>1037022454355</v>
      </c>
      <c r="E2698">
        <v>1</v>
      </c>
      <c r="F2698">
        <v>6081844984</v>
      </c>
      <c r="G2698">
        <v>449100</v>
      </c>
      <c r="H2698" t="s">
        <v>40293</v>
      </c>
      <c r="I2698">
        <v>16301</v>
      </c>
      <c r="J2698">
        <v>4</v>
      </c>
      <c r="K2698">
        <v>10</v>
      </c>
    </row>
    <row r="2699" spans="1:11">
      <c r="A2699">
        <v>90</v>
      </c>
      <c r="B2699" t="b">
        <v>0</v>
      </c>
      <c r="C2699" t="s">
        <v>43216</v>
      </c>
      <c r="D2699">
        <v>1037022454355</v>
      </c>
      <c r="E2699">
        <v>1</v>
      </c>
      <c r="F2699">
        <v>6109111987</v>
      </c>
      <c r="G2699">
        <v>449000</v>
      </c>
      <c r="H2699" t="s">
        <v>40293</v>
      </c>
      <c r="I2699">
        <v>16301</v>
      </c>
      <c r="J2699">
        <v>1</v>
      </c>
      <c r="K2699">
        <v>4</v>
      </c>
    </row>
    <row r="2700" spans="1:11">
      <c r="A2700">
        <v>90</v>
      </c>
      <c r="B2700" t="b">
        <v>0</v>
      </c>
      <c r="C2700" t="s">
        <v>43257</v>
      </c>
      <c r="D2700">
        <v>1037022454355</v>
      </c>
      <c r="E2700">
        <v>1</v>
      </c>
      <c r="F2700">
        <v>6140111381</v>
      </c>
      <c r="G2700">
        <v>150000</v>
      </c>
      <c r="H2700" t="s">
        <v>40293</v>
      </c>
      <c r="I2700">
        <v>16303</v>
      </c>
      <c r="J2700">
        <v>501</v>
      </c>
      <c r="K2700">
        <v>520</v>
      </c>
    </row>
    <row r="2701" spans="1:11">
      <c r="A2701">
        <v>90</v>
      </c>
      <c r="B2701" t="b">
        <v>0</v>
      </c>
      <c r="C2701" t="s">
        <v>43573</v>
      </c>
      <c r="D2701">
        <v>1037022454355</v>
      </c>
      <c r="E2701">
        <v>1</v>
      </c>
      <c r="F2701">
        <v>6140579299</v>
      </c>
      <c r="G2701">
        <v>150000</v>
      </c>
      <c r="H2701" t="s">
        <v>40293</v>
      </c>
      <c r="I2701">
        <v>16303</v>
      </c>
      <c r="J2701">
        <v>3</v>
      </c>
      <c r="K2701">
        <v>3</v>
      </c>
    </row>
    <row r="2702" spans="1:11">
      <c r="A2702">
        <v>90</v>
      </c>
      <c r="B2702" t="b">
        <v>0</v>
      </c>
      <c r="C2702" t="s">
        <v>40348</v>
      </c>
      <c r="D2702">
        <v>1037022454355</v>
      </c>
      <c r="E2702">
        <v>1</v>
      </c>
      <c r="F2702">
        <v>6070994308</v>
      </c>
      <c r="G2702">
        <v>940000</v>
      </c>
      <c r="H2702" t="s">
        <v>40293</v>
      </c>
      <c r="I2702">
        <v>16305</v>
      </c>
      <c r="J2702">
        <v>100</v>
      </c>
      <c r="K2702">
        <v>100</v>
      </c>
    </row>
    <row r="2703" spans="1:11">
      <c r="A2703">
        <v>90</v>
      </c>
      <c r="B2703" t="b">
        <v>0</v>
      </c>
      <c r="C2703" t="s">
        <v>43973</v>
      </c>
      <c r="D2703">
        <v>1037022454355</v>
      </c>
      <c r="E2703">
        <v>1</v>
      </c>
      <c r="F2703">
        <v>6141083407</v>
      </c>
      <c r="G2703">
        <v>95000</v>
      </c>
      <c r="H2703" t="s">
        <v>40293</v>
      </c>
      <c r="I2703">
        <v>16305</v>
      </c>
      <c r="J2703">
        <v>28</v>
      </c>
      <c r="K2703">
        <v>28</v>
      </c>
    </row>
    <row r="2704" spans="1:11">
      <c r="A2704">
        <v>90</v>
      </c>
      <c r="B2704" t="b">
        <v>0</v>
      </c>
      <c r="C2704" t="s">
        <v>40713</v>
      </c>
      <c r="D2704">
        <v>1037022454355</v>
      </c>
      <c r="E2704">
        <v>1</v>
      </c>
      <c r="F2704">
        <v>6070994445</v>
      </c>
      <c r="G2704">
        <v>100000</v>
      </c>
      <c r="H2704" t="s">
        <v>40293</v>
      </c>
      <c r="I2704">
        <v>16345</v>
      </c>
      <c r="J2704">
        <v>98</v>
      </c>
      <c r="K2704">
        <v>100</v>
      </c>
    </row>
    <row r="2705" spans="1:11">
      <c r="A2705">
        <v>90</v>
      </c>
      <c r="B2705" t="b">
        <v>0</v>
      </c>
      <c r="C2705" t="s">
        <v>42792</v>
      </c>
      <c r="D2705">
        <v>1037022454355</v>
      </c>
      <c r="E2705">
        <v>1</v>
      </c>
      <c r="F2705">
        <v>6070693733</v>
      </c>
      <c r="G2705">
        <v>394500</v>
      </c>
      <c r="H2705" t="s">
        <v>40293</v>
      </c>
      <c r="I2705">
        <v>16373</v>
      </c>
      <c r="J2705">
        <v>1</v>
      </c>
      <c r="K2705">
        <v>1</v>
      </c>
    </row>
    <row r="2706" spans="1:11">
      <c r="A2706">
        <v>90</v>
      </c>
      <c r="B2706" t="b">
        <v>0</v>
      </c>
      <c r="C2706" t="s">
        <v>43446</v>
      </c>
      <c r="D2706">
        <v>1037022454355</v>
      </c>
      <c r="E2706">
        <v>1</v>
      </c>
      <c r="F2706">
        <v>6143917332</v>
      </c>
      <c r="G2706">
        <v>333400</v>
      </c>
      <c r="H2706" t="s">
        <v>40293</v>
      </c>
      <c r="I2706">
        <v>16373</v>
      </c>
      <c r="J2706">
        <v>1</v>
      </c>
      <c r="K2706">
        <v>1</v>
      </c>
    </row>
    <row r="2707" spans="1:11">
      <c r="A2707">
        <v>90</v>
      </c>
      <c r="B2707" t="b">
        <v>0</v>
      </c>
      <c r="C2707" t="s">
        <v>43433</v>
      </c>
      <c r="D2707">
        <v>1037022454355</v>
      </c>
      <c r="E2707">
        <v>1</v>
      </c>
      <c r="F2707">
        <v>6143917046</v>
      </c>
      <c r="G2707">
        <v>444500</v>
      </c>
      <c r="H2707" t="s">
        <v>40293</v>
      </c>
      <c r="I2707">
        <v>16381</v>
      </c>
      <c r="J2707">
        <v>2</v>
      </c>
      <c r="K2707">
        <v>2</v>
      </c>
    </row>
    <row r="2708" spans="1:11">
      <c r="A2708">
        <v>90</v>
      </c>
      <c r="B2708" t="b">
        <v>0</v>
      </c>
      <c r="C2708" t="s">
        <v>42510</v>
      </c>
      <c r="D2708">
        <v>1037022454355</v>
      </c>
      <c r="E2708">
        <v>1</v>
      </c>
      <c r="F2708">
        <v>6134478426</v>
      </c>
      <c r="G2708">
        <v>340000</v>
      </c>
      <c r="H2708" t="s">
        <v>40293</v>
      </c>
      <c r="I2708">
        <v>16391</v>
      </c>
      <c r="J2708">
        <v>92</v>
      </c>
      <c r="K2708">
        <v>103</v>
      </c>
    </row>
    <row r="2709" spans="1:11">
      <c r="A2709">
        <v>90</v>
      </c>
      <c r="B2709" t="b">
        <v>0</v>
      </c>
      <c r="C2709" t="s">
        <v>41978</v>
      </c>
      <c r="D2709">
        <v>1037022454355</v>
      </c>
      <c r="E2709">
        <v>1</v>
      </c>
      <c r="F2709">
        <v>6127055795</v>
      </c>
      <c r="G2709">
        <v>75000</v>
      </c>
      <c r="H2709" t="s">
        <v>40293</v>
      </c>
      <c r="I2709">
        <v>16399</v>
      </c>
      <c r="J2709">
        <v>7</v>
      </c>
      <c r="K2709">
        <v>7</v>
      </c>
    </row>
    <row r="2710" spans="1:11">
      <c r="A2710">
        <v>90</v>
      </c>
      <c r="B2710" t="b">
        <v>0</v>
      </c>
      <c r="C2710" t="s">
        <v>41920</v>
      </c>
      <c r="D2710">
        <v>1037022454355</v>
      </c>
      <c r="E2710">
        <v>1</v>
      </c>
      <c r="F2710">
        <v>6127047380</v>
      </c>
      <c r="G2710">
        <v>125000</v>
      </c>
      <c r="H2710" t="s">
        <v>40293</v>
      </c>
      <c r="I2710">
        <v>16407</v>
      </c>
      <c r="J2710">
        <v>25</v>
      </c>
      <c r="K2710">
        <v>25</v>
      </c>
    </row>
    <row r="2711" spans="1:11">
      <c r="A2711">
        <v>90</v>
      </c>
      <c r="B2711" t="b">
        <v>0</v>
      </c>
      <c r="C2711" t="s">
        <v>46397</v>
      </c>
      <c r="D2711">
        <v>1037022454355</v>
      </c>
      <c r="E2711">
        <v>1</v>
      </c>
      <c r="F2711">
        <v>6149929087</v>
      </c>
      <c r="G2711">
        <v>4997</v>
      </c>
      <c r="H2711" t="s">
        <v>40293</v>
      </c>
      <c r="I2711">
        <v>16433</v>
      </c>
      <c r="J2711">
        <v>1</v>
      </c>
      <c r="K2711">
        <v>1</v>
      </c>
    </row>
    <row r="2712" spans="1:11">
      <c r="A2712">
        <v>90</v>
      </c>
      <c r="B2712" t="b">
        <v>0</v>
      </c>
      <c r="C2712" t="s">
        <v>43480</v>
      </c>
      <c r="D2712">
        <v>1037022454355</v>
      </c>
      <c r="E2712">
        <v>1</v>
      </c>
      <c r="F2712">
        <v>6140412445</v>
      </c>
      <c r="G2712">
        <v>400000</v>
      </c>
      <c r="H2712" t="s">
        <v>40293</v>
      </c>
      <c r="I2712">
        <v>16435</v>
      </c>
      <c r="J2712">
        <v>13</v>
      </c>
      <c r="K2712">
        <v>25</v>
      </c>
    </row>
    <row r="2713" spans="1:11">
      <c r="A2713">
        <v>90</v>
      </c>
      <c r="B2713" t="b">
        <v>0</v>
      </c>
      <c r="C2713" t="s">
        <v>42460</v>
      </c>
      <c r="D2713">
        <v>1037022454355</v>
      </c>
      <c r="E2713">
        <v>1</v>
      </c>
      <c r="F2713">
        <v>6134835814</v>
      </c>
      <c r="G2713">
        <v>350000</v>
      </c>
      <c r="H2713" t="s">
        <v>40293</v>
      </c>
      <c r="I2713">
        <v>16439</v>
      </c>
      <c r="J2713">
        <v>25</v>
      </c>
      <c r="K2713">
        <v>25</v>
      </c>
    </row>
    <row r="2714" spans="1:11">
      <c r="A2714">
        <v>90</v>
      </c>
      <c r="B2714" t="b">
        <v>0</v>
      </c>
      <c r="C2714" t="s">
        <v>42468</v>
      </c>
      <c r="D2714">
        <v>1037022454355</v>
      </c>
      <c r="E2714">
        <v>1</v>
      </c>
      <c r="F2714">
        <v>6130576411</v>
      </c>
      <c r="G2714">
        <v>599900</v>
      </c>
      <c r="H2714" t="s">
        <v>40293</v>
      </c>
      <c r="I2714">
        <v>16443</v>
      </c>
      <c r="J2714">
        <v>18</v>
      </c>
      <c r="K2714">
        <v>25</v>
      </c>
    </row>
    <row r="2715" spans="1:11">
      <c r="A2715">
        <v>30</v>
      </c>
      <c r="B2715" t="b">
        <v>0</v>
      </c>
      <c r="C2715" t="s">
        <v>43774</v>
      </c>
      <c r="D2715">
        <v>1037022454355</v>
      </c>
      <c r="E2715">
        <v>1</v>
      </c>
      <c r="F2715">
        <v>6144715019</v>
      </c>
      <c r="G2715">
        <v>599800</v>
      </c>
      <c r="H2715" t="s">
        <v>40293</v>
      </c>
      <c r="I2715">
        <v>16443</v>
      </c>
      <c r="J2715">
        <v>4</v>
      </c>
      <c r="K2715">
        <v>5</v>
      </c>
    </row>
    <row r="2716" spans="1:11">
      <c r="A2716">
        <v>90</v>
      </c>
      <c r="B2716" t="b">
        <v>0</v>
      </c>
      <c r="C2716" t="s">
        <v>41931</v>
      </c>
      <c r="D2716">
        <v>1037022454355</v>
      </c>
      <c r="E2716">
        <v>1</v>
      </c>
      <c r="F2716">
        <v>6126133091</v>
      </c>
      <c r="G2716">
        <v>450000</v>
      </c>
      <c r="H2716" t="s">
        <v>40293</v>
      </c>
      <c r="I2716">
        <v>16447</v>
      </c>
      <c r="J2716">
        <v>4</v>
      </c>
      <c r="K2716">
        <v>25</v>
      </c>
    </row>
    <row r="2717" spans="1:11">
      <c r="A2717">
        <v>90</v>
      </c>
      <c r="B2717" t="b">
        <v>0</v>
      </c>
      <c r="C2717" t="s">
        <v>45940</v>
      </c>
      <c r="D2717">
        <v>1037022454355</v>
      </c>
      <c r="E2717">
        <v>1</v>
      </c>
      <c r="F2717">
        <v>6155919198</v>
      </c>
      <c r="G2717">
        <v>449700</v>
      </c>
      <c r="H2717" t="s">
        <v>40293</v>
      </c>
      <c r="I2717">
        <v>16447</v>
      </c>
      <c r="J2717">
        <v>2</v>
      </c>
      <c r="K2717">
        <v>2</v>
      </c>
    </row>
    <row r="2718" spans="1:11">
      <c r="A2718">
        <v>90</v>
      </c>
      <c r="B2718" t="b">
        <v>0</v>
      </c>
      <c r="C2718" t="s">
        <v>40380</v>
      </c>
      <c r="D2718">
        <v>1037022454355</v>
      </c>
      <c r="E2718">
        <v>1</v>
      </c>
      <c r="F2718">
        <v>6073354340</v>
      </c>
      <c r="G2718">
        <v>439800</v>
      </c>
      <c r="H2718" t="s">
        <v>40293</v>
      </c>
      <c r="I2718">
        <v>16451</v>
      </c>
      <c r="J2718">
        <v>11</v>
      </c>
      <c r="K2718">
        <v>25</v>
      </c>
    </row>
    <row r="2719" spans="1:11">
      <c r="A2719">
        <v>90</v>
      </c>
      <c r="B2719" t="b">
        <v>0</v>
      </c>
      <c r="C2719" t="s">
        <v>40440</v>
      </c>
      <c r="D2719">
        <v>1037022454355</v>
      </c>
      <c r="E2719">
        <v>1</v>
      </c>
      <c r="F2719">
        <v>6109466194</v>
      </c>
      <c r="G2719">
        <v>650000</v>
      </c>
      <c r="H2719" t="s">
        <v>40293</v>
      </c>
      <c r="I2719">
        <v>16455</v>
      </c>
      <c r="J2719">
        <v>19</v>
      </c>
      <c r="K2719">
        <v>25</v>
      </c>
    </row>
    <row r="2720" spans="1:11">
      <c r="A2720">
        <v>90</v>
      </c>
      <c r="B2720" t="b">
        <v>0</v>
      </c>
      <c r="C2720" t="s">
        <v>42049</v>
      </c>
      <c r="D2720">
        <v>1037022454355</v>
      </c>
      <c r="E2720">
        <v>1</v>
      </c>
      <c r="F2720">
        <v>6130079108</v>
      </c>
      <c r="G2720">
        <v>6001000</v>
      </c>
      <c r="H2720" t="s">
        <v>40293</v>
      </c>
      <c r="I2720">
        <v>16457</v>
      </c>
      <c r="J2720">
        <v>3</v>
      </c>
      <c r="K2720">
        <v>3</v>
      </c>
    </row>
    <row r="2721" spans="1:11">
      <c r="A2721">
        <v>90</v>
      </c>
      <c r="B2721" t="b">
        <v>0</v>
      </c>
      <c r="C2721" t="s">
        <v>40756</v>
      </c>
      <c r="D2721">
        <v>1037022454355</v>
      </c>
      <c r="E2721">
        <v>1</v>
      </c>
      <c r="F2721">
        <v>6102427819</v>
      </c>
      <c r="G2721">
        <v>6000000</v>
      </c>
      <c r="H2721" t="s">
        <v>40293</v>
      </c>
      <c r="I2721">
        <v>16457</v>
      </c>
      <c r="J2721">
        <v>21</v>
      </c>
      <c r="K2721">
        <v>52</v>
      </c>
    </row>
    <row r="2722" spans="1:11">
      <c r="A2722">
        <v>90</v>
      </c>
      <c r="B2722" t="b">
        <v>0</v>
      </c>
      <c r="C2722" t="s">
        <v>40851</v>
      </c>
      <c r="D2722">
        <v>1037022454355</v>
      </c>
      <c r="E2722">
        <v>1</v>
      </c>
      <c r="F2722">
        <v>6089716303</v>
      </c>
      <c r="G2722">
        <v>733800</v>
      </c>
      <c r="H2722" t="s">
        <v>40293</v>
      </c>
      <c r="I2722">
        <v>16467</v>
      </c>
      <c r="J2722">
        <v>24</v>
      </c>
      <c r="K2722">
        <v>49</v>
      </c>
    </row>
    <row r="2723" spans="1:11">
      <c r="A2723">
        <v>90</v>
      </c>
      <c r="B2723" t="b">
        <v>0</v>
      </c>
      <c r="C2723" t="s">
        <v>42820</v>
      </c>
      <c r="D2723">
        <v>1037022454355</v>
      </c>
      <c r="E2723">
        <v>1</v>
      </c>
      <c r="F2723">
        <v>6126138890</v>
      </c>
      <c r="G2723">
        <v>499300</v>
      </c>
      <c r="H2723" t="s">
        <v>40293</v>
      </c>
      <c r="I2723">
        <v>16467</v>
      </c>
      <c r="J2723">
        <v>23</v>
      </c>
      <c r="K2723">
        <v>25</v>
      </c>
    </row>
    <row r="2724" spans="1:11">
      <c r="A2724">
        <v>90</v>
      </c>
      <c r="B2724" t="b">
        <v>0</v>
      </c>
      <c r="C2724" t="s">
        <v>42747</v>
      </c>
      <c r="D2724">
        <v>1037022454355</v>
      </c>
      <c r="E2724">
        <v>1</v>
      </c>
      <c r="F2724">
        <v>6135768546</v>
      </c>
      <c r="G2724">
        <v>190000</v>
      </c>
      <c r="H2724" t="s">
        <v>40293</v>
      </c>
      <c r="I2724">
        <v>16467</v>
      </c>
      <c r="J2724">
        <v>112</v>
      </c>
      <c r="K2724">
        <v>112</v>
      </c>
    </row>
    <row r="2725" spans="1:11">
      <c r="A2725">
        <v>90</v>
      </c>
      <c r="B2725" t="b">
        <v>0</v>
      </c>
      <c r="C2725" t="s">
        <v>43543</v>
      </c>
      <c r="D2725">
        <v>1037022454355</v>
      </c>
      <c r="E2725">
        <v>1</v>
      </c>
      <c r="F2725">
        <v>6137465415</v>
      </c>
      <c r="G2725">
        <v>179800</v>
      </c>
      <c r="H2725" t="s">
        <v>40293</v>
      </c>
      <c r="I2725">
        <v>16467</v>
      </c>
      <c r="J2725">
        <v>3</v>
      </c>
      <c r="K2725">
        <v>4</v>
      </c>
    </row>
    <row r="2726" spans="1:11">
      <c r="A2726">
        <v>90</v>
      </c>
      <c r="B2726" t="b">
        <v>0</v>
      </c>
      <c r="C2726" t="s">
        <v>45718</v>
      </c>
      <c r="D2726">
        <v>1037022454355</v>
      </c>
      <c r="E2726">
        <v>1</v>
      </c>
      <c r="F2726">
        <v>6153426404</v>
      </c>
      <c r="G2726">
        <v>179400</v>
      </c>
      <c r="H2726" t="s">
        <v>40293</v>
      </c>
      <c r="I2726">
        <v>16467</v>
      </c>
      <c r="J2726">
        <v>3</v>
      </c>
      <c r="K2726">
        <v>3</v>
      </c>
    </row>
    <row r="2727" spans="1:11">
      <c r="A2727">
        <v>90</v>
      </c>
      <c r="B2727" t="b">
        <v>0</v>
      </c>
      <c r="C2727" t="s">
        <v>44681</v>
      </c>
      <c r="D2727">
        <v>1037022454355</v>
      </c>
      <c r="E2727">
        <v>1</v>
      </c>
      <c r="F2727">
        <v>6155608739</v>
      </c>
      <c r="G2727">
        <v>179200</v>
      </c>
      <c r="H2727" t="s">
        <v>40293</v>
      </c>
      <c r="I2727">
        <v>16467</v>
      </c>
      <c r="J2727">
        <v>20</v>
      </c>
      <c r="K2727">
        <v>22</v>
      </c>
    </row>
    <row r="2728" spans="1:11">
      <c r="A2728">
        <v>90</v>
      </c>
      <c r="B2728" t="b">
        <v>0</v>
      </c>
      <c r="C2728" t="s">
        <v>40861</v>
      </c>
      <c r="D2728">
        <v>1037022454355</v>
      </c>
      <c r="E2728">
        <v>1</v>
      </c>
      <c r="F2728">
        <v>6089716524</v>
      </c>
      <c r="G2728">
        <v>436900</v>
      </c>
      <c r="H2728" t="s">
        <v>40293</v>
      </c>
      <c r="I2728">
        <v>16469</v>
      </c>
      <c r="J2728">
        <v>36</v>
      </c>
      <c r="K2728">
        <v>36</v>
      </c>
    </row>
    <row r="2729" spans="1:11">
      <c r="A2729">
        <v>90</v>
      </c>
      <c r="B2729" t="b">
        <v>0</v>
      </c>
      <c r="C2729" t="s">
        <v>41249</v>
      </c>
      <c r="D2729">
        <v>1037022454355</v>
      </c>
      <c r="E2729">
        <v>1</v>
      </c>
      <c r="F2729">
        <v>6087135722</v>
      </c>
      <c r="G2729">
        <v>428800</v>
      </c>
      <c r="H2729" t="s">
        <v>40293</v>
      </c>
      <c r="I2729">
        <v>16469</v>
      </c>
      <c r="J2729">
        <v>23</v>
      </c>
      <c r="K2729">
        <v>26</v>
      </c>
    </row>
    <row r="2730" spans="1:11">
      <c r="A2730">
        <v>90</v>
      </c>
      <c r="B2730" t="b">
        <v>0</v>
      </c>
      <c r="C2730" t="s">
        <v>42329</v>
      </c>
      <c r="D2730">
        <v>1037022454355</v>
      </c>
      <c r="E2730">
        <v>1</v>
      </c>
      <c r="F2730">
        <v>6109465139</v>
      </c>
      <c r="G2730">
        <v>419900</v>
      </c>
      <c r="H2730" t="s">
        <v>40293</v>
      </c>
      <c r="I2730">
        <v>16469</v>
      </c>
      <c r="J2730">
        <v>14</v>
      </c>
      <c r="K2730">
        <v>25</v>
      </c>
    </row>
    <row r="2731" spans="1:11">
      <c r="A2731">
        <v>30</v>
      </c>
      <c r="B2731" t="b">
        <v>0</v>
      </c>
      <c r="C2731" t="s">
        <v>43552</v>
      </c>
      <c r="D2731">
        <v>1037022454355</v>
      </c>
      <c r="E2731">
        <v>1</v>
      </c>
      <c r="F2731">
        <v>6138481500</v>
      </c>
      <c r="G2731">
        <v>300100</v>
      </c>
      <c r="H2731" t="s">
        <v>40293</v>
      </c>
      <c r="I2731">
        <v>16469</v>
      </c>
      <c r="J2731">
        <v>1</v>
      </c>
      <c r="K2731">
        <v>1</v>
      </c>
    </row>
    <row r="2732" spans="1:11">
      <c r="A2732">
        <v>90</v>
      </c>
      <c r="B2732" t="b">
        <v>0</v>
      </c>
      <c r="C2732" t="s">
        <v>42768</v>
      </c>
      <c r="D2732">
        <v>1037022454355</v>
      </c>
      <c r="E2732">
        <v>1</v>
      </c>
      <c r="F2732">
        <v>6135769651</v>
      </c>
      <c r="G2732">
        <v>190000</v>
      </c>
      <c r="H2732" t="s">
        <v>40293</v>
      </c>
      <c r="I2732">
        <v>16469</v>
      </c>
      <c r="J2732">
        <v>112</v>
      </c>
      <c r="K2732">
        <v>112</v>
      </c>
    </row>
    <row r="2733" spans="1:11">
      <c r="A2733">
        <v>90</v>
      </c>
      <c r="B2733" t="b">
        <v>0</v>
      </c>
      <c r="C2733" t="s">
        <v>43561</v>
      </c>
      <c r="D2733">
        <v>1037022454355</v>
      </c>
      <c r="E2733">
        <v>1</v>
      </c>
      <c r="F2733">
        <v>6104370344</v>
      </c>
      <c r="G2733">
        <v>179300</v>
      </c>
      <c r="H2733" t="s">
        <v>40293</v>
      </c>
      <c r="I2733">
        <v>16469</v>
      </c>
      <c r="J2733">
        <v>1</v>
      </c>
      <c r="K2733">
        <v>10</v>
      </c>
    </row>
    <row r="2734" spans="1:11">
      <c r="A2734">
        <v>90</v>
      </c>
      <c r="B2734" t="b">
        <v>0</v>
      </c>
      <c r="C2734" t="s">
        <v>43678</v>
      </c>
      <c r="D2734">
        <v>1037022454355</v>
      </c>
      <c r="E2734">
        <v>1</v>
      </c>
      <c r="F2734">
        <v>6128295145</v>
      </c>
      <c r="G2734">
        <v>179300</v>
      </c>
      <c r="H2734" t="s">
        <v>40293</v>
      </c>
      <c r="I2734">
        <v>16469</v>
      </c>
      <c r="J2734">
        <v>10</v>
      </c>
      <c r="K2734">
        <v>10</v>
      </c>
    </row>
    <row r="2735" spans="1:11">
      <c r="A2735">
        <v>90</v>
      </c>
      <c r="B2735" t="b">
        <v>0</v>
      </c>
      <c r="C2735" t="s">
        <v>43047</v>
      </c>
      <c r="D2735">
        <v>1037022454355</v>
      </c>
      <c r="E2735">
        <v>1</v>
      </c>
      <c r="F2735">
        <v>6132405397</v>
      </c>
      <c r="G2735">
        <v>179200</v>
      </c>
      <c r="H2735" t="s">
        <v>40293</v>
      </c>
      <c r="I2735">
        <v>16469</v>
      </c>
      <c r="J2735">
        <v>19</v>
      </c>
      <c r="K2735">
        <v>41</v>
      </c>
    </row>
    <row r="2736" spans="1:11">
      <c r="A2736">
        <v>90</v>
      </c>
      <c r="B2736" t="b">
        <v>0</v>
      </c>
      <c r="C2736" t="s">
        <v>41598</v>
      </c>
      <c r="D2736">
        <v>1037022454355</v>
      </c>
      <c r="E2736">
        <v>1</v>
      </c>
      <c r="F2736">
        <v>6095270161</v>
      </c>
      <c r="G2736">
        <v>749000</v>
      </c>
      <c r="H2736" t="s">
        <v>40293</v>
      </c>
      <c r="I2736">
        <v>16475</v>
      </c>
      <c r="J2736">
        <v>24</v>
      </c>
      <c r="K2736">
        <v>50</v>
      </c>
    </row>
    <row r="2737" spans="1:11">
      <c r="A2737">
        <v>90</v>
      </c>
      <c r="B2737" t="b">
        <v>0</v>
      </c>
      <c r="C2737" t="s">
        <v>40565</v>
      </c>
      <c r="D2737">
        <v>1037022454355</v>
      </c>
      <c r="E2737">
        <v>1</v>
      </c>
      <c r="F2737">
        <v>6113532023</v>
      </c>
      <c r="G2737">
        <v>748900</v>
      </c>
      <c r="H2737" t="s">
        <v>40293</v>
      </c>
      <c r="I2737">
        <v>16475</v>
      </c>
      <c r="J2737">
        <v>8</v>
      </c>
      <c r="K2737">
        <v>25</v>
      </c>
    </row>
    <row r="2738" spans="1:11">
      <c r="A2738">
        <v>90</v>
      </c>
      <c r="B2738" t="b">
        <v>0</v>
      </c>
      <c r="C2738" t="s">
        <v>41979</v>
      </c>
      <c r="D2738">
        <v>1037022454355</v>
      </c>
      <c r="E2738">
        <v>1</v>
      </c>
      <c r="F2738">
        <v>6127055882</v>
      </c>
      <c r="G2738">
        <v>650000</v>
      </c>
      <c r="H2738" t="s">
        <v>40293</v>
      </c>
      <c r="I2738">
        <v>16475</v>
      </c>
      <c r="J2738">
        <v>3</v>
      </c>
      <c r="K2738">
        <v>3</v>
      </c>
    </row>
    <row r="2739" spans="1:11">
      <c r="A2739">
        <v>90</v>
      </c>
      <c r="B2739" t="b">
        <v>0</v>
      </c>
      <c r="C2739" t="s">
        <v>41844</v>
      </c>
      <c r="D2739">
        <v>1037022454355</v>
      </c>
      <c r="E2739">
        <v>1</v>
      </c>
      <c r="F2739">
        <v>6127462425</v>
      </c>
      <c r="G2739">
        <v>649400</v>
      </c>
      <c r="H2739" t="s">
        <v>40293</v>
      </c>
      <c r="I2739">
        <v>16475</v>
      </c>
      <c r="J2739">
        <v>6</v>
      </c>
      <c r="K2739">
        <v>6</v>
      </c>
    </row>
    <row r="2740" spans="1:11">
      <c r="A2740">
        <v>90</v>
      </c>
      <c r="B2740" t="b">
        <v>0</v>
      </c>
      <c r="C2740" t="s">
        <v>42600</v>
      </c>
      <c r="D2740">
        <v>1037022454355</v>
      </c>
      <c r="E2740">
        <v>1</v>
      </c>
      <c r="F2740">
        <v>6134482955</v>
      </c>
      <c r="G2740">
        <v>310000</v>
      </c>
      <c r="H2740" t="s">
        <v>40293</v>
      </c>
      <c r="I2740">
        <v>16475</v>
      </c>
      <c r="J2740">
        <v>19</v>
      </c>
      <c r="K2740">
        <v>19</v>
      </c>
    </row>
    <row r="2741" spans="1:11">
      <c r="A2741">
        <v>90</v>
      </c>
      <c r="B2741" t="b">
        <v>0</v>
      </c>
      <c r="C2741" t="s">
        <v>42603</v>
      </c>
      <c r="D2741">
        <v>1037022454355</v>
      </c>
      <c r="E2741">
        <v>1</v>
      </c>
      <c r="F2741">
        <v>6137464984</v>
      </c>
      <c r="G2741">
        <v>299000</v>
      </c>
      <c r="H2741" t="s">
        <v>40293</v>
      </c>
      <c r="I2741">
        <v>16475</v>
      </c>
      <c r="J2741">
        <v>18</v>
      </c>
      <c r="K2741">
        <v>45</v>
      </c>
    </row>
    <row r="2742" spans="1:11">
      <c r="A2742">
        <v>90</v>
      </c>
      <c r="B2742" t="b">
        <v>0</v>
      </c>
      <c r="C2742" t="s">
        <v>42607</v>
      </c>
      <c r="D2742">
        <v>1037022454355</v>
      </c>
      <c r="E2742">
        <v>1</v>
      </c>
      <c r="F2742">
        <v>6134483237</v>
      </c>
      <c r="G2742">
        <v>290000</v>
      </c>
      <c r="H2742" t="s">
        <v>40293</v>
      </c>
      <c r="I2742">
        <v>16477</v>
      </c>
      <c r="J2742">
        <v>7</v>
      </c>
      <c r="K2742">
        <v>9</v>
      </c>
    </row>
    <row r="2743" spans="1:11">
      <c r="A2743">
        <v>90</v>
      </c>
      <c r="B2743" t="b">
        <v>0</v>
      </c>
      <c r="C2743" t="s">
        <v>42610</v>
      </c>
      <c r="D2743">
        <v>1037022454355</v>
      </c>
      <c r="E2743">
        <v>1</v>
      </c>
      <c r="F2743">
        <v>6137465211</v>
      </c>
      <c r="G2743">
        <v>280000</v>
      </c>
      <c r="H2743" t="s">
        <v>40293</v>
      </c>
      <c r="I2743">
        <v>16477</v>
      </c>
      <c r="J2743">
        <v>42</v>
      </c>
      <c r="K2743">
        <v>42</v>
      </c>
    </row>
    <row r="2744" spans="1:11">
      <c r="A2744">
        <v>90</v>
      </c>
      <c r="B2744" t="b">
        <v>0</v>
      </c>
      <c r="C2744" t="s">
        <v>43653</v>
      </c>
      <c r="D2744">
        <v>1037022454355</v>
      </c>
      <c r="E2744">
        <v>1</v>
      </c>
      <c r="F2744">
        <v>6145101521</v>
      </c>
      <c r="G2744">
        <v>279500</v>
      </c>
      <c r="H2744" t="s">
        <v>40293</v>
      </c>
      <c r="I2744">
        <v>16477</v>
      </c>
      <c r="J2744">
        <v>4</v>
      </c>
      <c r="K2744">
        <v>4</v>
      </c>
    </row>
    <row r="2745" spans="1:11">
      <c r="A2745">
        <v>90</v>
      </c>
      <c r="B2745" t="b">
        <v>0</v>
      </c>
      <c r="C2745" t="s">
        <v>43960</v>
      </c>
      <c r="D2745">
        <v>1037022454355</v>
      </c>
      <c r="E2745">
        <v>1</v>
      </c>
      <c r="F2745">
        <v>6131651249</v>
      </c>
      <c r="G2745">
        <v>279400</v>
      </c>
      <c r="H2745" t="s">
        <v>40293</v>
      </c>
      <c r="I2745">
        <v>16477</v>
      </c>
      <c r="J2745">
        <v>18</v>
      </c>
      <c r="K2745">
        <v>27</v>
      </c>
    </row>
    <row r="2746" spans="1:11">
      <c r="A2746">
        <v>90</v>
      </c>
      <c r="B2746" t="b">
        <v>0</v>
      </c>
      <c r="C2746" t="s">
        <v>42685</v>
      </c>
      <c r="D2746">
        <v>1037022454355</v>
      </c>
      <c r="E2746">
        <v>1</v>
      </c>
      <c r="F2746">
        <v>6135765384</v>
      </c>
      <c r="G2746">
        <v>210000</v>
      </c>
      <c r="H2746" t="s">
        <v>40293</v>
      </c>
      <c r="I2746">
        <v>16481</v>
      </c>
      <c r="J2746">
        <v>157</v>
      </c>
      <c r="K2746">
        <v>157</v>
      </c>
    </row>
    <row r="2747" spans="1:11">
      <c r="A2747">
        <v>90</v>
      </c>
      <c r="B2747" t="b">
        <v>0</v>
      </c>
      <c r="C2747" t="s">
        <v>43109</v>
      </c>
      <c r="D2747">
        <v>1037022454355</v>
      </c>
      <c r="E2747">
        <v>1</v>
      </c>
      <c r="F2747">
        <v>6147054153</v>
      </c>
      <c r="G2747">
        <v>205000</v>
      </c>
      <c r="H2747" t="s">
        <v>40293</v>
      </c>
      <c r="I2747">
        <v>16481</v>
      </c>
      <c r="J2747">
        <v>30</v>
      </c>
      <c r="K2747">
        <v>30</v>
      </c>
    </row>
    <row r="2748" spans="1:11">
      <c r="A2748">
        <v>90</v>
      </c>
      <c r="B2748" t="b">
        <v>0</v>
      </c>
      <c r="C2748" t="s">
        <v>42618</v>
      </c>
      <c r="D2748">
        <v>1037022454355</v>
      </c>
      <c r="E2748">
        <v>1</v>
      </c>
      <c r="F2748">
        <v>6134844008</v>
      </c>
      <c r="G2748">
        <v>499700</v>
      </c>
      <c r="H2748" t="s">
        <v>40293</v>
      </c>
      <c r="I2748">
        <v>16487</v>
      </c>
      <c r="J2748">
        <v>25</v>
      </c>
      <c r="K2748">
        <v>25</v>
      </c>
    </row>
    <row r="2749" spans="1:11">
      <c r="A2749">
        <v>90</v>
      </c>
      <c r="B2749" t="b">
        <v>0</v>
      </c>
      <c r="C2749" t="s">
        <v>42681</v>
      </c>
      <c r="D2749">
        <v>1037022454355</v>
      </c>
      <c r="E2749">
        <v>1</v>
      </c>
      <c r="F2749">
        <v>6135765180</v>
      </c>
      <c r="G2749">
        <v>210000</v>
      </c>
      <c r="H2749" t="s">
        <v>40293</v>
      </c>
      <c r="I2749">
        <v>16487</v>
      </c>
      <c r="J2749">
        <v>106</v>
      </c>
      <c r="K2749">
        <v>106</v>
      </c>
    </row>
    <row r="2750" spans="1:11">
      <c r="A2750">
        <v>90</v>
      </c>
      <c r="B2750" t="b">
        <v>0</v>
      </c>
      <c r="C2750" t="s">
        <v>46220</v>
      </c>
      <c r="D2750">
        <v>1037022454355</v>
      </c>
      <c r="E2750">
        <v>1</v>
      </c>
      <c r="F2750">
        <v>6147272367</v>
      </c>
      <c r="G2750">
        <v>208800</v>
      </c>
      <c r="H2750" t="s">
        <v>40293</v>
      </c>
      <c r="I2750">
        <v>16487</v>
      </c>
      <c r="J2750">
        <v>2</v>
      </c>
      <c r="K2750">
        <v>2</v>
      </c>
    </row>
    <row r="2751" spans="1:11">
      <c r="A2751">
        <v>90</v>
      </c>
      <c r="B2751" t="b">
        <v>0</v>
      </c>
      <c r="C2751" t="s">
        <v>45377</v>
      </c>
      <c r="D2751">
        <v>1037022454355</v>
      </c>
      <c r="E2751">
        <v>1</v>
      </c>
      <c r="F2751">
        <v>6134187394</v>
      </c>
      <c r="G2751">
        <v>208200</v>
      </c>
      <c r="H2751" t="s">
        <v>40293</v>
      </c>
      <c r="I2751">
        <v>16487</v>
      </c>
      <c r="J2751">
        <v>36</v>
      </c>
      <c r="K2751">
        <v>64</v>
      </c>
    </row>
    <row r="2752" spans="1:11">
      <c r="A2752">
        <v>90</v>
      </c>
      <c r="B2752" t="b">
        <v>0</v>
      </c>
      <c r="C2752" t="s">
        <v>46496</v>
      </c>
      <c r="D2752">
        <v>1037022454355</v>
      </c>
      <c r="E2752">
        <v>1</v>
      </c>
      <c r="F2752">
        <v>6139477300</v>
      </c>
      <c r="G2752">
        <v>208100</v>
      </c>
      <c r="H2752" t="s">
        <v>40293</v>
      </c>
      <c r="I2752">
        <v>16487</v>
      </c>
      <c r="J2752">
        <v>9</v>
      </c>
      <c r="K2752">
        <v>10</v>
      </c>
    </row>
    <row r="2753" spans="1:11">
      <c r="A2753">
        <v>90</v>
      </c>
      <c r="B2753" t="b">
        <v>0</v>
      </c>
      <c r="C2753" t="s">
        <v>42782</v>
      </c>
      <c r="D2753">
        <v>1037022454355</v>
      </c>
      <c r="E2753">
        <v>1</v>
      </c>
      <c r="F2753">
        <v>6135770349</v>
      </c>
      <c r="G2753">
        <v>150000</v>
      </c>
      <c r="H2753" t="s">
        <v>40293</v>
      </c>
      <c r="I2753">
        <v>16489</v>
      </c>
      <c r="J2753">
        <v>124</v>
      </c>
      <c r="K2753">
        <v>124</v>
      </c>
    </row>
    <row r="2754" spans="1:11">
      <c r="A2754">
        <v>90</v>
      </c>
      <c r="B2754" t="b">
        <v>0</v>
      </c>
      <c r="C2754" t="s">
        <v>42323</v>
      </c>
      <c r="D2754">
        <v>1037022454355</v>
      </c>
      <c r="E2754">
        <v>1</v>
      </c>
      <c r="F2754">
        <v>6136807790</v>
      </c>
      <c r="G2754">
        <v>149900</v>
      </c>
      <c r="H2754" t="s">
        <v>40293</v>
      </c>
      <c r="I2754">
        <v>16489</v>
      </c>
      <c r="J2754">
        <v>18</v>
      </c>
      <c r="K2754">
        <v>18</v>
      </c>
    </row>
    <row r="2755" spans="1:11">
      <c r="A2755">
        <v>90</v>
      </c>
      <c r="B2755" t="b">
        <v>0</v>
      </c>
      <c r="C2755" t="s">
        <v>41486</v>
      </c>
      <c r="D2755">
        <v>1037022454355</v>
      </c>
      <c r="E2755">
        <v>1</v>
      </c>
      <c r="F2755">
        <v>6122464912</v>
      </c>
      <c r="G2755">
        <v>250000</v>
      </c>
      <c r="H2755" t="s">
        <v>40293</v>
      </c>
      <c r="I2755">
        <v>16495</v>
      </c>
      <c r="J2755">
        <v>66</v>
      </c>
      <c r="K2755">
        <v>97</v>
      </c>
    </row>
    <row r="2756" spans="1:11">
      <c r="A2756">
        <v>90</v>
      </c>
      <c r="B2756" t="b">
        <v>0</v>
      </c>
      <c r="C2756" t="s">
        <v>42561</v>
      </c>
      <c r="D2756">
        <v>1037022454355</v>
      </c>
      <c r="E2756">
        <v>1</v>
      </c>
      <c r="F2756">
        <v>6136807485</v>
      </c>
      <c r="G2756">
        <v>249800</v>
      </c>
      <c r="H2756" t="s">
        <v>40293</v>
      </c>
      <c r="I2756">
        <v>16495</v>
      </c>
      <c r="J2756">
        <v>16</v>
      </c>
      <c r="K2756">
        <v>16</v>
      </c>
    </row>
    <row r="2757" spans="1:11">
      <c r="A2757">
        <v>90</v>
      </c>
      <c r="B2757" t="b">
        <v>0</v>
      </c>
      <c r="C2757" t="s">
        <v>42762</v>
      </c>
      <c r="D2757">
        <v>1037022454355</v>
      </c>
      <c r="E2757">
        <v>1</v>
      </c>
      <c r="F2757">
        <v>6135769246</v>
      </c>
      <c r="G2757">
        <v>90000</v>
      </c>
      <c r="H2757" t="s">
        <v>40293</v>
      </c>
      <c r="I2757">
        <v>16495</v>
      </c>
      <c r="J2757">
        <v>16</v>
      </c>
      <c r="K2757">
        <v>87</v>
      </c>
    </row>
    <row r="2758" spans="1:11">
      <c r="A2758">
        <v>90</v>
      </c>
      <c r="B2758" t="b">
        <v>0</v>
      </c>
      <c r="C2758" t="s">
        <v>42591</v>
      </c>
      <c r="D2758">
        <v>1037022454355</v>
      </c>
      <c r="E2758">
        <v>1</v>
      </c>
      <c r="F2758">
        <v>6134482350</v>
      </c>
      <c r="G2758">
        <v>390000</v>
      </c>
      <c r="H2758" t="s">
        <v>40293</v>
      </c>
      <c r="I2758">
        <v>16497</v>
      </c>
      <c r="J2758">
        <v>9</v>
      </c>
      <c r="K2758">
        <v>9</v>
      </c>
    </row>
    <row r="2759" spans="1:11">
      <c r="A2759">
        <v>90</v>
      </c>
      <c r="B2759" t="b">
        <v>0</v>
      </c>
      <c r="C2759" t="s">
        <v>40821</v>
      </c>
      <c r="D2759">
        <v>1037022454355</v>
      </c>
      <c r="E2759">
        <v>1</v>
      </c>
      <c r="F2759">
        <v>6089715328</v>
      </c>
      <c r="G2759">
        <v>270000</v>
      </c>
      <c r="H2759" t="s">
        <v>40293</v>
      </c>
      <c r="I2759">
        <v>16497</v>
      </c>
      <c r="J2759">
        <v>37</v>
      </c>
      <c r="K2759">
        <v>50</v>
      </c>
    </row>
    <row r="2760" spans="1:11">
      <c r="A2760">
        <v>90</v>
      </c>
      <c r="B2760" t="b">
        <v>0</v>
      </c>
      <c r="C2760" t="s">
        <v>42639</v>
      </c>
      <c r="D2760">
        <v>1037022454355</v>
      </c>
      <c r="E2760">
        <v>1</v>
      </c>
      <c r="F2760">
        <v>6137466406</v>
      </c>
      <c r="G2760">
        <v>269000</v>
      </c>
      <c r="H2760" t="s">
        <v>40293</v>
      </c>
      <c r="I2760">
        <v>16497</v>
      </c>
      <c r="J2760">
        <v>60</v>
      </c>
      <c r="K2760">
        <v>63</v>
      </c>
    </row>
    <row r="2761" spans="1:11">
      <c r="A2761">
        <v>90</v>
      </c>
      <c r="B2761" t="b">
        <v>0</v>
      </c>
      <c r="C2761" t="s">
        <v>40829</v>
      </c>
      <c r="D2761">
        <v>1037022454355</v>
      </c>
      <c r="E2761">
        <v>1</v>
      </c>
      <c r="F2761">
        <v>6089715614</v>
      </c>
      <c r="G2761">
        <v>480000</v>
      </c>
      <c r="H2761" t="s">
        <v>40293</v>
      </c>
      <c r="I2761">
        <v>16499</v>
      </c>
      <c r="J2761">
        <v>50</v>
      </c>
      <c r="K2761">
        <v>50</v>
      </c>
    </row>
    <row r="2762" spans="1:11">
      <c r="A2762">
        <v>90</v>
      </c>
      <c r="B2762" t="b">
        <v>0</v>
      </c>
      <c r="C2762" t="s">
        <v>42616</v>
      </c>
      <c r="D2762">
        <v>1037022454355</v>
      </c>
      <c r="E2762">
        <v>1</v>
      </c>
      <c r="F2762">
        <v>6134483501</v>
      </c>
      <c r="G2762">
        <v>390000</v>
      </c>
      <c r="H2762" t="s">
        <v>40293</v>
      </c>
      <c r="I2762">
        <v>16499</v>
      </c>
      <c r="J2762">
        <v>9</v>
      </c>
      <c r="K2762">
        <v>9</v>
      </c>
    </row>
    <row r="2763" spans="1:11">
      <c r="A2763">
        <v>30</v>
      </c>
      <c r="B2763" t="b">
        <v>0</v>
      </c>
      <c r="C2763" t="s">
        <v>42719</v>
      </c>
      <c r="D2763">
        <v>1037022454355</v>
      </c>
      <c r="E2763">
        <v>1</v>
      </c>
      <c r="F2763">
        <v>6137685351</v>
      </c>
      <c r="G2763">
        <v>388000</v>
      </c>
      <c r="H2763" t="s">
        <v>40293</v>
      </c>
      <c r="I2763">
        <v>16499</v>
      </c>
      <c r="J2763">
        <v>5</v>
      </c>
      <c r="K2763">
        <v>5</v>
      </c>
    </row>
    <row r="2764" spans="1:11">
      <c r="A2764">
        <v>90</v>
      </c>
      <c r="B2764" t="b">
        <v>0</v>
      </c>
      <c r="C2764" t="s">
        <v>43660</v>
      </c>
      <c r="D2764">
        <v>1037022454355</v>
      </c>
      <c r="E2764">
        <v>1</v>
      </c>
      <c r="F2764">
        <v>6137466639</v>
      </c>
      <c r="G2764">
        <v>387900</v>
      </c>
      <c r="H2764" t="s">
        <v>40293</v>
      </c>
      <c r="I2764">
        <v>16499</v>
      </c>
      <c r="J2764">
        <v>62</v>
      </c>
      <c r="K2764">
        <v>64</v>
      </c>
    </row>
    <row r="2765" spans="1:11">
      <c r="A2765">
        <v>90</v>
      </c>
      <c r="B2765" t="b">
        <v>0</v>
      </c>
      <c r="C2765" t="s">
        <v>42739</v>
      </c>
      <c r="D2765">
        <v>1037022454355</v>
      </c>
      <c r="E2765">
        <v>1</v>
      </c>
      <c r="F2765">
        <v>6135768025</v>
      </c>
      <c r="G2765">
        <v>150000</v>
      </c>
      <c r="H2765" t="s">
        <v>40293</v>
      </c>
      <c r="I2765">
        <v>16505</v>
      </c>
      <c r="J2765">
        <v>105</v>
      </c>
      <c r="K2765">
        <v>112</v>
      </c>
    </row>
    <row r="2766" spans="1:11">
      <c r="A2766">
        <v>90</v>
      </c>
      <c r="B2766" t="b">
        <v>0</v>
      </c>
      <c r="C2766" t="s">
        <v>42774</v>
      </c>
      <c r="D2766">
        <v>1037022454355</v>
      </c>
      <c r="E2766">
        <v>1</v>
      </c>
      <c r="F2766">
        <v>6135769959</v>
      </c>
      <c r="G2766">
        <v>150100</v>
      </c>
      <c r="H2766" t="s">
        <v>40293</v>
      </c>
      <c r="I2766">
        <v>16507</v>
      </c>
      <c r="J2766">
        <v>106</v>
      </c>
      <c r="K2766">
        <v>106</v>
      </c>
    </row>
    <row r="2767" spans="1:11">
      <c r="A2767">
        <v>90</v>
      </c>
      <c r="B2767" t="b">
        <v>0</v>
      </c>
      <c r="C2767" t="s">
        <v>41893</v>
      </c>
      <c r="D2767">
        <v>1037022454355</v>
      </c>
      <c r="E2767">
        <v>1</v>
      </c>
      <c r="F2767">
        <v>6127043868</v>
      </c>
      <c r="G2767">
        <v>125000</v>
      </c>
      <c r="H2767" t="s">
        <v>40293</v>
      </c>
      <c r="I2767">
        <v>16507</v>
      </c>
      <c r="J2767">
        <v>48</v>
      </c>
      <c r="K2767">
        <v>50</v>
      </c>
    </row>
    <row r="2768" spans="1:11">
      <c r="A2768">
        <v>90</v>
      </c>
      <c r="B2768" t="b">
        <v>0</v>
      </c>
      <c r="C2768" t="s">
        <v>42653</v>
      </c>
      <c r="D2768">
        <v>1037022454355</v>
      </c>
      <c r="E2768">
        <v>1</v>
      </c>
      <c r="F2768">
        <v>6137466911</v>
      </c>
      <c r="G2768">
        <v>124000</v>
      </c>
      <c r="H2768" t="s">
        <v>40293</v>
      </c>
      <c r="I2768">
        <v>16507</v>
      </c>
      <c r="J2768">
        <v>2</v>
      </c>
      <c r="K2768">
        <v>6</v>
      </c>
    </row>
    <row r="2769" spans="1:11">
      <c r="A2769">
        <v>90</v>
      </c>
      <c r="B2769" t="b">
        <v>0</v>
      </c>
      <c r="C2769" t="s">
        <v>42075</v>
      </c>
      <c r="D2769">
        <v>1037022454355</v>
      </c>
      <c r="E2769">
        <v>1</v>
      </c>
      <c r="F2769">
        <v>6130049811</v>
      </c>
      <c r="G2769">
        <v>80000</v>
      </c>
      <c r="H2769" t="s">
        <v>40293</v>
      </c>
      <c r="I2769">
        <v>16513</v>
      </c>
      <c r="J2769">
        <v>112</v>
      </c>
      <c r="K2769">
        <v>113</v>
      </c>
    </row>
    <row r="2770" spans="1:11">
      <c r="A2770">
        <v>90</v>
      </c>
      <c r="B2770" t="b">
        <v>0</v>
      </c>
      <c r="C2770" t="s">
        <v>42038</v>
      </c>
      <c r="D2770">
        <v>1037022454355</v>
      </c>
      <c r="E2770">
        <v>1</v>
      </c>
      <c r="F2770">
        <v>6129932258</v>
      </c>
      <c r="G2770">
        <v>190000</v>
      </c>
      <c r="H2770" t="s">
        <v>40293</v>
      </c>
      <c r="I2770">
        <v>16519</v>
      </c>
      <c r="J2770">
        <v>223</v>
      </c>
      <c r="K2770">
        <v>223</v>
      </c>
    </row>
    <row r="2771" spans="1:11">
      <c r="A2771">
        <v>90</v>
      </c>
      <c r="B2771" t="b">
        <v>0</v>
      </c>
      <c r="C2771" t="s">
        <v>44568</v>
      </c>
      <c r="D2771">
        <v>1037022454355</v>
      </c>
      <c r="E2771">
        <v>1</v>
      </c>
      <c r="F2771">
        <v>6154689834</v>
      </c>
      <c r="G2771">
        <v>189600</v>
      </c>
      <c r="H2771" t="s">
        <v>40293</v>
      </c>
      <c r="I2771">
        <v>16519</v>
      </c>
      <c r="J2771">
        <v>5</v>
      </c>
      <c r="K2771">
        <v>5</v>
      </c>
    </row>
    <row r="2772" spans="1:11">
      <c r="A2772">
        <v>90</v>
      </c>
      <c r="B2772" t="b">
        <v>0</v>
      </c>
      <c r="C2772" t="s">
        <v>42398</v>
      </c>
      <c r="D2772">
        <v>1037022454355</v>
      </c>
      <c r="E2772">
        <v>1</v>
      </c>
      <c r="F2772">
        <v>6123494758</v>
      </c>
      <c r="G2772">
        <v>189600</v>
      </c>
      <c r="H2772" t="s">
        <v>40293</v>
      </c>
      <c r="I2772">
        <v>16519</v>
      </c>
      <c r="J2772">
        <v>13</v>
      </c>
      <c r="K2772">
        <v>18</v>
      </c>
    </row>
    <row r="2773" spans="1:11">
      <c r="A2773">
        <v>90</v>
      </c>
      <c r="B2773" t="b">
        <v>0</v>
      </c>
      <c r="C2773" t="s">
        <v>42078</v>
      </c>
      <c r="D2773">
        <v>1037022454355</v>
      </c>
      <c r="E2773">
        <v>1</v>
      </c>
      <c r="F2773">
        <v>6130050197</v>
      </c>
      <c r="G2773">
        <v>50000</v>
      </c>
      <c r="H2773" t="s">
        <v>40293</v>
      </c>
      <c r="I2773">
        <v>16521</v>
      </c>
      <c r="J2773">
        <v>158</v>
      </c>
      <c r="K2773">
        <v>158</v>
      </c>
    </row>
    <row r="2774" spans="1:11">
      <c r="A2774">
        <v>90</v>
      </c>
      <c r="B2774" t="b">
        <v>0</v>
      </c>
      <c r="C2774" t="s">
        <v>42374</v>
      </c>
      <c r="D2774">
        <v>1037022454355</v>
      </c>
      <c r="E2774">
        <v>1</v>
      </c>
      <c r="F2774">
        <v>6081844971</v>
      </c>
      <c r="G2774">
        <v>48990</v>
      </c>
      <c r="H2774" t="s">
        <v>40293</v>
      </c>
      <c r="I2774">
        <v>16521</v>
      </c>
      <c r="J2774">
        <v>3</v>
      </c>
      <c r="K2774">
        <v>10</v>
      </c>
    </row>
    <row r="2775" spans="1:11">
      <c r="A2775">
        <v>90</v>
      </c>
      <c r="B2775" t="b">
        <v>0</v>
      </c>
      <c r="C2775" t="s">
        <v>42191</v>
      </c>
      <c r="D2775">
        <v>1037022454355</v>
      </c>
      <c r="E2775">
        <v>1</v>
      </c>
      <c r="F2775">
        <v>6129933687</v>
      </c>
      <c r="G2775">
        <v>450000</v>
      </c>
      <c r="H2775" t="s">
        <v>40293</v>
      </c>
      <c r="I2775">
        <v>16527</v>
      </c>
      <c r="J2775">
        <v>109</v>
      </c>
      <c r="K2775">
        <v>109</v>
      </c>
    </row>
    <row r="2776" spans="1:11">
      <c r="A2776">
        <v>90</v>
      </c>
      <c r="B2776" t="b">
        <v>0</v>
      </c>
      <c r="C2776" t="s">
        <v>40370</v>
      </c>
      <c r="D2776">
        <v>1037022454355</v>
      </c>
      <c r="E2776">
        <v>1</v>
      </c>
      <c r="F2776">
        <v>6067849076</v>
      </c>
      <c r="G2776">
        <v>409700</v>
      </c>
      <c r="H2776" t="s">
        <v>40293</v>
      </c>
      <c r="I2776">
        <v>16527</v>
      </c>
      <c r="J2776">
        <v>47</v>
      </c>
      <c r="K2776">
        <v>230</v>
      </c>
    </row>
    <row r="2777" spans="1:11">
      <c r="A2777">
        <v>90</v>
      </c>
      <c r="B2777" t="b">
        <v>0</v>
      </c>
      <c r="C2777" t="s">
        <v>42687</v>
      </c>
      <c r="D2777">
        <v>1037022454355</v>
      </c>
      <c r="E2777">
        <v>1</v>
      </c>
      <c r="F2777">
        <v>6134192624</v>
      </c>
      <c r="G2777">
        <v>509000</v>
      </c>
      <c r="H2777" t="s">
        <v>40293</v>
      </c>
      <c r="I2777">
        <v>16533</v>
      </c>
      <c r="J2777">
        <v>81</v>
      </c>
      <c r="K2777">
        <v>85</v>
      </c>
    </row>
    <row r="2778" spans="1:11">
      <c r="A2778">
        <v>90</v>
      </c>
      <c r="B2778" t="b">
        <v>0</v>
      </c>
      <c r="C2778" t="s">
        <v>42678</v>
      </c>
      <c r="D2778">
        <v>1037022454355</v>
      </c>
      <c r="E2778">
        <v>1</v>
      </c>
      <c r="F2778">
        <v>6134192054</v>
      </c>
      <c r="G2778">
        <v>3540000</v>
      </c>
      <c r="H2778" t="s">
        <v>40293</v>
      </c>
      <c r="I2778">
        <v>16535</v>
      </c>
      <c r="J2778">
        <v>68</v>
      </c>
      <c r="K2778">
        <v>96</v>
      </c>
    </row>
    <row r="2779" spans="1:11">
      <c r="A2779">
        <v>90</v>
      </c>
      <c r="B2779" t="b">
        <v>0</v>
      </c>
      <c r="C2779" t="s">
        <v>44187</v>
      </c>
      <c r="D2779">
        <v>1037022454355</v>
      </c>
      <c r="E2779">
        <v>1</v>
      </c>
      <c r="F2779">
        <v>6156388332</v>
      </c>
      <c r="G2779">
        <v>9901000</v>
      </c>
      <c r="H2779" t="s">
        <v>40293</v>
      </c>
      <c r="I2779">
        <v>16537</v>
      </c>
      <c r="J2779">
        <v>1</v>
      </c>
      <c r="K2779">
        <v>1</v>
      </c>
    </row>
    <row r="2780" spans="1:11">
      <c r="A2780">
        <v>14</v>
      </c>
      <c r="B2780" t="b">
        <v>0</v>
      </c>
      <c r="C2780" t="s">
        <v>45578</v>
      </c>
      <c r="D2780">
        <v>1037022454355</v>
      </c>
      <c r="E2780">
        <v>1</v>
      </c>
      <c r="F2780">
        <v>6156782870</v>
      </c>
      <c r="G2780">
        <v>9900000</v>
      </c>
      <c r="H2780" t="s">
        <v>40293</v>
      </c>
      <c r="I2780">
        <v>16537</v>
      </c>
      <c r="J2780">
        <v>1</v>
      </c>
      <c r="K2780">
        <v>1</v>
      </c>
    </row>
    <row r="2781" spans="1:11">
      <c r="A2781">
        <v>14</v>
      </c>
      <c r="B2781" t="b">
        <v>0</v>
      </c>
      <c r="C2781" t="s">
        <v>46340</v>
      </c>
      <c r="D2781">
        <v>1037022454355</v>
      </c>
      <c r="E2781">
        <v>1</v>
      </c>
      <c r="F2781">
        <v>6156718966</v>
      </c>
      <c r="G2781">
        <v>9899000</v>
      </c>
      <c r="H2781" t="s">
        <v>40293</v>
      </c>
      <c r="I2781">
        <v>16537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46539</v>
      </c>
      <c r="D2782">
        <v>1037022454355</v>
      </c>
      <c r="E2782">
        <v>1</v>
      </c>
      <c r="F2782">
        <v>6147800705</v>
      </c>
      <c r="G2782">
        <v>2500000</v>
      </c>
      <c r="H2782" t="s">
        <v>40293</v>
      </c>
      <c r="I2782">
        <v>16631</v>
      </c>
      <c r="J2782">
        <v>4</v>
      </c>
      <c r="K2782">
        <v>4</v>
      </c>
    </row>
    <row r="2783" spans="1:11">
      <c r="A2783">
        <v>90</v>
      </c>
      <c r="B2783" t="b">
        <v>0</v>
      </c>
      <c r="C2783" t="s">
        <v>45984</v>
      </c>
      <c r="D2783">
        <v>1037022454355</v>
      </c>
      <c r="E2783">
        <v>1</v>
      </c>
      <c r="F2783">
        <v>6148383078</v>
      </c>
      <c r="G2783">
        <v>1995</v>
      </c>
      <c r="H2783" t="s">
        <v>40293</v>
      </c>
      <c r="I2783">
        <v>16633</v>
      </c>
      <c r="J2783">
        <v>30657</v>
      </c>
      <c r="K2783">
        <v>30657</v>
      </c>
    </row>
    <row r="2784" spans="1:11">
      <c r="A2784">
        <v>30</v>
      </c>
      <c r="B2784" t="b">
        <v>0</v>
      </c>
      <c r="C2784" t="s">
        <v>46544</v>
      </c>
      <c r="D2784">
        <v>1037022454355</v>
      </c>
      <c r="E2784">
        <v>1</v>
      </c>
      <c r="F2784">
        <v>6149209797</v>
      </c>
      <c r="G2784">
        <v>1940</v>
      </c>
      <c r="H2784" t="s">
        <v>40293</v>
      </c>
      <c r="I2784">
        <v>16633</v>
      </c>
      <c r="J2784">
        <v>89039</v>
      </c>
      <c r="K2784">
        <v>201820</v>
      </c>
    </row>
    <row r="2785" spans="1:11">
      <c r="A2785">
        <v>14</v>
      </c>
      <c r="B2785" t="b">
        <v>0</v>
      </c>
      <c r="C2785" t="s">
        <v>45005</v>
      </c>
      <c r="D2785">
        <v>1037022454355</v>
      </c>
      <c r="E2785">
        <v>1</v>
      </c>
      <c r="F2785">
        <v>6156109893</v>
      </c>
      <c r="G2785">
        <v>500.2</v>
      </c>
      <c r="H2785" t="s">
        <v>40293</v>
      </c>
      <c r="I2785">
        <v>16634</v>
      </c>
      <c r="J2785">
        <v>109</v>
      </c>
      <c r="K2785">
        <v>109</v>
      </c>
    </row>
    <row r="2786" spans="1:11">
      <c r="A2786">
        <v>90</v>
      </c>
      <c r="B2786" t="b">
        <v>0</v>
      </c>
      <c r="C2786" t="s">
        <v>43708</v>
      </c>
      <c r="D2786">
        <v>1037022454355</v>
      </c>
      <c r="E2786">
        <v>1</v>
      </c>
      <c r="F2786">
        <v>6142746759</v>
      </c>
      <c r="G2786">
        <v>5000</v>
      </c>
      <c r="H2786" t="s">
        <v>40293</v>
      </c>
      <c r="I2786">
        <v>16635</v>
      </c>
      <c r="J2786">
        <v>2218</v>
      </c>
      <c r="K2786">
        <v>2218</v>
      </c>
    </row>
    <row r="2787" spans="1:11">
      <c r="A2787">
        <v>90</v>
      </c>
      <c r="B2787" t="b">
        <v>0</v>
      </c>
      <c r="C2787" t="s">
        <v>45969</v>
      </c>
      <c r="D2787">
        <v>1037022454355</v>
      </c>
      <c r="E2787">
        <v>1</v>
      </c>
      <c r="F2787">
        <v>6148382861</v>
      </c>
      <c r="G2787">
        <v>2450</v>
      </c>
      <c r="H2787" t="s">
        <v>40293</v>
      </c>
      <c r="I2787">
        <v>16635</v>
      </c>
      <c r="J2787">
        <v>24932</v>
      </c>
      <c r="K2787">
        <v>24932</v>
      </c>
    </row>
    <row r="2788" spans="1:11">
      <c r="A2788">
        <v>30</v>
      </c>
      <c r="B2788" t="b">
        <v>0</v>
      </c>
      <c r="C2788" t="s">
        <v>45165</v>
      </c>
      <c r="D2788">
        <v>1037022454355</v>
      </c>
      <c r="E2788">
        <v>1</v>
      </c>
      <c r="F2788">
        <v>6146013819</v>
      </c>
      <c r="G2788">
        <v>1999</v>
      </c>
      <c r="H2788" t="s">
        <v>40293</v>
      </c>
      <c r="I2788">
        <v>16635</v>
      </c>
      <c r="J2788">
        <v>166988</v>
      </c>
      <c r="K2788">
        <v>213577</v>
      </c>
    </row>
    <row r="2789" spans="1:11">
      <c r="A2789">
        <v>30</v>
      </c>
      <c r="B2789" t="b">
        <v>0</v>
      </c>
      <c r="C2789" t="s">
        <v>46525</v>
      </c>
      <c r="D2789">
        <v>1037022454355</v>
      </c>
      <c r="E2789">
        <v>1</v>
      </c>
      <c r="F2789">
        <v>6149209614</v>
      </c>
      <c r="G2789">
        <v>1998</v>
      </c>
      <c r="H2789" t="s">
        <v>40293</v>
      </c>
      <c r="I2789">
        <v>16635</v>
      </c>
      <c r="J2789">
        <v>670938</v>
      </c>
      <c r="K2789">
        <v>701938</v>
      </c>
    </row>
    <row r="2790" spans="1:11">
      <c r="A2790">
        <v>90</v>
      </c>
      <c r="B2790" t="b">
        <v>0</v>
      </c>
      <c r="C2790" t="s">
        <v>40886</v>
      </c>
      <c r="D2790">
        <v>1037022454355</v>
      </c>
      <c r="E2790">
        <v>1</v>
      </c>
      <c r="F2790">
        <v>6093288822</v>
      </c>
      <c r="G2790">
        <v>9492</v>
      </c>
      <c r="H2790" t="s">
        <v>40293</v>
      </c>
      <c r="I2790">
        <v>16638</v>
      </c>
      <c r="J2790">
        <v>6754</v>
      </c>
      <c r="K2790">
        <v>6754</v>
      </c>
    </row>
    <row r="2791" spans="1:11">
      <c r="A2791">
        <v>90</v>
      </c>
      <c r="B2791" t="b">
        <v>0</v>
      </c>
      <c r="C2791" t="s">
        <v>43253</v>
      </c>
      <c r="D2791">
        <v>1037022454355</v>
      </c>
      <c r="E2791">
        <v>1</v>
      </c>
      <c r="F2791">
        <v>6127692246</v>
      </c>
      <c r="G2791">
        <v>7999</v>
      </c>
      <c r="H2791" t="s">
        <v>40293</v>
      </c>
      <c r="I2791">
        <v>16638</v>
      </c>
      <c r="J2791">
        <v>9348</v>
      </c>
      <c r="K2791">
        <v>9348</v>
      </c>
    </row>
    <row r="2792" spans="1:11">
      <c r="A2792">
        <v>30</v>
      </c>
      <c r="B2792" t="b">
        <v>0</v>
      </c>
      <c r="C2792" t="s">
        <v>44033</v>
      </c>
      <c r="D2792">
        <v>1037022454355</v>
      </c>
      <c r="E2792">
        <v>1</v>
      </c>
      <c r="F2792">
        <v>6149210129</v>
      </c>
      <c r="G2792">
        <v>7745</v>
      </c>
      <c r="H2792" t="s">
        <v>40293</v>
      </c>
      <c r="I2792">
        <v>16638</v>
      </c>
      <c r="J2792">
        <v>120000</v>
      </c>
      <c r="K2792">
        <v>150000</v>
      </c>
    </row>
    <row r="2793" spans="1:11">
      <c r="A2793">
        <v>90</v>
      </c>
      <c r="B2793" t="b">
        <v>0</v>
      </c>
      <c r="C2793" t="s">
        <v>43690</v>
      </c>
      <c r="D2793">
        <v>1037022454355</v>
      </c>
      <c r="E2793">
        <v>1</v>
      </c>
      <c r="F2793">
        <v>6142746271</v>
      </c>
      <c r="G2793">
        <v>7500</v>
      </c>
      <c r="H2793" t="s">
        <v>40293</v>
      </c>
      <c r="I2793">
        <v>16639</v>
      </c>
      <c r="J2793">
        <v>456</v>
      </c>
      <c r="K2793">
        <v>456</v>
      </c>
    </row>
    <row r="2794" spans="1:11">
      <c r="A2794">
        <v>30</v>
      </c>
      <c r="B2794" t="b">
        <v>0</v>
      </c>
      <c r="C2794" t="s">
        <v>44745</v>
      </c>
      <c r="D2794">
        <v>1037022454355</v>
      </c>
      <c r="E2794">
        <v>1</v>
      </c>
      <c r="F2794">
        <v>6150890832</v>
      </c>
      <c r="G2794">
        <v>7000</v>
      </c>
      <c r="H2794" t="s">
        <v>40293</v>
      </c>
      <c r="I2794">
        <v>16639</v>
      </c>
      <c r="J2794">
        <v>9704</v>
      </c>
      <c r="K2794">
        <v>10997</v>
      </c>
    </row>
    <row r="2795" spans="1:11">
      <c r="A2795">
        <v>30</v>
      </c>
      <c r="B2795" t="b">
        <v>0</v>
      </c>
      <c r="C2795" t="s">
        <v>44118</v>
      </c>
      <c r="D2795">
        <v>1037022454355</v>
      </c>
      <c r="E2795">
        <v>1</v>
      </c>
      <c r="F2795">
        <v>6153667584</v>
      </c>
      <c r="G2795">
        <v>9000</v>
      </c>
      <c r="H2795" t="s">
        <v>40293</v>
      </c>
      <c r="I2795">
        <v>16641</v>
      </c>
      <c r="J2795">
        <v>132849</v>
      </c>
      <c r="K2795">
        <v>207849</v>
      </c>
    </row>
    <row r="2796" spans="1:11">
      <c r="A2796">
        <v>30</v>
      </c>
      <c r="B2796" t="b">
        <v>0</v>
      </c>
      <c r="C2796" t="s">
        <v>46407</v>
      </c>
      <c r="D2796">
        <v>1037022454355</v>
      </c>
      <c r="E2796">
        <v>1</v>
      </c>
      <c r="F2796">
        <v>6149208335</v>
      </c>
      <c r="G2796">
        <v>8999</v>
      </c>
      <c r="H2796" t="s">
        <v>40293</v>
      </c>
      <c r="I2796">
        <v>16641</v>
      </c>
      <c r="J2796">
        <v>173435</v>
      </c>
      <c r="K2796">
        <v>223435</v>
      </c>
    </row>
    <row r="2797" spans="1:11">
      <c r="A2797">
        <v>30</v>
      </c>
      <c r="B2797" t="b">
        <v>0</v>
      </c>
      <c r="C2797" t="s">
        <v>44296</v>
      </c>
      <c r="D2797">
        <v>1037022454355</v>
      </c>
      <c r="E2797">
        <v>1</v>
      </c>
      <c r="F2797">
        <v>6150891288</v>
      </c>
      <c r="G2797">
        <v>9000</v>
      </c>
      <c r="H2797" t="s">
        <v>40293</v>
      </c>
      <c r="I2797">
        <v>16642</v>
      </c>
      <c r="J2797">
        <v>9273</v>
      </c>
      <c r="K2797">
        <v>16273</v>
      </c>
    </row>
    <row r="2798" spans="1:11">
      <c r="A2798">
        <v>30</v>
      </c>
      <c r="B2798" t="b">
        <v>0</v>
      </c>
      <c r="C2798" t="s">
        <v>46059</v>
      </c>
      <c r="D2798">
        <v>1037022454355</v>
      </c>
      <c r="E2798">
        <v>1</v>
      </c>
      <c r="F2798">
        <v>6153670889</v>
      </c>
      <c r="G2798">
        <v>7000</v>
      </c>
      <c r="H2798" t="s">
        <v>40293</v>
      </c>
      <c r="I2798">
        <v>16642</v>
      </c>
      <c r="J2798">
        <v>96073</v>
      </c>
      <c r="K2798">
        <v>96073</v>
      </c>
    </row>
    <row r="2799" spans="1:11">
      <c r="A2799">
        <v>90</v>
      </c>
      <c r="B2799" t="b">
        <v>0</v>
      </c>
      <c r="C2799" t="s">
        <v>45105</v>
      </c>
      <c r="D2799">
        <v>1037022454355</v>
      </c>
      <c r="E2799">
        <v>1</v>
      </c>
      <c r="F2799">
        <v>6151979491</v>
      </c>
      <c r="G2799">
        <v>13000</v>
      </c>
      <c r="H2799" t="s">
        <v>40293</v>
      </c>
      <c r="I2799">
        <v>16643</v>
      </c>
      <c r="J2799">
        <v>2000</v>
      </c>
      <c r="K2799">
        <v>2000</v>
      </c>
    </row>
    <row r="2800" spans="1:11">
      <c r="A2800">
        <v>14</v>
      </c>
      <c r="B2800" t="b">
        <v>0</v>
      </c>
      <c r="C2800" t="s">
        <v>45005</v>
      </c>
      <c r="D2800">
        <v>1037022454355</v>
      </c>
      <c r="E2800">
        <v>1</v>
      </c>
      <c r="F2800">
        <v>6156109886</v>
      </c>
      <c r="G2800">
        <v>11380</v>
      </c>
      <c r="H2800" t="s">
        <v>40293</v>
      </c>
      <c r="I2800">
        <v>16643</v>
      </c>
      <c r="J2800">
        <v>438</v>
      </c>
      <c r="K2800">
        <v>438</v>
      </c>
    </row>
    <row r="2801" spans="1:11">
      <c r="A2801">
        <v>90</v>
      </c>
      <c r="B2801" t="b">
        <v>0</v>
      </c>
      <c r="C2801" t="s">
        <v>40717</v>
      </c>
      <c r="D2801">
        <v>1037022454355</v>
      </c>
      <c r="E2801">
        <v>1</v>
      </c>
      <c r="F2801">
        <v>6111113412</v>
      </c>
      <c r="G2801">
        <v>14000</v>
      </c>
      <c r="H2801" t="s">
        <v>40293</v>
      </c>
      <c r="I2801">
        <v>16644</v>
      </c>
      <c r="J2801">
        <v>6601</v>
      </c>
      <c r="K2801">
        <v>28700</v>
      </c>
    </row>
    <row r="2802" spans="1:11">
      <c r="A2802">
        <v>90</v>
      </c>
      <c r="B2802" t="b">
        <v>0</v>
      </c>
      <c r="C2802" t="s">
        <v>43460</v>
      </c>
      <c r="D2802">
        <v>1037022454355</v>
      </c>
      <c r="E2802">
        <v>1</v>
      </c>
      <c r="F2802">
        <v>6142746563</v>
      </c>
      <c r="G2802">
        <v>13800</v>
      </c>
      <c r="H2802" t="s">
        <v>40293</v>
      </c>
      <c r="I2802">
        <v>16644</v>
      </c>
      <c r="J2802">
        <v>8874</v>
      </c>
      <c r="K2802">
        <v>8874</v>
      </c>
    </row>
    <row r="2803" spans="1:11">
      <c r="A2803">
        <v>30</v>
      </c>
      <c r="B2803" t="b">
        <v>0</v>
      </c>
      <c r="C2803" t="s">
        <v>45867</v>
      </c>
      <c r="D2803">
        <v>1037022454355</v>
      </c>
      <c r="E2803">
        <v>1</v>
      </c>
      <c r="F2803">
        <v>6149208579</v>
      </c>
      <c r="G2803">
        <v>10700</v>
      </c>
      <c r="H2803" t="s">
        <v>40293</v>
      </c>
      <c r="I2803">
        <v>16644</v>
      </c>
      <c r="J2803">
        <v>245000</v>
      </c>
      <c r="K2803">
        <v>250000</v>
      </c>
    </row>
    <row r="2804" spans="1:11">
      <c r="A2804">
        <v>30</v>
      </c>
      <c r="B2804" t="b">
        <v>0</v>
      </c>
      <c r="C2804" t="s">
        <v>44649</v>
      </c>
      <c r="D2804">
        <v>1037022454355</v>
      </c>
      <c r="E2804">
        <v>1</v>
      </c>
      <c r="F2804">
        <v>6153471361</v>
      </c>
      <c r="G2804">
        <v>10100</v>
      </c>
      <c r="H2804" t="s">
        <v>40293</v>
      </c>
      <c r="I2804">
        <v>16644</v>
      </c>
      <c r="J2804">
        <v>150931</v>
      </c>
      <c r="K2804">
        <v>171881</v>
      </c>
    </row>
    <row r="2805" spans="1:11">
      <c r="A2805">
        <v>30</v>
      </c>
      <c r="B2805" t="b">
        <v>0</v>
      </c>
      <c r="C2805" t="s">
        <v>46461</v>
      </c>
      <c r="D2805">
        <v>1037022454355</v>
      </c>
      <c r="E2805">
        <v>1</v>
      </c>
      <c r="F2805">
        <v>6149209007</v>
      </c>
      <c r="G2805">
        <v>10090</v>
      </c>
      <c r="H2805" t="s">
        <v>40293</v>
      </c>
      <c r="I2805">
        <v>16644</v>
      </c>
      <c r="J2805">
        <v>179000</v>
      </c>
      <c r="K2805">
        <v>189000</v>
      </c>
    </row>
    <row r="2806" spans="1:11">
      <c r="A2806">
        <v>90</v>
      </c>
      <c r="B2806" t="b">
        <v>0</v>
      </c>
      <c r="C2806" t="s">
        <v>44734</v>
      </c>
      <c r="D2806">
        <v>1037022454355</v>
      </c>
      <c r="E2806">
        <v>1</v>
      </c>
      <c r="F2806">
        <v>6141060321</v>
      </c>
      <c r="G2806">
        <v>10000</v>
      </c>
      <c r="H2806" t="s">
        <v>40293</v>
      </c>
      <c r="I2806">
        <v>16644</v>
      </c>
      <c r="J2806">
        <v>1494</v>
      </c>
      <c r="K2806">
        <v>2074</v>
      </c>
    </row>
    <row r="2807" spans="1:11">
      <c r="A2807">
        <v>30</v>
      </c>
      <c r="B2807" t="b">
        <v>0</v>
      </c>
      <c r="C2807" t="s">
        <v>44618</v>
      </c>
      <c r="D2807">
        <v>1037022454355</v>
      </c>
      <c r="E2807">
        <v>1</v>
      </c>
      <c r="F2807">
        <v>6150889373</v>
      </c>
      <c r="G2807">
        <v>10010</v>
      </c>
      <c r="H2807" t="s">
        <v>40293</v>
      </c>
      <c r="I2807">
        <v>16647</v>
      </c>
      <c r="J2807">
        <v>1426</v>
      </c>
      <c r="K2807">
        <v>1426</v>
      </c>
    </row>
    <row r="2808" spans="1:11">
      <c r="A2808">
        <v>30</v>
      </c>
      <c r="B2808" t="b">
        <v>0</v>
      </c>
      <c r="C2808" t="s">
        <v>44464</v>
      </c>
      <c r="D2808">
        <v>1037022454355</v>
      </c>
      <c r="E2808">
        <v>1</v>
      </c>
      <c r="F2808">
        <v>6153673024</v>
      </c>
      <c r="G2808">
        <v>8374</v>
      </c>
      <c r="H2808" t="s">
        <v>40293</v>
      </c>
      <c r="I2808">
        <v>16647</v>
      </c>
      <c r="J2808">
        <v>36448</v>
      </c>
      <c r="K2808">
        <v>53270</v>
      </c>
    </row>
    <row r="2809" spans="1:11">
      <c r="A2809">
        <v>90</v>
      </c>
      <c r="B2809" t="b">
        <v>0</v>
      </c>
      <c r="C2809" t="s">
        <v>40949</v>
      </c>
      <c r="D2809">
        <v>1037022454355</v>
      </c>
      <c r="E2809">
        <v>1</v>
      </c>
      <c r="F2809">
        <v>6118318164</v>
      </c>
      <c r="G2809">
        <v>2700</v>
      </c>
      <c r="H2809" t="s">
        <v>40293</v>
      </c>
      <c r="I2809">
        <v>16661</v>
      </c>
      <c r="J2809">
        <v>54994</v>
      </c>
      <c r="K2809">
        <v>56994</v>
      </c>
    </row>
    <row r="2810" spans="1:11">
      <c r="A2810">
        <v>90</v>
      </c>
      <c r="B2810" t="b">
        <v>0</v>
      </c>
      <c r="C2810" t="s">
        <v>40746</v>
      </c>
      <c r="D2810">
        <v>1037022454355</v>
      </c>
      <c r="E2810">
        <v>1</v>
      </c>
      <c r="F2810">
        <v>6103410556</v>
      </c>
      <c r="G2810">
        <v>184</v>
      </c>
      <c r="H2810" t="s">
        <v>40293</v>
      </c>
      <c r="I2810">
        <v>16670</v>
      </c>
      <c r="J2810">
        <v>3013956</v>
      </c>
      <c r="K2810">
        <v>3150537</v>
      </c>
    </row>
    <row r="2811" spans="1:11">
      <c r="A2811">
        <v>90</v>
      </c>
      <c r="B2811" t="b">
        <v>0</v>
      </c>
      <c r="C2811" t="s">
        <v>45551</v>
      </c>
      <c r="D2811">
        <v>1037022454355</v>
      </c>
      <c r="E2811">
        <v>1</v>
      </c>
      <c r="F2811">
        <v>6079204756</v>
      </c>
      <c r="G2811">
        <v>182</v>
      </c>
      <c r="H2811" t="s">
        <v>40293</v>
      </c>
      <c r="I2811">
        <v>16670</v>
      </c>
      <c r="J2811">
        <v>3716124</v>
      </c>
      <c r="K2811">
        <v>20000000</v>
      </c>
    </row>
    <row r="2812" spans="1:11">
      <c r="A2812">
        <v>90</v>
      </c>
      <c r="B2812" t="b">
        <v>0</v>
      </c>
      <c r="C2812" t="s">
        <v>42721</v>
      </c>
      <c r="D2812">
        <v>1037022454355</v>
      </c>
      <c r="E2812">
        <v>1</v>
      </c>
      <c r="F2812">
        <v>6069051558</v>
      </c>
      <c r="G2812">
        <v>231</v>
      </c>
      <c r="H2812" t="s">
        <v>40293</v>
      </c>
      <c r="I2812">
        <v>16671</v>
      </c>
      <c r="J2812">
        <v>402539</v>
      </c>
      <c r="K2812">
        <v>531679</v>
      </c>
    </row>
    <row r="2813" spans="1:11">
      <c r="A2813">
        <v>90</v>
      </c>
      <c r="B2813" t="b">
        <v>0</v>
      </c>
      <c r="C2813" t="s">
        <v>45562</v>
      </c>
      <c r="D2813">
        <v>1037022454355</v>
      </c>
      <c r="E2813">
        <v>1</v>
      </c>
      <c r="F2813">
        <v>6079204768</v>
      </c>
      <c r="G2813">
        <v>199</v>
      </c>
      <c r="H2813" t="s">
        <v>40293</v>
      </c>
      <c r="I2813">
        <v>16671</v>
      </c>
      <c r="J2813">
        <v>14269468</v>
      </c>
      <c r="K2813">
        <v>15000000</v>
      </c>
    </row>
    <row r="2814" spans="1:11">
      <c r="A2814">
        <v>90</v>
      </c>
      <c r="B2814" t="b">
        <v>0</v>
      </c>
      <c r="C2814" t="s">
        <v>44155</v>
      </c>
      <c r="D2814">
        <v>1037022454355</v>
      </c>
      <c r="E2814">
        <v>1</v>
      </c>
      <c r="F2814">
        <v>6155961913</v>
      </c>
      <c r="G2814">
        <v>198</v>
      </c>
      <c r="H2814" t="s">
        <v>40293</v>
      </c>
      <c r="I2814">
        <v>16671</v>
      </c>
      <c r="J2814">
        <v>4000000</v>
      </c>
      <c r="K2814">
        <v>4000000</v>
      </c>
    </row>
    <row r="2815" spans="1:11">
      <c r="A2815">
        <v>90</v>
      </c>
      <c r="B2815" t="b">
        <v>0</v>
      </c>
      <c r="C2815" t="s">
        <v>43581</v>
      </c>
      <c r="D2815">
        <v>1037022454355</v>
      </c>
      <c r="E2815">
        <v>1</v>
      </c>
      <c r="F2815">
        <v>6142086842</v>
      </c>
      <c r="G2815">
        <v>190</v>
      </c>
      <c r="H2815" t="s">
        <v>40293</v>
      </c>
      <c r="I2815">
        <v>16672</v>
      </c>
      <c r="J2815">
        <v>428688</v>
      </c>
      <c r="K2815">
        <v>428688</v>
      </c>
    </row>
    <row r="2816" spans="1:11">
      <c r="A2816">
        <v>90</v>
      </c>
      <c r="B2816" t="b">
        <v>0</v>
      </c>
      <c r="C2816" t="s">
        <v>43087</v>
      </c>
      <c r="D2816">
        <v>1037022454355</v>
      </c>
      <c r="E2816">
        <v>1</v>
      </c>
      <c r="F2816">
        <v>6142236823</v>
      </c>
      <c r="G2816">
        <v>170</v>
      </c>
      <c r="H2816" t="s">
        <v>40293</v>
      </c>
      <c r="I2816">
        <v>16672</v>
      </c>
      <c r="J2816">
        <v>2000000</v>
      </c>
      <c r="K2816">
        <v>2000000</v>
      </c>
    </row>
    <row r="2817" spans="1:11">
      <c r="A2817">
        <v>90</v>
      </c>
      <c r="B2817" t="b">
        <v>0</v>
      </c>
      <c r="C2817" t="s">
        <v>43301</v>
      </c>
      <c r="D2817">
        <v>1037022454355</v>
      </c>
      <c r="E2817">
        <v>1</v>
      </c>
      <c r="F2817">
        <v>6078475891</v>
      </c>
      <c r="G2817">
        <v>169</v>
      </c>
      <c r="H2817" t="s">
        <v>40293</v>
      </c>
      <c r="I2817">
        <v>16672</v>
      </c>
      <c r="J2817">
        <v>3268460</v>
      </c>
      <c r="K2817">
        <v>3629937</v>
      </c>
    </row>
    <row r="2818" spans="1:11">
      <c r="A2818">
        <v>90</v>
      </c>
      <c r="B2818" t="b">
        <v>0</v>
      </c>
      <c r="C2818" t="s">
        <v>45553</v>
      </c>
      <c r="D2818">
        <v>1037022454355</v>
      </c>
      <c r="E2818">
        <v>1</v>
      </c>
      <c r="F2818">
        <v>6079204758</v>
      </c>
      <c r="G2818">
        <v>175</v>
      </c>
      <c r="H2818" t="s">
        <v>40293</v>
      </c>
      <c r="I2818">
        <v>16673</v>
      </c>
      <c r="J2818">
        <v>26318480</v>
      </c>
      <c r="K2818">
        <v>30000000</v>
      </c>
    </row>
    <row r="2819" spans="1:11">
      <c r="A2819">
        <v>90</v>
      </c>
      <c r="B2819" t="b">
        <v>0</v>
      </c>
      <c r="C2819" t="s">
        <v>45560</v>
      </c>
      <c r="D2819">
        <v>1037022454355</v>
      </c>
      <c r="E2819">
        <v>1</v>
      </c>
      <c r="F2819">
        <v>6079204766</v>
      </c>
      <c r="G2819">
        <v>362</v>
      </c>
      <c r="H2819" t="s">
        <v>40293</v>
      </c>
      <c r="I2819">
        <v>16678</v>
      </c>
      <c r="J2819">
        <v>4105729</v>
      </c>
      <c r="K2819">
        <v>10000000</v>
      </c>
    </row>
    <row r="2820" spans="1:11">
      <c r="A2820">
        <v>90</v>
      </c>
      <c r="B2820" t="b">
        <v>0</v>
      </c>
      <c r="C2820" t="s">
        <v>44150</v>
      </c>
      <c r="D2820">
        <v>1037022454355</v>
      </c>
      <c r="E2820">
        <v>1</v>
      </c>
      <c r="F2820">
        <v>6153930200</v>
      </c>
      <c r="G2820">
        <v>750</v>
      </c>
      <c r="H2820" t="s">
        <v>40293</v>
      </c>
      <c r="I2820">
        <v>16679</v>
      </c>
      <c r="J2820">
        <v>26729</v>
      </c>
      <c r="K2820">
        <v>26729</v>
      </c>
    </row>
    <row r="2821" spans="1:11">
      <c r="A2821">
        <v>90</v>
      </c>
      <c r="B2821" t="b">
        <v>0</v>
      </c>
      <c r="C2821" t="s">
        <v>45555</v>
      </c>
      <c r="D2821">
        <v>1037022454355</v>
      </c>
      <c r="E2821">
        <v>1</v>
      </c>
      <c r="F2821">
        <v>6079204760</v>
      </c>
      <c r="G2821">
        <v>730</v>
      </c>
      <c r="H2821" t="s">
        <v>40293</v>
      </c>
      <c r="I2821">
        <v>16679</v>
      </c>
      <c r="J2821">
        <v>723159</v>
      </c>
      <c r="K2821">
        <v>2000000</v>
      </c>
    </row>
    <row r="2822" spans="1:11">
      <c r="A2822">
        <v>90</v>
      </c>
      <c r="B2822" t="b">
        <v>0</v>
      </c>
      <c r="C2822" t="s">
        <v>45558</v>
      </c>
      <c r="D2822">
        <v>1037022454355</v>
      </c>
      <c r="E2822">
        <v>1</v>
      </c>
      <c r="F2822">
        <v>6079204763</v>
      </c>
      <c r="G2822">
        <v>1626</v>
      </c>
      <c r="H2822" t="s">
        <v>40293</v>
      </c>
      <c r="I2822">
        <v>16680</v>
      </c>
      <c r="J2822">
        <v>719504</v>
      </c>
      <c r="K2822">
        <v>1500000</v>
      </c>
    </row>
    <row r="2823" spans="1:11">
      <c r="A2823">
        <v>90</v>
      </c>
      <c r="B2823" t="b">
        <v>0</v>
      </c>
      <c r="C2823" t="s">
        <v>45557</v>
      </c>
      <c r="D2823">
        <v>1037022454355</v>
      </c>
      <c r="E2823">
        <v>1</v>
      </c>
      <c r="F2823">
        <v>6079204762</v>
      </c>
      <c r="G2823">
        <v>4420</v>
      </c>
      <c r="H2823" t="s">
        <v>40293</v>
      </c>
      <c r="I2823">
        <v>16681</v>
      </c>
      <c r="J2823">
        <v>651164</v>
      </c>
      <c r="K2823">
        <v>1000000</v>
      </c>
    </row>
    <row r="2824" spans="1:11">
      <c r="A2824">
        <v>90</v>
      </c>
      <c r="B2824" t="b">
        <v>0</v>
      </c>
      <c r="C2824" t="s">
        <v>45556</v>
      </c>
      <c r="D2824">
        <v>1037022454355</v>
      </c>
      <c r="E2824">
        <v>1</v>
      </c>
      <c r="F2824">
        <v>6079204761</v>
      </c>
      <c r="G2824">
        <v>8950</v>
      </c>
      <c r="H2824" t="s">
        <v>40293</v>
      </c>
      <c r="I2824">
        <v>16682</v>
      </c>
      <c r="J2824">
        <v>195953</v>
      </c>
      <c r="K2824">
        <v>300000</v>
      </c>
    </row>
    <row r="2825" spans="1:11">
      <c r="A2825">
        <v>90</v>
      </c>
      <c r="B2825" t="b">
        <v>0</v>
      </c>
      <c r="C2825" t="s">
        <v>45554</v>
      </c>
      <c r="D2825">
        <v>1037022454355</v>
      </c>
      <c r="E2825">
        <v>1</v>
      </c>
      <c r="F2825">
        <v>6079204759</v>
      </c>
      <c r="G2825">
        <v>28950</v>
      </c>
      <c r="H2825" t="s">
        <v>40293</v>
      </c>
      <c r="I2825">
        <v>16683</v>
      </c>
      <c r="J2825">
        <v>12987</v>
      </c>
      <c r="K2825">
        <v>150000</v>
      </c>
    </row>
    <row r="2826" spans="1:11">
      <c r="A2826">
        <v>90</v>
      </c>
      <c r="B2826" t="b">
        <v>0</v>
      </c>
      <c r="C2826" t="s">
        <v>44634</v>
      </c>
      <c r="D2826">
        <v>1037022454355</v>
      </c>
      <c r="E2826">
        <v>1</v>
      </c>
      <c r="F2826">
        <v>6155051169</v>
      </c>
      <c r="G2826">
        <v>8000000</v>
      </c>
      <c r="H2826" t="s">
        <v>40293</v>
      </c>
      <c r="I2826">
        <v>16697</v>
      </c>
      <c r="J2826">
        <v>2</v>
      </c>
      <c r="K2826">
        <v>2</v>
      </c>
    </row>
    <row r="2827" spans="1:11">
      <c r="A2827">
        <v>90</v>
      </c>
      <c r="B2827" t="b">
        <v>0</v>
      </c>
      <c r="C2827" t="s">
        <v>40681</v>
      </c>
      <c r="D2827">
        <v>1037022454355</v>
      </c>
      <c r="E2827">
        <v>1</v>
      </c>
      <c r="F2827">
        <v>6109634964</v>
      </c>
      <c r="G2827">
        <v>74570</v>
      </c>
      <c r="H2827" t="s">
        <v>40293</v>
      </c>
      <c r="I2827">
        <v>17136</v>
      </c>
      <c r="J2827">
        <v>5783</v>
      </c>
      <c r="K2827">
        <v>9879</v>
      </c>
    </row>
    <row r="2828" spans="1:11">
      <c r="A2828">
        <v>90</v>
      </c>
      <c r="B2828" t="b">
        <v>0</v>
      </c>
      <c r="C2828" t="s">
        <v>46033</v>
      </c>
      <c r="D2828">
        <v>1037022454355</v>
      </c>
      <c r="E2828">
        <v>1</v>
      </c>
      <c r="F2828">
        <v>6153954305</v>
      </c>
      <c r="G2828">
        <v>74000</v>
      </c>
      <c r="H2828" t="s">
        <v>40293</v>
      </c>
      <c r="I2828">
        <v>17136</v>
      </c>
      <c r="J2828">
        <v>5784</v>
      </c>
      <c r="K2828">
        <v>5788</v>
      </c>
    </row>
    <row r="2829" spans="1:11">
      <c r="A2829">
        <v>90</v>
      </c>
      <c r="B2829" t="b">
        <v>0</v>
      </c>
      <c r="C2829" t="s">
        <v>45552</v>
      </c>
      <c r="D2829">
        <v>1037022454355</v>
      </c>
      <c r="E2829">
        <v>1</v>
      </c>
      <c r="F2829">
        <v>6079204757</v>
      </c>
      <c r="G2829">
        <v>69950</v>
      </c>
      <c r="H2829" t="s">
        <v>40293</v>
      </c>
      <c r="I2829">
        <v>17317</v>
      </c>
      <c r="J2829">
        <v>148130</v>
      </c>
      <c r="K2829">
        <v>150000</v>
      </c>
    </row>
    <row r="2830" spans="1:11">
      <c r="A2830">
        <v>90</v>
      </c>
      <c r="B2830" t="b">
        <v>0</v>
      </c>
      <c r="C2830" t="s">
        <v>45763</v>
      </c>
      <c r="D2830">
        <v>1037022454355</v>
      </c>
      <c r="E2830">
        <v>1</v>
      </c>
      <c r="F2830">
        <v>6156788717</v>
      </c>
      <c r="G2830">
        <v>60000</v>
      </c>
      <c r="H2830" t="s">
        <v>40293</v>
      </c>
      <c r="I2830">
        <v>17317</v>
      </c>
      <c r="J2830">
        <v>167</v>
      </c>
      <c r="K2830">
        <v>167</v>
      </c>
    </row>
    <row r="2831" spans="1:11">
      <c r="A2831">
        <v>90</v>
      </c>
      <c r="B2831" t="b">
        <v>0</v>
      </c>
      <c r="C2831" t="s">
        <v>46381</v>
      </c>
      <c r="D2831">
        <v>1037022454355</v>
      </c>
      <c r="E2831">
        <v>1</v>
      </c>
      <c r="F2831">
        <v>6156482487</v>
      </c>
      <c r="G2831">
        <v>1250000</v>
      </c>
      <c r="H2831" t="s">
        <v>40293</v>
      </c>
      <c r="I2831">
        <v>17366</v>
      </c>
      <c r="J2831">
        <v>10</v>
      </c>
      <c r="K2831">
        <v>10</v>
      </c>
    </row>
    <row r="2832" spans="1:11">
      <c r="A2832">
        <v>90</v>
      </c>
      <c r="B2832" t="b">
        <v>0</v>
      </c>
      <c r="C2832" t="s">
        <v>46274</v>
      </c>
      <c r="D2832">
        <v>1037022454355</v>
      </c>
      <c r="E2832">
        <v>1</v>
      </c>
      <c r="F2832">
        <v>6156480903</v>
      </c>
      <c r="G2832">
        <v>7500000</v>
      </c>
      <c r="H2832" t="s">
        <v>40293</v>
      </c>
      <c r="I2832">
        <v>17368</v>
      </c>
      <c r="J2832">
        <v>36</v>
      </c>
      <c r="K2832">
        <v>40</v>
      </c>
    </row>
    <row r="2833" spans="1:11">
      <c r="A2833">
        <v>90</v>
      </c>
      <c r="B2833" t="b">
        <v>0</v>
      </c>
      <c r="C2833" t="s">
        <v>43418</v>
      </c>
      <c r="D2833">
        <v>1037022454355</v>
      </c>
      <c r="E2833">
        <v>1</v>
      </c>
      <c r="F2833">
        <v>6144178793</v>
      </c>
      <c r="G2833">
        <v>76000</v>
      </c>
      <c r="H2833" t="s">
        <v>40293</v>
      </c>
      <c r="I2833">
        <v>17392</v>
      </c>
      <c r="J2833">
        <v>421</v>
      </c>
      <c r="K2833">
        <v>421</v>
      </c>
    </row>
    <row r="2834" spans="1:11">
      <c r="A2834">
        <v>90</v>
      </c>
      <c r="B2834" t="b">
        <v>0</v>
      </c>
      <c r="C2834" t="s">
        <v>40351</v>
      </c>
      <c r="D2834">
        <v>1037022454355</v>
      </c>
      <c r="E2834">
        <v>1</v>
      </c>
      <c r="F2834">
        <v>6124602811</v>
      </c>
      <c r="G2834">
        <v>1600</v>
      </c>
      <c r="H2834" t="s">
        <v>40293</v>
      </c>
      <c r="I2834">
        <v>17425</v>
      </c>
      <c r="J2834">
        <v>250</v>
      </c>
      <c r="K2834">
        <v>400</v>
      </c>
    </row>
    <row r="2835" spans="1:11">
      <c r="A2835">
        <v>90</v>
      </c>
      <c r="B2835" t="b">
        <v>0</v>
      </c>
      <c r="C2835" t="s">
        <v>42090</v>
      </c>
      <c r="D2835">
        <v>1037022454355</v>
      </c>
      <c r="E2835">
        <v>1</v>
      </c>
      <c r="F2835">
        <v>6131034266</v>
      </c>
      <c r="G2835">
        <v>33740</v>
      </c>
      <c r="H2835" t="s">
        <v>40293</v>
      </c>
      <c r="I2835">
        <v>17426</v>
      </c>
      <c r="J2835">
        <v>90</v>
      </c>
      <c r="K2835">
        <v>90</v>
      </c>
    </row>
    <row r="2836" spans="1:11">
      <c r="A2836">
        <v>90</v>
      </c>
      <c r="B2836" t="b">
        <v>0</v>
      </c>
      <c r="C2836" t="s">
        <v>42057</v>
      </c>
      <c r="D2836">
        <v>1037022454355</v>
      </c>
      <c r="E2836">
        <v>1</v>
      </c>
      <c r="F2836">
        <v>6130003729</v>
      </c>
      <c r="G2836">
        <v>22010</v>
      </c>
      <c r="H2836" t="s">
        <v>40293</v>
      </c>
      <c r="I2836">
        <v>17428</v>
      </c>
      <c r="J2836">
        <v>180</v>
      </c>
      <c r="K2836">
        <v>180</v>
      </c>
    </row>
    <row r="2837" spans="1:11">
      <c r="A2837">
        <v>90</v>
      </c>
      <c r="B2837" t="b">
        <v>0</v>
      </c>
      <c r="C2837" t="s">
        <v>40369</v>
      </c>
      <c r="D2837">
        <v>1037022454355</v>
      </c>
      <c r="E2837">
        <v>1</v>
      </c>
      <c r="F2837">
        <v>6124603210</v>
      </c>
      <c r="G2837">
        <v>2000</v>
      </c>
      <c r="H2837" t="s">
        <v>40293</v>
      </c>
      <c r="I2837">
        <v>17428</v>
      </c>
      <c r="J2837">
        <v>658</v>
      </c>
      <c r="K2837">
        <v>750</v>
      </c>
    </row>
    <row r="2838" spans="1:11">
      <c r="A2838">
        <v>90</v>
      </c>
      <c r="B2838" t="b">
        <v>0</v>
      </c>
      <c r="C2838" t="s">
        <v>42057</v>
      </c>
      <c r="D2838">
        <v>1037022454355</v>
      </c>
      <c r="E2838">
        <v>1</v>
      </c>
      <c r="F2838">
        <v>6130003728</v>
      </c>
      <c r="G2838">
        <v>23020</v>
      </c>
      <c r="H2838" t="s">
        <v>40293</v>
      </c>
      <c r="I2838">
        <v>17429</v>
      </c>
      <c r="J2838">
        <v>13</v>
      </c>
      <c r="K2838">
        <v>132</v>
      </c>
    </row>
    <row r="2839" spans="1:11">
      <c r="A2839">
        <v>90</v>
      </c>
      <c r="B2839" t="b">
        <v>0</v>
      </c>
      <c r="C2839" t="s">
        <v>42090</v>
      </c>
      <c r="D2839">
        <v>1037022454355</v>
      </c>
      <c r="E2839">
        <v>1</v>
      </c>
      <c r="F2839">
        <v>6131034267</v>
      </c>
      <c r="G2839">
        <v>16810</v>
      </c>
      <c r="H2839" t="s">
        <v>40293</v>
      </c>
      <c r="I2839">
        <v>17433</v>
      </c>
      <c r="J2839">
        <v>54</v>
      </c>
      <c r="K2839">
        <v>54</v>
      </c>
    </row>
    <row r="2840" spans="1:11">
      <c r="A2840">
        <v>90</v>
      </c>
      <c r="B2840" t="b">
        <v>0</v>
      </c>
      <c r="C2840" t="s">
        <v>42178</v>
      </c>
      <c r="D2840">
        <v>1037022454355</v>
      </c>
      <c r="E2840">
        <v>1</v>
      </c>
      <c r="F2840">
        <v>6131034439</v>
      </c>
      <c r="G2840">
        <v>12650</v>
      </c>
      <c r="H2840" t="s">
        <v>40293</v>
      </c>
      <c r="I2840">
        <v>17467</v>
      </c>
      <c r="J2840">
        <v>14</v>
      </c>
      <c r="K2840">
        <v>14</v>
      </c>
    </row>
    <row r="2841" spans="1:11">
      <c r="A2841">
        <v>90</v>
      </c>
      <c r="B2841" t="b">
        <v>0</v>
      </c>
      <c r="C2841" t="s">
        <v>41930</v>
      </c>
      <c r="D2841">
        <v>1037022454355</v>
      </c>
      <c r="E2841">
        <v>1</v>
      </c>
      <c r="F2841">
        <v>6125967511</v>
      </c>
      <c r="G2841">
        <v>58150000</v>
      </c>
      <c r="H2841" t="s">
        <v>40293</v>
      </c>
      <c r="I2841">
        <v>17476</v>
      </c>
      <c r="J2841">
        <v>6</v>
      </c>
      <c r="K2841">
        <v>10</v>
      </c>
    </row>
    <row r="2842" spans="1:11">
      <c r="A2842">
        <v>90</v>
      </c>
      <c r="B2842" t="b">
        <v>0</v>
      </c>
      <c r="C2842" t="s">
        <v>42271</v>
      </c>
      <c r="D2842">
        <v>1037022454355</v>
      </c>
      <c r="E2842">
        <v>1</v>
      </c>
      <c r="F2842">
        <v>6130727709</v>
      </c>
      <c r="G2842">
        <v>56000000</v>
      </c>
      <c r="H2842" t="s">
        <v>40293</v>
      </c>
      <c r="I2842">
        <v>17476</v>
      </c>
      <c r="J2842">
        <v>1</v>
      </c>
      <c r="K2842">
        <v>1</v>
      </c>
    </row>
    <row r="2843" spans="1:11">
      <c r="A2843">
        <v>90</v>
      </c>
      <c r="B2843" t="b">
        <v>0</v>
      </c>
      <c r="C2843" t="s">
        <v>42793</v>
      </c>
      <c r="D2843">
        <v>1037022454355</v>
      </c>
      <c r="E2843">
        <v>1</v>
      </c>
      <c r="F2843">
        <v>6137409408</v>
      </c>
      <c r="G2843">
        <v>52000000</v>
      </c>
      <c r="H2843" t="s">
        <v>40293</v>
      </c>
      <c r="I2843">
        <v>17476</v>
      </c>
      <c r="J2843">
        <v>4</v>
      </c>
      <c r="K2843">
        <v>8</v>
      </c>
    </row>
    <row r="2844" spans="1:11">
      <c r="A2844">
        <v>90</v>
      </c>
      <c r="B2844" t="b">
        <v>0</v>
      </c>
      <c r="C2844" t="s">
        <v>45941</v>
      </c>
      <c r="D2844">
        <v>1037022454355</v>
      </c>
      <c r="E2844">
        <v>1</v>
      </c>
      <c r="F2844">
        <v>6150643565</v>
      </c>
      <c r="G2844">
        <v>65960000</v>
      </c>
      <c r="H2844" t="s">
        <v>40293</v>
      </c>
      <c r="I2844">
        <v>17478</v>
      </c>
      <c r="J2844">
        <v>2</v>
      </c>
      <c r="K2844">
        <v>2</v>
      </c>
    </row>
    <row r="2845" spans="1:11">
      <c r="A2845">
        <v>90</v>
      </c>
      <c r="B2845" t="b">
        <v>0</v>
      </c>
      <c r="C2845" t="s">
        <v>45679</v>
      </c>
      <c r="D2845">
        <v>1037022454355</v>
      </c>
      <c r="E2845">
        <v>1</v>
      </c>
      <c r="F2845">
        <v>6146642964</v>
      </c>
      <c r="G2845">
        <v>65900000</v>
      </c>
      <c r="H2845" t="s">
        <v>40293</v>
      </c>
      <c r="I2845">
        <v>17478</v>
      </c>
      <c r="J2845">
        <v>10</v>
      </c>
      <c r="K2845">
        <v>10</v>
      </c>
    </row>
    <row r="2846" spans="1:11">
      <c r="A2846">
        <v>30</v>
      </c>
      <c r="B2846" t="b">
        <v>0</v>
      </c>
      <c r="C2846" t="s">
        <v>44323</v>
      </c>
      <c r="D2846">
        <v>1037022454355</v>
      </c>
      <c r="E2846">
        <v>1</v>
      </c>
      <c r="F2846">
        <v>6150033326</v>
      </c>
      <c r="G2846">
        <v>65890000</v>
      </c>
      <c r="H2846" t="s">
        <v>40293</v>
      </c>
      <c r="I2846">
        <v>17478</v>
      </c>
      <c r="J2846">
        <v>4</v>
      </c>
      <c r="K2846">
        <v>13</v>
      </c>
    </row>
    <row r="2847" spans="1:11">
      <c r="A2847">
        <v>7</v>
      </c>
      <c r="B2847" t="b">
        <v>0</v>
      </c>
      <c r="C2847" t="s">
        <v>45034</v>
      </c>
      <c r="D2847">
        <v>1037022454355</v>
      </c>
      <c r="E2847">
        <v>1</v>
      </c>
      <c r="F2847">
        <v>6155077181</v>
      </c>
      <c r="G2847">
        <v>59990000</v>
      </c>
      <c r="H2847" t="s">
        <v>40293</v>
      </c>
      <c r="I2847">
        <v>17478</v>
      </c>
      <c r="J2847">
        <v>1</v>
      </c>
      <c r="K2847">
        <v>2</v>
      </c>
    </row>
    <row r="2848" spans="1:11">
      <c r="A2848">
        <v>90</v>
      </c>
      <c r="B2848" t="b">
        <v>0</v>
      </c>
      <c r="C2848" t="s">
        <v>41304</v>
      </c>
      <c r="D2848">
        <v>1037022454355</v>
      </c>
      <c r="E2848">
        <v>1</v>
      </c>
      <c r="F2848">
        <v>6109091156</v>
      </c>
      <c r="G2848">
        <v>45000000</v>
      </c>
      <c r="H2848" t="s">
        <v>40293</v>
      </c>
      <c r="I2848">
        <v>17480</v>
      </c>
      <c r="J2848">
        <v>6</v>
      </c>
      <c r="K2848">
        <v>10</v>
      </c>
    </row>
    <row r="2849" spans="1:11">
      <c r="A2849">
        <v>90</v>
      </c>
      <c r="B2849" t="b">
        <v>0</v>
      </c>
      <c r="C2849" t="s">
        <v>40402</v>
      </c>
      <c r="D2849">
        <v>1037022454355</v>
      </c>
      <c r="E2849">
        <v>1</v>
      </c>
      <c r="F2849">
        <v>6111005309</v>
      </c>
      <c r="G2849">
        <v>44160000</v>
      </c>
      <c r="H2849" t="s">
        <v>40293</v>
      </c>
      <c r="I2849">
        <v>17480</v>
      </c>
      <c r="J2849">
        <v>1</v>
      </c>
      <c r="K2849">
        <v>4</v>
      </c>
    </row>
    <row r="2850" spans="1:11">
      <c r="A2850">
        <v>90</v>
      </c>
      <c r="B2850" t="b">
        <v>0</v>
      </c>
      <c r="C2850" t="s">
        <v>41414</v>
      </c>
      <c r="D2850">
        <v>1037022454355</v>
      </c>
      <c r="E2850">
        <v>1</v>
      </c>
      <c r="F2850">
        <v>6108667629</v>
      </c>
      <c r="G2850">
        <v>42580000</v>
      </c>
      <c r="H2850" t="s">
        <v>40293</v>
      </c>
      <c r="I2850">
        <v>17480</v>
      </c>
      <c r="J2850">
        <v>17</v>
      </c>
      <c r="K2850">
        <v>19</v>
      </c>
    </row>
    <row r="2851" spans="1:11">
      <c r="A2851">
        <v>90</v>
      </c>
      <c r="B2851" t="b">
        <v>0</v>
      </c>
      <c r="C2851" t="s">
        <v>42214</v>
      </c>
      <c r="D2851">
        <v>1037022454355</v>
      </c>
      <c r="E2851">
        <v>1</v>
      </c>
      <c r="F2851">
        <v>6132000873</v>
      </c>
      <c r="G2851">
        <v>42500000</v>
      </c>
      <c r="H2851" t="s">
        <v>40293</v>
      </c>
      <c r="I2851">
        <v>17480</v>
      </c>
      <c r="J2851">
        <v>1</v>
      </c>
      <c r="K2851">
        <v>20</v>
      </c>
    </row>
    <row r="2852" spans="1:11">
      <c r="A2852">
        <v>90</v>
      </c>
      <c r="B2852" t="b">
        <v>0</v>
      </c>
      <c r="C2852" t="s">
        <v>44397</v>
      </c>
      <c r="D2852">
        <v>1037022454355</v>
      </c>
      <c r="E2852">
        <v>1</v>
      </c>
      <c r="F2852">
        <v>6152655734</v>
      </c>
      <c r="G2852">
        <v>42000000</v>
      </c>
      <c r="H2852" t="s">
        <v>40293</v>
      </c>
      <c r="I2852">
        <v>17480</v>
      </c>
      <c r="J2852">
        <v>1</v>
      </c>
      <c r="K2852">
        <v>2</v>
      </c>
    </row>
    <row r="2853" spans="1:11">
      <c r="A2853">
        <v>30</v>
      </c>
      <c r="B2853" t="b">
        <v>0</v>
      </c>
      <c r="C2853" t="s">
        <v>45208</v>
      </c>
      <c r="D2853">
        <v>1037022454355</v>
      </c>
      <c r="E2853">
        <v>1</v>
      </c>
      <c r="F2853">
        <v>6154297203</v>
      </c>
      <c r="G2853">
        <v>41500000</v>
      </c>
      <c r="H2853" t="s">
        <v>40293</v>
      </c>
      <c r="I2853">
        <v>17480</v>
      </c>
      <c r="J2853">
        <v>2</v>
      </c>
      <c r="K2853">
        <v>3</v>
      </c>
    </row>
    <row r="2854" spans="1:11">
      <c r="A2854">
        <v>90</v>
      </c>
      <c r="B2854" t="b">
        <v>0</v>
      </c>
      <c r="C2854" t="s">
        <v>41222</v>
      </c>
      <c r="D2854">
        <v>1037022454355</v>
      </c>
      <c r="E2854">
        <v>1</v>
      </c>
      <c r="F2854">
        <v>6098767992</v>
      </c>
      <c r="G2854">
        <v>3377000</v>
      </c>
      <c r="H2854" t="s">
        <v>40293</v>
      </c>
      <c r="I2854">
        <v>17482</v>
      </c>
      <c r="J2854">
        <v>10</v>
      </c>
      <c r="K2854">
        <v>22</v>
      </c>
    </row>
    <row r="2855" spans="1:11">
      <c r="A2855">
        <v>90</v>
      </c>
      <c r="B2855" t="b">
        <v>0</v>
      </c>
      <c r="C2855" t="s">
        <v>40511</v>
      </c>
      <c r="D2855">
        <v>1037022454355</v>
      </c>
      <c r="E2855">
        <v>1</v>
      </c>
      <c r="F2855">
        <v>6119691286</v>
      </c>
      <c r="G2855">
        <v>3297000</v>
      </c>
      <c r="H2855" t="s">
        <v>40293</v>
      </c>
      <c r="I2855">
        <v>17482</v>
      </c>
      <c r="J2855">
        <v>4</v>
      </c>
      <c r="K2855">
        <v>4</v>
      </c>
    </row>
    <row r="2856" spans="1:11">
      <c r="A2856">
        <v>90</v>
      </c>
      <c r="B2856" t="b">
        <v>0</v>
      </c>
      <c r="C2856" t="s">
        <v>42272</v>
      </c>
      <c r="D2856">
        <v>1037022454355</v>
      </c>
      <c r="E2856">
        <v>1</v>
      </c>
      <c r="F2856">
        <v>6129417157</v>
      </c>
      <c r="G2856">
        <v>3293000</v>
      </c>
      <c r="H2856" t="s">
        <v>40293</v>
      </c>
      <c r="I2856">
        <v>17482</v>
      </c>
      <c r="J2856">
        <v>38</v>
      </c>
      <c r="K2856">
        <v>40</v>
      </c>
    </row>
    <row r="2857" spans="1:11">
      <c r="A2857">
        <v>90</v>
      </c>
      <c r="B2857" t="b">
        <v>0</v>
      </c>
      <c r="C2857" t="s">
        <v>42777</v>
      </c>
      <c r="D2857">
        <v>1037022454355</v>
      </c>
      <c r="E2857">
        <v>1</v>
      </c>
      <c r="F2857">
        <v>6132591594</v>
      </c>
      <c r="G2857">
        <v>3291000</v>
      </c>
      <c r="H2857" t="s">
        <v>40293</v>
      </c>
      <c r="I2857">
        <v>17482</v>
      </c>
      <c r="J2857">
        <v>6</v>
      </c>
      <c r="K2857">
        <v>6</v>
      </c>
    </row>
    <row r="2858" spans="1:11">
      <c r="A2858">
        <v>30</v>
      </c>
      <c r="B2858" t="b">
        <v>0</v>
      </c>
      <c r="C2858" t="s">
        <v>43649</v>
      </c>
      <c r="D2858">
        <v>1037022454355</v>
      </c>
      <c r="E2858">
        <v>1</v>
      </c>
      <c r="F2858">
        <v>6138484689</v>
      </c>
      <c r="G2858">
        <v>3202000</v>
      </c>
      <c r="H2858" t="s">
        <v>40293</v>
      </c>
      <c r="I2858">
        <v>17482</v>
      </c>
      <c r="J2858">
        <v>6</v>
      </c>
      <c r="K2858">
        <v>6</v>
      </c>
    </row>
    <row r="2859" spans="1:11">
      <c r="A2859">
        <v>90</v>
      </c>
      <c r="B2859" t="b">
        <v>0</v>
      </c>
      <c r="C2859" t="s">
        <v>42305</v>
      </c>
      <c r="D2859">
        <v>1037022454355</v>
      </c>
      <c r="E2859">
        <v>1</v>
      </c>
      <c r="F2859">
        <v>6132958153</v>
      </c>
      <c r="G2859">
        <v>3200000</v>
      </c>
      <c r="H2859" t="s">
        <v>40293</v>
      </c>
      <c r="I2859">
        <v>17482</v>
      </c>
      <c r="J2859">
        <v>6</v>
      </c>
      <c r="K2859">
        <v>15</v>
      </c>
    </row>
    <row r="2860" spans="1:11">
      <c r="A2860">
        <v>90</v>
      </c>
      <c r="B2860" t="b">
        <v>0</v>
      </c>
      <c r="C2860" t="s">
        <v>44926</v>
      </c>
      <c r="D2860">
        <v>1037022454355</v>
      </c>
      <c r="E2860">
        <v>1</v>
      </c>
      <c r="F2860">
        <v>6147780224</v>
      </c>
      <c r="G2860">
        <v>3199000</v>
      </c>
      <c r="H2860" t="s">
        <v>40293</v>
      </c>
      <c r="I2860">
        <v>17482</v>
      </c>
      <c r="J2860">
        <v>5</v>
      </c>
      <c r="K2860">
        <v>80</v>
      </c>
    </row>
    <row r="2861" spans="1:11">
      <c r="A2861">
        <v>90</v>
      </c>
      <c r="B2861" t="b">
        <v>0</v>
      </c>
      <c r="C2861" t="s">
        <v>40759</v>
      </c>
      <c r="D2861">
        <v>1037022454355</v>
      </c>
      <c r="E2861">
        <v>1</v>
      </c>
      <c r="F2861">
        <v>6116580401</v>
      </c>
      <c r="G2861">
        <v>6500000</v>
      </c>
      <c r="H2861" t="s">
        <v>40293</v>
      </c>
      <c r="I2861">
        <v>17496</v>
      </c>
      <c r="J2861">
        <v>1</v>
      </c>
      <c r="K2861">
        <v>1</v>
      </c>
    </row>
    <row r="2862" spans="1:11">
      <c r="A2862">
        <v>90</v>
      </c>
      <c r="B2862" t="b">
        <v>0</v>
      </c>
      <c r="C2862" t="s">
        <v>44129</v>
      </c>
      <c r="D2862">
        <v>1037022454355</v>
      </c>
      <c r="E2862">
        <v>1</v>
      </c>
      <c r="F2862">
        <v>6156125356</v>
      </c>
      <c r="G2862">
        <v>73310000</v>
      </c>
      <c r="H2862" t="s">
        <v>40293</v>
      </c>
      <c r="I2862">
        <v>17500</v>
      </c>
      <c r="J2862">
        <v>5</v>
      </c>
      <c r="K2862">
        <v>5</v>
      </c>
    </row>
    <row r="2863" spans="1:11">
      <c r="A2863">
        <v>90</v>
      </c>
      <c r="B2863" t="b">
        <v>0</v>
      </c>
      <c r="C2863" t="s">
        <v>43162</v>
      </c>
      <c r="D2863">
        <v>1037022454355</v>
      </c>
      <c r="E2863">
        <v>1</v>
      </c>
      <c r="F2863">
        <v>6140108712</v>
      </c>
      <c r="G2863">
        <v>36000000</v>
      </c>
      <c r="H2863" t="s">
        <v>40293</v>
      </c>
      <c r="I2863">
        <v>17526</v>
      </c>
      <c r="J2863">
        <v>14</v>
      </c>
      <c r="K2863">
        <v>14</v>
      </c>
    </row>
    <row r="2864" spans="1:11">
      <c r="A2864">
        <v>90</v>
      </c>
      <c r="B2864" t="b">
        <v>0</v>
      </c>
      <c r="C2864" t="s">
        <v>40401</v>
      </c>
      <c r="D2864">
        <v>1037022454355</v>
      </c>
      <c r="E2864">
        <v>1</v>
      </c>
      <c r="F2864">
        <v>6116580671</v>
      </c>
      <c r="G2864">
        <v>5000000</v>
      </c>
      <c r="H2864" t="s">
        <v>40293</v>
      </c>
      <c r="I2864">
        <v>17557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45958</v>
      </c>
      <c r="D2865">
        <v>1037022454355</v>
      </c>
      <c r="E2865">
        <v>1</v>
      </c>
      <c r="F2865">
        <v>6156640290</v>
      </c>
      <c r="G2865">
        <v>78580000</v>
      </c>
      <c r="H2865" t="s">
        <v>40293</v>
      </c>
      <c r="I2865">
        <v>17559</v>
      </c>
      <c r="J2865">
        <v>11</v>
      </c>
      <c r="K2865">
        <v>11</v>
      </c>
    </row>
    <row r="2866" spans="1:11">
      <c r="A2866">
        <v>90</v>
      </c>
      <c r="B2866" t="b">
        <v>0</v>
      </c>
      <c r="C2866" t="s">
        <v>43286</v>
      </c>
      <c r="D2866">
        <v>1037022454355</v>
      </c>
      <c r="E2866">
        <v>1</v>
      </c>
      <c r="F2866">
        <v>6140636390</v>
      </c>
      <c r="G2866">
        <v>110000000</v>
      </c>
      <c r="H2866" t="s">
        <v>40293</v>
      </c>
      <c r="I2866">
        <v>17634</v>
      </c>
      <c r="J2866">
        <v>1</v>
      </c>
      <c r="K2866">
        <v>1</v>
      </c>
    </row>
    <row r="2867" spans="1:11">
      <c r="A2867">
        <v>90</v>
      </c>
      <c r="B2867" t="b">
        <v>0</v>
      </c>
      <c r="C2867" t="s">
        <v>42590</v>
      </c>
      <c r="D2867">
        <v>1037022454355</v>
      </c>
      <c r="E2867">
        <v>1</v>
      </c>
      <c r="F2867">
        <v>6136218994</v>
      </c>
      <c r="G2867">
        <v>310</v>
      </c>
      <c r="H2867" t="s">
        <v>40293</v>
      </c>
      <c r="I2867">
        <v>17652</v>
      </c>
      <c r="J2867">
        <v>19961</v>
      </c>
      <c r="K2867">
        <v>19961</v>
      </c>
    </row>
    <row r="2868" spans="1:11">
      <c r="A2868">
        <v>90</v>
      </c>
      <c r="B2868" t="b">
        <v>0</v>
      </c>
      <c r="C2868" t="s">
        <v>44535</v>
      </c>
      <c r="D2868">
        <v>1037022454355</v>
      </c>
      <c r="E2868">
        <v>1</v>
      </c>
      <c r="F2868">
        <v>6154689357</v>
      </c>
      <c r="G2868">
        <v>95000000</v>
      </c>
      <c r="H2868" t="s">
        <v>40293</v>
      </c>
      <c r="I2868">
        <v>17713</v>
      </c>
      <c r="J2868">
        <v>2</v>
      </c>
      <c r="K2868">
        <v>2</v>
      </c>
    </row>
    <row r="2869" spans="1:11">
      <c r="A2869">
        <v>90</v>
      </c>
      <c r="B2869" t="b">
        <v>0</v>
      </c>
      <c r="C2869" t="s">
        <v>40360</v>
      </c>
      <c r="D2869">
        <v>1037022454355</v>
      </c>
      <c r="E2869">
        <v>1</v>
      </c>
      <c r="F2869">
        <v>6116738663</v>
      </c>
      <c r="G2869">
        <v>431500000</v>
      </c>
      <c r="H2869" t="s">
        <v>40293</v>
      </c>
      <c r="I2869">
        <v>17715</v>
      </c>
      <c r="J2869">
        <v>5</v>
      </c>
      <c r="K2869">
        <v>6</v>
      </c>
    </row>
    <row r="2870" spans="1:11">
      <c r="A2870">
        <v>90</v>
      </c>
      <c r="B2870" t="b">
        <v>0</v>
      </c>
      <c r="C2870" t="s">
        <v>46107</v>
      </c>
      <c r="D2870">
        <v>1037022454355</v>
      </c>
      <c r="E2870">
        <v>1</v>
      </c>
      <c r="F2870">
        <v>6155495599</v>
      </c>
      <c r="G2870">
        <v>431400000</v>
      </c>
      <c r="H2870" t="s">
        <v>40293</v>
      </c>
      <c r="I2870">
        <v>17715</v>
      </c>
      <c r="J2870">
        <v>1</v>
      </c>
      <c r="K2870">
        <v>2</v>
      </c>
    </row>
    <row r="2871" spans="1:11">
      <c r="A2871">
        <v>90</v>
      </c>
      <c r="B2871" t="b">
        <v>0</v>
      </c>
      <c r="C2871" t="s">
        <v>41652</v>
      </c>
      <c r="D2871">
        <v>1037022454355</v>
      </c>
      <c r="E2871">
        <v>1</v>
      </c>
      <c r="F2871">
        <v>6116570606</v>
      </c>
      <c r="G2871">
        <v>505000000</v>
      </c>
      <c r="H2871" t="s">
        <v>40293</v>
      </c>
      <c r="I2871">
        <v>17718</v>
      </c>
      <c r="J2871">
        <v>5</v>
      </c>
      <c r="K2871">
        <v>5</v>
      </c>
    </row>
    <row r="2872" spans="1:11">
      <c r="A2872">
        <v>90</v>
      </c>
      <c r="B2872" t="b">
        <v>0</v>
      </c>
      <c r="C2872" t="s">
        <v>42523</v>
      </c>
      <c r="D2872">
        <v>1037022454355</v>
      </c>
      <c r="E2872">
        <v>1</v>
      </c>
      <c r="F2872">
        <v>6134380805</v>
      </c>
      <c r="G2872">
        <v>449500000</v>
      </c>
      <c r="H2872" t="s">
        <v>40293</v>
      </c>
      <c r="I2872">
        <v>17718</v>
      </c>
      <c r="J2872">
        <v>1</v>
      </c>
      <c r="K2872">
        <v>2</v>
      </c>
    </row>
    <row r="2873" spans="1:11">
      <c r="A2873">
        <v>90</v>
      </c>
      <c r="B2873" t="b">
        <v>0</v>
      </c>
      <c r="C2873" t="s">
        <v>43718</v>
      </c>
      <c r="D2873">
        <v>1037022454355</v>
      </c>
      <c r="E2873">
        <v>1</v>
      </c>
      <c r="F2873">
        <v>6140944869</v>
      </c>
      <c r="G2873">
        <v>449400000</v>
      </c>
      <c r="H2873" t="s">
        <v>40293</v>
      </c>
      <c r="I2873">
        <v>17718</v>
      </c>
      <c r="J2873">
        <v>1</v>
      </c>
      <c r="K2873">
        <v>1</v>
      </c>
    </row>
    <row r="2874" spans="1:11">
      <c r="A2874">
        <v>90</v>
      </c>
      <c r="B2874" t="b">
        <v>0</v>
      </c>
      <c r="C2874" t="s">
        <v>44329</v>
      </c>
      <c r="D2874">
        <v>1037022454355</v>
      </c>
      <c r="E2874">
        <v>1</v>
      </c>
      <c r="F2874">
        <v>6153388713</v>
      </c>
      <c r="G2874">
        <v>429000000</v>
      </c>
      <c r="H2874" t="s">
        <v>40293</v>
      </c>
      <c r="I2874">
        <v>17718</v>
      </c>
      <c r="J2874">
        <v>1</v>
      </c>
      <c r="K2874">
        <v>1</v>
      </c>
    </row>
    <row r="2875" spans="1:11">
      <c r="A2875">
        <v>14</v>
      </c>
      <c r="B2875" t="b">
        <v>0</v>
      </c>
      <c r="C2875" t="s">
        <v>44089</v>
      </c>
      <c r="D2875">
        <v>1037022454355</v>
      </c>
      <c r="E2875">
        <v>1</v>
      </c>
      <c r="F2875">
        <v>6144557706</v>
      </c>
      <c r="G2875">
        <v>428900000</v>
      </c>
      <c r="H2875" t="s">
        <v>40293</v>
      </c>
      <c r="I2875">
        <v>17718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45285</v>
      </c>
      <c r="D2876">
        <v>1037022454355</v>
      </c>
      <c r="E2876">
        <v>1</v>
      </c>
      <c r="F2876">
        <v>6153388329</v>
      </c>
      <c r="G2876">
        <v>300100000</v>
      </c>
      <c r="H2876" t="s">
        <v>40293</v>
      </c>
      <c r="I2876">
        <v>17720</v>
      </c>
      <c r="J2876">
        <v>1</v>
      </c>
      <c r="K2876">
        <v>1</v>
      </c>
    </row>
    <row r="2877" spans="1:11">
      <c r="A2877">
        <v>90</v>
      </c>
      <c r="B2877" t="b">
        <v>0</v>
      </c>
      <c r="C2877" t="s">
        <v>45716</v>
      </c>
      <c r="D2877">
        <v>1037022454355</v>
      </c>
      <c r="E2877">
        <v>1</v>
      </c>
      <c r="F2877">
        <v>6155818444</v>
      </c>
      <c r="G2877">
        <v>300000000</v>
      </c>
      <c r="H2877" t="s">
        <v>40293</v>
      </c>
      <c r="I2877">
        <v>17720</v>
      </c>
      <c r="J2877">
        <v>1</v>
      </c>
      <c r="K2877">
        <v>1</v>
      </c>
    </row>
    <row r="2878" spans="1:11">
      <c r="A2878">
        <v>90</v>
      </c>
      <c r="B2878" t="b">
        <v>0</v>
      </c>
      <c r="C2878" t="s">
        <v>41563</v>
      </c>
      <c r="D2878">
        <v>1037022454355</v>
      </c>
      <c r="E2878">
        <v>1</v>
      </c>
      <c r="F2878">
        <v>6099398138</v>
      </c>
      <c r="G2878">
        <v>600000000</v>
      </c>
      <c r="H2878" t="s">
        <v>40293</v>
      </c>
      <c r="I2878">
        <v>17732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41739</v>
      </c>
      <c r="D2879">
        <v>1037022454355</v>
      </c>
      <c r="E2879">
        <v>1</v>
      </c>
      <c r="F2879">
        <v>6123879859</v>
      </c>
      <c r="G2879">
        <v>550000000</v>
      </c>
      <c r="H2879" t="s">
        <v>40293</v>
      </c>
      <c r="I2879">
        <v>17732</v>
      </c>
      <c r="J2879">
        <v>1</v>
      </c>
      <c r="K2879">
        <v>1</v>
      </c>
    </row>
    <row r="2880" spans="1:11">
      <c r="A2880">
        <v>90</v>
      </c>
      <c r="B2880" t="b">
        <v>0</v>
      </c>
      <c r="C2880" t="s">
        <v>41835</v>
      </c>
      <c r="D2880">
        <v>1037022454355</v>
      </c>
      <c r="E2880">
        <v>1</v>
      </c>
      <c r="F2880">
        <v>6127591785</v>
      </c>
      <c r="G2880">
        <v>500000000</v>
      </c>
      <c r="H2880" t="s">
        <v>40293</v>
      </c>
      <c r="I2880">
        <v>17732</v>
      </c>
      <c r="J2880">
        <v>1</v>
      </c>
      <c r="K2880">
        <v>1</v>
      </c>
    </row>
    <row r="2881" spans="1:11">
      <c r="A2881">
        <v>90</v>
      </c>
      <c r="B2881" t="b">
        <v>0</v>
      </c>
      <c r="C2881" t="s">
        <v>45199</v>
      </c>
      <c r="D2881">
        <v>1037022454355</v>
      </c>
      <c r="E2881">
        <v>1</v>
      </c>
      <c r="F2881">
        <v>6153386957</v>
      </c>
      <c r="G2881">
        <v>1300000000</v>
      </c>
      <c r="H2881" t="s">
        <v>40293</v>
      </c>
      <c r="I2881">
        <v>17736</v>
      </c>
      <c r="J2881">
        <v>2</v>
      </c>
      <c r="K2881">
        <v>2</v>
      </c>
    </row>
    <row r="2882" spans="1:11">
      <c r="A2882">
        <v>90</v>
      </c>
      <c r="B2882" t="b">
        <v>0</v>
      </c>
      <c r="C2882" t="s">
        <v>41512</v>
      </c>
      <c r="D2882">
        <v>1037022454355</v>
      </c>
      <c r="E2882">
        <v>1</v>
      </c>
      <c r="F2882">
        <v>6067775738</v>
      </c>
      <c r="G2882">
        <v>700000000</v>
      </c>
      <c r="H2882" t="s">
        <v>40293</v>
      </c>
      <c r="I2882">
        <v>17738</v>
      </c>
      <c r="J2882">
        <v>1</v>
      </c>
      <c r="K2882">
        <v>1</v>
      </c>
    </row>
    <row r="2883" spans="1:11">
      <c r="A2883">
        <v>90</v>
      </c>
      <c r="B2883" t="b">
        <v>0</v>
      </c>
      <c r="C2883" t="s">
        <v>45140</v>
      </c>
      <c r="D2883">
        <v>1037022454355</v>
      </c>
      <c r="E2883">
        <v>1</v>
      </c>
      <c r="F2883">
        <v>6153386238</v>
      </c>
      <c r="G2883">
        <v>699000000</v>
      </c>
      <c r="H2883" t="s">
        <v>40293</v>
      </c>
      <c r="I2883">
        <v>17738</v>
      </c>
      <c r="J2883">
        <v>1</v>
      </c>
      <c r="K2883">
        <v>1</v>
      </c>
    </row>
    <row r="2884" spans="1:11">
      <c r="A2884">
        <v>90</v>
      </c>
      <c r="B2884" t="b">
        <v>0</v>
      </c>
      <c r="C2884" t="s">
        <v>45287</v>
      </c>
      <c r="D2884">
        <v>1037022454355</v>
      </c>
      <c r="E2884">
        <v>1</v>
      </c>
      <c r="F2884">
        <v>6119951071</v>
      </c>
      <c r="G2884">
        <v>999700</v>
      </c>
      <c r="H2884" t="s">
        <v>40293</v>
      </c>
      <c r="I2884">
        <v>17765</v>
      </c>
      <c r="J2884">
        <v>88</v>
      </c>
      <c r="K2884">
        <v>100</v>
      </c>
    </row>
    <row r="2885" spans="1:11">
      <c r="A2885">
        <v>90</v>
      </c>
      <c r="B2885" t="b">
        <v>0</v>
      </c>
      <c r="C2885" t="s">
        <v>46141</v>
      </c>
      <c r="D2885">
        <v>1037022454355</v>
      </c>
      <c r="E2885">
        <v>1</v>
      </c>
      <c r="F2885">
        <v>6082095715</v>
      </c>
      <c r="G2885">
        <v>999600</v>
      </c>
      <c r="H2885" t="s">
        <v>40293</v>
      </c>
      <c r="I2885">
        <v>17765</v>
      </c>
      <c r="J2885">
        <v>198</v>
      </c>
      <c r="K2885">
        <v>250</v>
      </c>
    </row>
    <row r="2886" spans="1:11">
      <c r="A2886">
        <v>90</v>
      </c>
      <c r="B2886" t="b">
        <v>0</v>
      </c>
      <c r="C2886" t="s">
        <v>46565</v>
      </c>
      <c r="D2886">
        <v>1037022454355</v>
      </c>
      <c r="E2886">
        <v>1</v>
      </c>
      <c r="F2886">
        <v>6147801025</v>
      </c>
      <c r="G2886">
        <v>2000000</v>
      </c>
      <c r="H2886" t="s">
        <v>40293</v>
      </c>
      <c r="I2886">
        <v>17772</v>
      </c>
      <c r="J2886">
        <v>4</v>
      </c>
      <c r="K2886">
        <v>4</v>
      </c>
    </row>
    <row r="2887" spans="1:11">
      <c r="A2887">
        <v>90</v>
      </c>
      <c r="B2887" t="b">
        <v>0</v>
      </c>
      <c r="C2887" t="s">
        <v>41858</v>
      </c>
      <c r="D2887">
        <v>1037022454355</v>
      </c>
      <c r="E2887">
        <v>1</v>
      </c>
      <c r="F2887">
        <v>6127464741</v>
      </c>
      <c r="G2887">
        <v>108000000</v>
      </c>
      <c r="H2887" t="s">
        <v>40293</v>
      </c>
      <c r="I2887">
        <v>17843</v>
      </c>
      <c r="J2887">
        <v>1</v>
      </c>
      <c r="K2887">
        <v>1</v>
      </c>
    </row>
    <row r="2888" spans="1:11">
      <c r="A2888">
        <v>90</v>
      </c>
      <c r="B2888" t="b">
        <v>0</v>
      </c>
      <c r="C2888" t="s">
        <v>42576</v>
      </c>
      <c r="D2888">
        <v>1037022454355</v>
      </c>
      <c r="E2888">
        <v>1</v>
      </c>
      <c r="F2888">
        <v>6134186764</v>
      </c>
      <c r="G2888">
        <v>103400000</v>
      </c>
      <c r="H2888" t="s">
        <v>40293</v>
      </c>
      <c r="I2888">
        <v>17843</v>
      </c>
      <c r="J2888">
        <v>1</v>
      </c>
      <c r="K2888">
        <v>1</v>
      </c>
    </row>
    <row r="2889" spans="1:11">
      <c r="A2889">
        <v>90</v>
      </c>
      <c r="B2889" t="b">
        <v>0</v>
      </c>
      <c r="C2889" t="s">
        <v>43576</v>
      </c>
      <c r="D2889">
        <v>1037022454355</v>
      </c>
      <c r="E2889">
        <v>1</v>
      </c>
      <c r="F2889">
        <v>6112366090</v>
      </c>
      <c r="G2889">
        <v>103200000</v>
      </c>
      <c r="H2889" t="s">
        <v>40293</v>
      </c>
      <c r="I2889">
        <v>17843</v>
      </c>
      <c r="J2889">
        <v>2</v>
      </c>
      <c r="K2889">
        <v>3</v>
      </c>
    </row>
    <row r="2890" spans="1:11">
      <c r="A2890">
        <v>90</v>
      </c>
      <c r="B2890" t="b">
        <v>0</v>
      </c>
      <c r="C2890" t="s">
        <v>43797</v>
      </c>
      <c r="D2890">
        <v>1037022454355</v>
      </c>
      <c r="E2890">
        <v>1</v>
      </c>
      <c r="F2890">
        <v>6143470470</v>
      </c>
      <c r="G2890">
        <v>103100000</v>
      </c>
      <c r="H2890" t="s">
        <v>40293</v>
      </c>
      <c r="I2890">
        <v>17843</v>
      </c>
      <c r="J2890">
        <v>1</v>
      </c>
      <c r="K2890">
        <v>2</v>
      </c>
    </row>
    <row r="2891" spans="1:11">
      <c r="A2891">
        <v>90</v>
      </c>
      <c r="B2891" t="b">
        <v>0</v>
      </c>
      <c r="C2891" t="s">
        <v>44327</v>
      </c>
      <c r="D2891">
        <v>1037022454355</v>
      </c>
      <c r="E2891">
        <v>1</v>
      </c>
      <c r="F2891">
        <v>6153899989</v>
      </c>
      <c r="G2891">
        <v>99000000</v>
      </c>
      <c r="H2891" t="s">
        <v>40293</v>
      </c>
      <c r="I2891">
        <v>17843</v>
      </c>
      <c r="J2891">
        <v>1</v>
      </c>
      <c r="K2891">
        <v>1</v>
      </c>
    </row>
    <row r="2892" spans="1:11">
      <c r="A2892">
        <v>90</v>
      </c>
      <c r="B2892" t="b">
        <v>0</v>
      </c>
      <c r="C2892" t="s">
        <v>42090</v>
      </c>
      <c r="D2892">
        <v>1037022454355</v>
      </c>
      <c r="E2892">
        <v>1</v>
      </c>
      <c r="F2892">
        <v>6131034268</v>
      </c>
      <c r="G2892">
        <v>4396</v>
      </c>
      <c r="H2892" t="s">
        <v>40293</v>
      </c>
      <c r="I2892">
        <v>17866</v>
      </c>
      <c r="J2892">
        <v>68</v>
      </c>
      <c r="K2892">
        <v>68</v>
      </c>
    </row>
    <row r="2893" spans="1:11">
      <c r="A2893">
        <v>90</v>
      </c>
      <c r="B2893" t="b">
        <v>0</v>
      </c>
      <c r="C2893" t="s">
        <v>42090</v>
      </c>
      <c r="D2893">
        <v>1037022454355</v>
      </c>
      <c r="E2893">
        <v>1</v>
      </c>
      <c r="F2893">
        <v>6131034269</v>
      </c>
      <c r="G2893">
        <v>191100</v>
      </c>
      <c r="H2893" t="s">
        <v>40293</v>
      </c>
      <c r="I2893">
        <v>17870</v>
      </c>
      <c r="J2893">
        <v>4</v>
      </c>
      <c r="K2893">
        <v>13</v>
      </c>
    </row>
    <row r="2894" spans="1:11">
      <c r="A2894">
        <v>90</v>
      </c>
      <c r="B2894" t="b">
        <v>0</v>
      </c>
      <c r="C2894" t="s">
        <v>43695</v>
      </c>
      <c r="D2894">
        <v>1037022454355</v>
      </c>
      <c r="E2894">
        <v>1</v>
      </c>
      <c r="F2894">
        <v>6146711357</v>
      </c>
      <c r="G2894">
        <v>1450</v>
      </c>
      <c r="H2894" t="s">
        <v>40293</v>
      </c>
      <c r="I2894">
        <v>17887</v>
      </c>
      <c r="J2894">
        <v>200000</v>
      </c>
      <c r="K2894">
        <v>200000</v>
      </c>
    </row>
    <row r="2895" spans="1:11">
      <c r="A2895">
        <v>90</v>
      </c>
      <c r="B2895" t="b">
        <v>0</v>
      </c>
      <c r="C2895" t="s">
        <v>43693</v>
      </c>
      <c r="D2895">
        <v>1037022454355</v>
      </c>
      <c r="E2895">
        <v>1</v>
      </c>
      <c r="F2895">
        <v>6146711301</v>
      </c>
      <c r="G2895">
        <v>1380</v>
      </c>
      <c r="H2895" t="s">
        <v>40293</v>
      </c>
      <c r="I2895">
        <v>17887</v>
      </c>
      <c r="J2895">
        <v>140334</v>
      </c>
      <c r="K2895">
        <v>200000</v>
      </c>
    </row>
    <row r="2896" spans="1:11">
      <c r="A2896">
        <v>90</v>
      </c>
      <c r="B2896" t="b">
        <v>0</v>
      </c>
      <c r="C2896" t="s">
        <v>45441</v>
      </c>
      <c r="D2896">
        <v>1037022454355</v>
      </c>
      <c r="E2896">
        <v>1</v>
      </c>
      <c r="F2896">
        <v>6152374372</v>
      </c>
      <c r="G2896">
        <v>1000</v>
      </c>
      <c r="H2896" t="s">
        <v>40293</v>
      </c>
      <c r="I2896">
        <v>17887</v>
      </c>
      <c r="J2896">
        <v>1828308</v>
      </c>
      <c r="K2896">
        <v>1828308</v>
      </c>
    </row>
    <row r="2897" spans="1:11">
      <c r="A2897">
        <v>90</v>
      </c>
      <c r="B2897" t="b">
        <v>0</v>
      </c>
      <c r="C2897" t="s">
        <v>45933</v>
      </c>
      <c r="D2897">
        <v>1037022454355</v>
      </c>
      <c r="E2897">
        <v>1</v>
      </c>
      <c r="F2897">
        <v>6157000394</v>
      </c>
      <c r="G2897">
        <v>1000</v>
      </c>
      <c r="H2897" t="s">
        <v>40293</v>
      </c>
      <c r="I2897">
        <v>17887</v>
      </c>
      <c r="J2897">
        <v>1519778</v>
      </c>
      <c r="K2897">
        <v>1519778</v>
      </c>
    </row>
    <row r="2898" spans="1:11">
      <c r="A2898">
        <v>90</v>
      </c>
      <c r="B2898" t="b">
        <v>0</v>
      </c>
      <c r="C2898" t="s">
        <v>46235</v>
      </c>
      <c r="D2898">
        <v>1037022454355</v>
      </c>
      <c r="E2898">
        <v>1</v>
      </c>
      <c r="F2898">
        <v>6151565191</v>
      </c>
      <c r="G2898">
        <v>1000</v>
      </c>
      <c r="H2898" t="s">
        <v>40293</v>
      </c>
      <c r="I2898">
        <v>17887</v>
      </c>
      <c r="J2898">
        <v>1096035</v>
      </c>
      <c r="K2898">
        <v>1096035</v>
      </c>
    </row>
    <row r="2899" spans="1:11">
      <c r="A2899">
        <v>90</v>
      </c>
      <c r="B2899" t="b">
        <v>0</v>
      </c>
      <c r="C2899" t="s">
        <v>46536</v>
      </c>
      <c r="D2899">
        <v>1037022454355</v>
      </c>
      <c r="E2899">
        <v>1</v>
      </c>
      <c r="F2899">
        <v>6154616423</v>
      </c>
      <c r="G2899">
        <v>1000</v>
      </c>
      <c r="H2899" t="s">
        <v>40293</v>
      </c>
      <c r="I2899">
        <v>17887</v>
      </c>
      <c r="J2899">
        <v>806060</v>
      </c>
      <c r="K2899">
        <v>806060</v>
      </c>
    </row>
    <row r="2900" spans="1:11">
      <c r="A2900">
        <v>90</v>
      </c>
      <c r="B2900" t="b">
        <v>0</v>
      </c>
      <c r="C2900" t="s">
        <v>44070</v>
      </c>
      <c r="D2900">
        <v>1037022454355</v>
      </c>
      <c r="E2900">
        <v>1</v>
      </c>
      <c r="F2900">
        <v>6151891702</v>
      </c>
      <c r="G2900">
        <v>990</v>
      </c>
      <c r="H2900" t="s">
        <v>40293</v>
      </c>
      <c r="I2900">
        <v>17887</v>
      </c>
      <c r="J2900">
        <v>1320413</v>
      </c>
      <c r="K2900">
        <v>1320413</v>
      </c>
    </row>
    <row r="2901" spans="1:11">
      <c r="A2901">
        <v>90</v>
      </c>
      <c r="B2901" t="b">
        <v>0</v>
      </c>
      <c r="C2901" t="s">
        <v>45021</v>
      </c>
      <c r="D2901">
        <v>1037022454355</v>
      </c>
      <c r="E2901">
        <v>1</v>
      </c>
      <c r="F2901">
        <v>6151418486</v>
      </c>
      <c r="G2901">
        <v>860</v>
      </c>
      <c r="H2901" t="s">
        <v>40293</v>
      </c>
      <c r="I2901">
        <v>17887</v>
      </c>
      <c r="J2901">
        <v>612943</v>
      </c>
      <c r="K2901">
        <v>2499807</v>
      </c>
    </row>
    <row r="2902" spans="1:11">
      <c r="A2902">
        <v>90</v>
      </c>
      <c r="B2902" t="b">
        <v>0</v>
      </c>
      <c r="C2902" t="s">
        <v>42959</v>
      </c>
      <c r="D2902">
        <v>1037022454355</v>
      </c>
      <c r="E2902">
        <v>1</v>
      </c>
      <c r="F2902">
        <v>6145968116</v>
      </c>
      <c r="G2902">
        <v>1500</v>
      </c>
      <c r="H2902" t="s">
        <v>40293</v>
      </c>
      <c r="I2902">
        <v>17888</v>
      </c>
      <c r="J2902">
        <v>200000</v>
      </c>
      <c r="K2902">
        <v>200000</v>
      </c>
    </row>
    <row r="2903" spans="1:11">
      <c r="A2903">
        <v>90</v>
      </c>
      <c r="B2903" t="b">
        <v>0</v>
      </c>
      <c r="C2903" t="s">
        <v>45756</v>
      </c>
      <c r="D2903">
        <v>1037022454355</v>
      </c>
      <c r="E2903">
        <v>1</v>
      </c>
      <c r="F2903">
        <v>6148347732</v>
      </c>
      <c r="G2903">
        <v>1495</v>
      </c>
      <c r="H2903" t="s">
        <v>40293</v>
      </c>
      <c r="I2903">
        <v>17888</v>
      </c>
      <c r="J2903">
        <v>207388</v>
      </c>
      <c r="K2903">
        <v>207388</v>
      </c>
    </row>
    <row r="2904" spans="1:11">
      <c r="A2904">
        <v>90</v>
      </c>
      <c r="B2904" t="b">
        <v>0</v>
      </c>
      <c r="C2904" t="s">
        <v>44175</v>
      </c>
      <c r="D2904">
        <v>1037022454355</v>
      </c>
      <c r="E2904">
        <v>1</v>
      </c>
      <c r="F2904">
        <v>6145705893</v>
      </c>
      <c r="G2904">
        <v>1494</v>
      </c>
      <c r="H2904" t="s">
        <v>40293</v>
      </c>
      <c r="I2904">
        <v>17888</v>
      </c>
      <c r="J2904">
        <v>95000</v>
      </c>
      <c r="K2904">
        <v>250000</v>
      </c>
    </row>
    <row r="2905" spans="1:11">
      <c r="A2905">
        <v>90</v>
      </c>
      <c r="B2905" t="b">
        <v>0</v>
      </c>
      <c r="C2905" t="s">
        <v>46221</v>
      </c>
      <c r="D2905">
        <v>1037022454355</v>
      </c>
      <c r="E2905">
        <v>1</v>
      </c>
      <c r="F2905">
        <v>6145699520</v>
      </c>
      <c r="G2905">
        <v>1494</v>
      </c>
      <c r="H2905" t="s">
        <v>40293</v>
      </c>
      <c r="I2905">
        <v>17888</v>
      </c>
      <c r="J2905">
        <v>419411</v>
      </c>
      <c r="K2905">
        <v>419411</v>
      </c>
    </row>
    <row r="2906" spans="1:11">
      <c r="A2906">
        <v>90</v>
      </c>
      <c r="B2906" t="b">
        <v>0</v>
      </c>
      <c r="C2906" t="s">
        <v>46070</v>
      </c>
      <c r="D2906">
        <v>1037022454355</v>
      </c>
      <c r="E2906">
        <v>1</v>
      </c>
      <c r="F2906">
        <v>6156090287</v>
      </c>
      <c r="G2906">
        <v>1493</v>
      </c>
      <c r="H2906" t="s">
        <v>40293</v>
      </c>
      <c r="I2906">
        <v>17888</v>
      </c>
      <c r="J2906">
        <v>59575</v>
      </c>
      <c r="K2906">
        <v>59575</v>
      </c>
    </row>
    <row r="2907" spans="1:11">
      <c r="A2907">
        <v>90</v>
      </c>
      <c r="B2907" t="b">
        <v>0</v>
      </c>
      <c r="C2907" t="s">
        <v>44725</v>
      </c>
      <c r="D2907">
        <v>1037022454355</v>
      </c>
      <c r="E2907">
        <v>1</v>
      </c>
      <c r="F2907">
        <v>6156100761</v>
      </c>
      <c r="G2907">
        <v>815</v>
      </c>
      <c r="H2907" t="s">
        <v>40293</v>
      </c>
      <c r="I2907">
        <v>17888</v>
      </c>
      <c r="J2907">
        <v>3420859</v>
      </c>
      <c r="K2907">
        <v>4390859</v>
      </c>
    </row>
    <row r="2908" spans="1:11">
      <c r="A2908">
        <v>90</v>
      </c>
      <c r="B2908" t="b">
        <v>0</v>
      </c>
      <c r="C2908" t="s">
        <v>43810</v>
      </c>
      <c r="D2908">
        <v>1037022454355</v>
      </c>
      <c r="E2908">
        <v>1</v>
      </c>
      <c r="F2908">
        <v>6145699057</v>
      </c>
      <c r="G2908">
        <v>1680</v>
      </c>
      <c r="H2908" t="s">
        <v>40293</v>
      </c>
      <c r="I2908">
        <v>17889</v>
      </c>
      <c r="J2908">
        <v>1168000</v>
      </c>
      <c r="K2908">
        <v>1168000</v>
      </c>
    </row>
    <row r="2909" spans="1:11">
      <c r="A2909">
        <v>90</v>
      </c>
      <c r="B2909" t="b">
        <v>0</v>
      </c>
      <c r="C2909" t="s">
        <v>41268</v>
      </c>
      <c r="D2909">
        <v>1037022454355</v>
      </c>
      <c r="E2909">
        <v>1</v>
      </c>
      <c r="F2909">
        <v>6124163923</v>
      </c>
      <c r="G2909">
        <v>1293</v>
      </c>
      <c r="H2909" t="s">
        <v>40293</v>
      </c>
      <c r="I2909">
        <v>17889</v>
      </c>
      <c r="J2909">
        <v>307276</v>
      </c>
      <c r="K2909">
        <v>399296</v>
      </c>
    </row>
    <row r="2910" spans="1:11">
      <c r="A2910">
        <v>90</v>
      </c>
      <c r="B2910" t="b">
        <v>0</v>
      </c>
      <c r="C2910" t="s">
        <v>41574</v>
      </c>
      <c r="D2910">
        <v>1037022454355</v>
      </c>
      <c r="E2910">
        <v>1</v>
      </c>
      <c r="F2910">
        <v>6122532618</v>
      </c>
      <c r="G2910">
        <v>1291</v>
      </c>
      <c r="H2910" t="s">
        <v>40293</v>
      </c>
      <c r="I2910">
        <v>17889</v>
      </c>
      <c r="J2910">
        <v>550000</v>
      </c>
      <c r="K2910">
        <v>550000</v>
      </c>
    </row>
    <row r="2911" spans="1:11">
      <c r="A2911">
        <v>90</v>
      </c>
      <c r="B2911" t="b">
        <v>0</v>
      </c>
      <c r="C2911" t="s">
        <v>42989</v>
      </c>
      <c r="D2911">
        <v>1037022454355</v>
      </c>
      <c r="E2911">
        <v>1</v>
      </c>
      <c r="F2911">
        <v>6120803976</v>
      </c>
      <c r="G2911">
        <v>1287</v>
      </c>
      <c r="H2911" t="s">
        <v>40293</v>
      </c>
      <c r="I2911">
        <v>17889</v>
      </c>
      <c r="J2911">
        <v>500000</v>
      </c>
      <c r="K2911">
        <v>500000</v>
      </c>
    </row>
    <row r="2912" spans="1:11">
      <c r="A2912">
        <v>90</v>
      </c>
      <c r="B2912" t="b">
        <v>0</v>
      </c>
      <c r="C2912" t="s">
        <v>43163</v>
      </c>
      <c r="D2912">
        <v>1037022454355</v>
      </c>
      <c r="E2912">
        <v>1</v>
      </c>
      <c r="F2912">
        <v>6142606257</v>
      </c>
      <c r="G2912">
        <v>1286</v>
      </c>
      <c r="H2912" t="s">
        <v>40293</v>
      </c>
      <c r="I2912">
        <v>17889</v>
      </c>
      <c r="J2912">
        <v>77644</v>
      </c>
      <c r="K2912">
        <v>77644</v>
      </c>
    </row>
    <row r="2913" spans="1:11">
      <c r="A2913">
        <v>90</v>
      </c>
      <c r="B2913" t="b">
        <v>0</v>
      </c>
      <c r="C2913" t="s">
        <v>43901</v>
      </c>
      <c r="D2913">
        <v>1037022454355</v>
      </c>
      <c r="E2913">
        <v>1</v>
      </c>
      <c r="F2913">
        <v>6142606961</v>
      </c>
      <c r="G2913">
        <v>1286</v>
      </c>
      <c r="H2913" t="s">
        <v>40293</v>
      </c>
      <c r="I2913">
        <v>17889</v>
      </c>
      <c r="J2913">
        <v>200000</v>
      </c>
      <c r="K2913">
        <v>200000</v>
      </c>
    </row>
    <row r="2914" spans="1:11">
      <c r="A2914">
        <v>90</v>
      </c>
      <c r="B2914" t="b">
        <v>0</v>
      </c>
      <c r="C2914" t="s">
        <v>44184</v>
      </c>
      <c r="D2914">
        <v>1037022454355</v>
      </c>
      <c r="E2914">
        <v>1</v>
      </c>
      <c r="F2914">
        <v>6152161235</v>
      </c>
      <c r="G2914">
        <v>1000</v>
      </c>
      <c r="H2914" t="s">
        <v>40293</v>
      </c>
      <c r="I2914">
        <v>17889</v>
      </c>
      <c r="J2914">
        <v>1941395</v>
      </c>
      <c r="K2914">
        <v>1941395</v>
      </c>
    </row>
    <row r="2915" spans="1:11">
      <c r="A2915">
        <v>90</v>
      </c>
      <c r="B2915" t="b">
        <v>0</v>
      </c>
      <c r="C2915" t="s">
        <v>43945</v>
      </c>
      <c r="D2915">
        <v>1037022454355</v>
      </c>
      <c r="E2915">
        <v>1</v>
      </c>
      <c r="F2915">
        <v>6144228357</v>
      </c>
      <c r="G2915">
        <v>999</v>
      </c>
      <c r="H2915" t="s">
        <v>40293</v>
      </c>
      <c r="I2915">
        <v>17889</v>
      </c>
      <c r="J2915">
        <v>98236</v>
      </c>
      <c r="K2915">
        <v>98236</v>
      </c>
    </row>
    <row r="2916" spans="1:11">
      <c r="A2916">
        <v>30</v>
      </c>
      <c r="B2916" t="b">
        <v>0</v>
      </c>
      <c r="C2916" t="s">
        <v>46532</v>
      </c>
      <c r="D2916">
        <v>1037022454355</v>
      </c>
      <c r="E2916">
        <v>1</v>
      </c>
      <c r="F2916">
        <v>6150618694</v>
      </c>
      <c r="G2916">
        <v>998</v>
      </c>
      <c r="H2916" t="s">
        <v>40293</v>
      </c>
      <c r="I2916">
        <v>17889</v>
      </c>
      <c r="J2916">
        <v>238341</v>
      </c>
      <c r="K2916">
        <v>308341</v>
      </c>
    </row>
    <row r="2917" spans="1:11">
      <c r="A2917">
        <v>90</v>
      </c>
      <c r="B2917" t="b">
        <v>0</v>
      </c>
      <c r="C2917" t="s">
        <v>46180</v>
      </c>
      <c r="D2917">
        <v>1037022454355</v>
      </c>
      <c r="E2917">
        <v>1</v>
      </c>
      <c r="F2917">
        <v>6151892125</v>
      </c>
      <c r="G2917">
        <v>990</v>
      </c>
      <c r="H2917" t="s">
        <v>40293</v>
      </c>
      <c r="I2917">
        <v>17889</v>
      </c>
      <c r="J2917">
        <v>1983104</v>
      </c>
      <c r="K2917">
        <v>2033104</v>
      </c>
    </row>
    <row r="2918" spans="1:11">
      <c r="A2918">
        <v>90</v>
      </c>
      <c r="B2918" t="b">
        <v>0</v>
      </c>
      <c r="C2918" t="s">
        <v>46416</v>
      </c>
      <c r="D2918">
        <v>1037022454355</v>
      </c>
      <c r="E2918">
        <v>1</v>
      </c>
      <c r="F2918">
        <v>6152059270</v>
      </c>
      <c r="G2918">
        <v>989.9</v>
      </c>
      <c r="H2918" t="s">
        <v>40293</v>
      </c>
      <c r="I2918">
        <v>17889</v>
      </c>
      <c r="J2918">
        <v>119699</v>
      </c>
      <c r="K2918">
        <v>289699</v>
      </c>
    </row>
    <row r="2919" spans="1:11">
      <c r="A2919">
        <v>90</v>
      </c>
      <c r="B2919" t="b">
        <v>0</v>
      </c>
      <c r="C2919" t="s">
        <v>45457</v>
      </c>
      <c r="D2919">
        <v>1037022454355</v>
      </c>
      <c r="E2919">
        <v>1</v>
      </c>
      <c r="F2919">
        <v>6152735054</v>
      </c>
      <c r="G2919">
        <v>988.8</v>
      </c>
      <c r="H2919" t="s">
        <v>40293</v>
      </c>
      <c r="I2919">
        <v>17889</v>
      </c>
      <c r="J2919">
        <v>20579</v>
      </c>
      <c r="K2919">
        <v>390769</v>
      </c>
    </row>
    <row r="2920" spans="1:11">
      <c r="A2920">
        <v>7</v>
      </c>
      <c r="B2920" t="b">
        <v>0</v>
      </c>
      <c r="C2920" t="s">
        <v>45004</v>
      </c>
      <c r="D2920">
        <v>1037022454355</v>
      </c>
      <c r="E2920">
        <v>1</v>
      </c>
      <c r="F2920">
        <v>6152827322</v>
      </c>
      <c r="G2920">
        <v>987.9</v>
      </c>
      <c r="H2920" t="s">
        <v>40293</v>
      </c>
      <c r="I2920">
        <v>17889</v>
      </c>
      <c r="J2920">
        <v>56838</v>
      </c>
      <c r="K2920">
        <v>169838</v>
      </c>
    </row>
    <row r="2921" spans="1:11">
      <c r="A2921">
        <v>90</v>
      </c>
      <c r="B2921" t="b">
        <v>0</v>
      </c>
      <c r="C2921" t="s">
        <v>45036</v>
      </c>
      <c r="D2921">
        <v>1037022454355</v>
      </c>
      <c r="E2921">
        <v>1</v>
      </c>
      <c r="F2921">
        <v>6152161429</v>
      </c>
      <c r="G2921">
        <v>834</v>
      </c>
      <c r="H2921" t="s">
        <v>40293</v>
      </c>
      <c r="I2921">
        <v>17889</v>
      </c>
      <c r="J2921">
        <v>1194036</v>
      </c>
      <c r="K2921">
        <v>1800000</v>
      </c>
    </row>
    <row r="2922" spans="1:11">
      <c r="A2922">
        <v>90</v>
      </c>
      <c r="B2922" t="b">
        <v>0</v>
      </c>
      <c r="C2922" t="s">
        <v>44604</v>
      </c>
      <c r="D2922">
        <v>1037022454355</v>
      </c>
      <c r="E2922">
        <v>1</v>
      </c>
      <c r="F2922">
        <v>6154526487</v>
      </c>
      <c r="G2922">
        <v>807</v>
      </c>
      <c r="H2922" t="s">
        <v>40293</v>
      </c>
      <c r="I2922">
        <v>17889</v>
      </c>
      <c r="J2922">
        <v>868207</v>
      </c>
      <c r="K2922">
        <v>3908207</v>
      </c>
    </row>
    <row r="2923" spans="1:11">
      <c r="A2923">
        <v>30</v>
      </c>
      <c r="B2923" t="b">
        <v>0</v>
      </c>
      <c r="C2923" t="s">
        <v>46476</v>
      </c>
      <c r="D2923">
        <v>1037022454355</v>
      </c>
      <c r="E2923">
        <v>1</v>
      </c>
      <c r="F2923">
        <v>6154910796</v>
      </c>
      <c r="G2923">
        <v>230000</v>
      </c>
      <c r="H2923" t="s">
        <v>40293</v>
      </c>
      <c r="I2923">
        <v>17893</v>
      </c>
      <c r="J2923">
        <v>3</v>
      </c>
      <c r="K2923">
        <v>3</v>
      </c>
    </row>
    <row r="2924" spans="1:11">
      <c r="A2924">
        <v>14</v>
      </c>
      <c r="B2924" t="b">
        <v>0</v>
      </c>
      <c r="C2924" t="s">
        <v>44486</v>
      </c>
      <c r="D2924">
        <v>1037022454355</v>
      </c>
      <c r="E2924">
        <v>1</v>
      </c>
      <c r="F2924">
        <v>6153640158</v>
      </c>
      <c r="G2924">
        <v>2450000</v>
      </c>
      <c r="H2924" t="s">
        <v>40293</v>
      </c>
      <c r="I2924">
        <v>17895</v>
      </c>
      <c r="J2924">
        <v>1</v>
      </c>
      <c r="K2924">
        <v>1</v>
      </c>
    </row>
    <row r="2925" spans="1:11">
      <c r="A2925">
        <v>90</v>
      </c>
      <c r="B2925" t="b">
        <v>0</v>
      </c>
      <c r="C2925" t="s">
        <v>41732</v>
      </c>
      <c r="D2925">
        <v>1037022454355</v>
      </c>
      <c r="E2925">
        <v>1</v>
      </c>
      <c r="F2925">
        <v>6120460616</v>
      </c>
      <c r="G2925">
        <v>79000</v>
      </c>
      <c r="H2925" t="s">
        <v>40293</v>
      </c>
      <c r="I2925">
        <v>17898</v>
      </c>
      <c r="J2925">
        <v>1032</v>
      </c>
      <c r="K2925">
        <v>1032</v>
      </c>
    </row>
    <row r="2926" spans="1:11">
      <c r="A2926">
        <v>90</v>
      </c>
      <c r="B2926" t="b">
        <v>0</v>
      </c>
      <c r="C2926" t="s">
        <v>46362</v>
      </c>
      <c r="D2926">
        <v>1037022454355</v>
      </c>
      <c r="E2926">
        <v>1</v>
      </c>
      <c r="F2926">
        <v>6104643157</v>
      </c>
      <c r="G2926">
        <v>40000</v>
      </c>
      <c r="H2926" t="s">
        <v>40293</v>
      </c>
      <c r="I2926">
        <v>17898</v>
      </c>
      <c r="J2926">
        <v>995</v>
      </c>
      <c r="K2926">
        <v>1000</v>
      </c>
    </row>
    <row r="2927" spans="1:11">
      <c r="A2927">
        <v>90</v>
      </c>
      <c r="B2927" t="b">
        <v>0</v>
      </c>
      <c r="C2927" t="s">
        <v>46062</v>
      </c>
      <c r="D2927">
        <v>1037022454355</v>
      </c>
      <c r="E2927">
        <v>1</v>
      </c>
      <c r="F2927">
        <v>6154020260</v>
      </c>
      <c r="G2927">
        <v>10000000</v>
      </c>
      <c r="H2927" t="s">
        <v>40293</v>
      </c>
      <c r="I2927">
        <v>17912</v>
      </c>
      <c r="J2927">
        <v>2</v>
      </c>
      <c r="K2927">
        <v>25</v>
      </c>
    </row>
    <row r="2928" spans="1:11">
      <c r="A2928">
        <v>90</v>
      </c>
      <c r="B2928" t="b">
        <v>0</v>
      </c>
      <c r="C2928" t="s">
        <v>44687</v>
      </c>
      <c r="D2928">
        <v>1037022454355</v>
      </c>
      <c r="E2928">
        <v>1</v>
      </c>
      <c r="F2928">
        <v>6152004325</v>
      </c>
      <c r="G2928">
        <v>850000000</v>
      </c>
      <c r="H2928" t="s">
        <v>40293</v>
      </c>
      <c r="I2928">
        <v>17920</v>
      </c>
      <c r="J2928">
        <v>2</v>
      </c>
      <c r="K2928">
        <v>2</v>
      </c>
    </row>
    <row r="2929" spans="1:11">
      <c r="A2929">
        <v>90</v>
      </c>
      <c r="B2929" t="b">
        <v>0</v>
      </c>
      <c r="C2929" t="s">
        <v>42210</v>
      </c>
      <c r="D2929">
        <v>1037022454355</v>
      </c>
      <c r="E2929">
        <v>1</v>
      </c>
      <c r="F2929">
        <v>6131574500</v>
      </c>
      <c r="G2929">
        <v>220000000</v>
      </c>
      <c r="H2929" t="s">
        <v>40293</v>
      </c>
      <c r="I2929">
        <v>17922</v>
      </c>
      <c r="J2929">
        <v>2</v>
      </c>
      <c r="K2929">
        <v>2</v>
      </c>
    </row>
    <row r="2930" spans="1:11">
      <c r="A2930">
        <v>90</v>
      </c>
      <c r="B2930" t="b">
        <v>0</v>
      </c>
      <c r="C2930" t="s">
        <v>46066</v>
      </c>
      <c r="D2930">
        <v>1037022454355</v>
      </c>
      <c r="E2930">
        <v>1</v>
      </c>
      <c r="F2930">
        <v>6152119793</v>
      </c>
      <c r="G2930">
        <v>219800000</v>
      </c>
      <c r="H2930" t="s">
        <v>40293</v>
      </c>
      <c r="I2930">
        <v>17922</v>
      </c>
      <c r="J2930">
        <v>1</v>
      </c>
      <c r="K2930">
        <v>1</v>
      </c>
    </row>
    <row r="2931" spans="1:11">
      <c r="A2931">
        <v>90</v>
      </c>
      <c r="B2931" t="b">
        <v>0</v>
      </c>
      <c r="C2931" t="s">
        <v>46092</v>
      </c>
      <c r="D2931">
        <v>1037022454355</v>
      </c>
      <c r="E2931">
        <v>1</v>
      </c>
      <c r="F2931">
        <v>6145075070</v>
      </c>
      <c r="G2931">
        <v>219700000</v>
      </c>
      <c r="H2931" t="s">
        <v>40293</v>
      </c>
      <c r="I2931">
        <v>17922</v>
      </c>
      <c r="J2931">
        <v>1</v>
      </c>
      <c r="K2931">
        <v>1</v>
      </c>
    </row>
    <row r="2932" spans="1:11">
      <c r="A2932">
        <v>90</v>
      </c>
      <c r="B2932" t="b">
        <v>0</v>
      </c>
      <c r="C2932" t="s">
        <v>43596</v>
      </c>
      <c r="D2932">
        <v>1037022454355</v>
      </c>
      <c r="E2932">
        <v>1</v>
      </c>
      <c r="F2932">
        <v>6101618757</v>
      </c>
      <c r="G2932">
        <v>68500000</v>
      </c>
      <c r="H2932" t="s">
        <v>40293</v>
      </c>
      <c r="I2932">
        <v>17926</v>
      </c>
      <c r="J2932">
        <v>1</v>
      </c>
      <c r="K2932">
        <v>3</v>
      </c>
    </row>
    <row r="2933" spans="1:11">
      <c r="A2933">
        <v>90</v>
      </c>
      <c r="B2933" t="b">
        <v>0</v>
      </c>
      <c r="C2933" t="s">
        <v>44459</v>
      </c>
      <c r="D2933">
        <v>1037022454355</v>
      </c>
      <c r="E2933">
        <v>1</v>
      </c>
      <c r="F2933">
        <v>6125197094</v>
      </c>
      <c r="G2933">
        <v>68400000</v>
      </c>
      <c r="H2933" t="s">
        <v>40293</v>
      </c>
      <c r="I2933">
        <v>17926</v>
      </c>
      <c r="J2933">
        <v>1</v>
      </c>
      <c r="K2933">
        <v>1</v>
      </c>
    </row>
    <row r="2934" spans="1:11">
      <c r="A2934">
        <v>90</v>
      </c>
      <c r="B2934" t="b">
        <v>0</v>
      </c>
      <c r="C2934" t="s">
        <v>45799</v>
      </c>
      <c r="D2934">
        <v>1037022454355</v>
      </c>
      <c r="E2934">
        <v>1</v>
      </c>
      <c r="F2934">
        <v>6150642019</v>
      </c>
      <c r="G2934">
        <v>105000000</v>
      </c>
      <c r="H2934" t="s">
        <v>40293</v>
      </c>
      <c r="I2934">
        <v>17928</v>
      </c>
      <c r="J2934">
        <v>2</v>
      </c>
      <c r="K2934">
        <v>2</v>
      </c>
    </row>
    <row r="2935" spans="1:11">
      <c r="A2935">
        <v>90</v>
      </c>
      <c r="B2935" t="b">
        <v>0</v>
      </c>
      <c r="C2935" t="s">
        <v>44482</v>
      </c>
      <c r="D2935">
        <v>1037022454355</v>
      </c>
      <c r="E2935">
        <v>1</v>
      </c>
      <c r="F2935">
        <v>6153389072</v>
      </c>
      <c r="G2935">
        <v>104000000</v>
      </c>
      <c r="H2935" t="s">
        <v>40293</v>
      </c>
      <c r="I2935">
        <v>17928</v>
      </c>
      <c r="J2935">
        <v>1</v>
      </c>
      <c r="K2935">
        <v>1</v>
      </c>
    </row>
    <row r="2936" spans="1:11">
      <c r="A2936">
        <v>90</v>
      </c>
      <c r="B2936" t="b">
        <v>0</v>
      </c>
      <c r="C2936" t="s">
        <v>41307</v>
      </c>
      <c r="D2936">
        <v>1037022454355</v>
      </c>
      <c r="E2936">
        <v>1</v>
      </c>
      <c r="F2936">
        <v>6097556865</v>
      </c>
      <c r="G2936">
        <v>84900000</v>
      </c>
      <c r="H2936" t="s">
        <v>40293</v>
      </c>
      <c r="I2936">
        <v>17930</v>
      </c>
      <c r="J2936">
        <v>2</v>
      </c>
      <c r="K2936">
        <v>5</v>
      </c>
    </row>
    <row r="2937" spans="1:11">
      <c r="A2937">
        <v>90</v>
      </c>
      <c r="B2937" t="b">
        <v>0</v>
      </c>
      <c r="C2937" t="s">
        <v>42444</v>
      </c>
      <c r="D2937">
        <v>1037022454355</v>
      </c>
      <c r="E2937">
        <v>1</v>
      </c>
      <c r="F2937">
        <v>6098757540</v>
      </c>
      <c r="G2937">
        <v>84000000</v>
      </c>
      <c r="H2937" t="s">
        <v>40293</v>
      </c>
      <c r="I2937">
        <v>17930</v>
      </c>
      <c r="J2937">
        <v>5</v>
      </c>
      <c r="K2937">
        <v>7</v>
      </c>
    </row>
    <row r="2938" spans="1:11">
      <c r="A2938">
        <v>90</v>
      </c>
      <c r="B2938" t="b">
        <v>0</v>
      </c>
      <c r="C2938" t="s">
        <v>43759</v>
      </c>
      <c r="D2938">
        <v>1037022454355</v>
      </c>
      <c r="E2938">
        <v>1</v>
      </c>
      <c r="F2938">
        <v>6145075067</v>
      </c>
      <c r="G2938">
        <v>83990000</v>
      </c>
      <c r="H2938" t="s">
        <v>40293</v>
      </c>
      <c r="I2938">
        <v>17930</v>
      </c>
      <c r="J2938">
        <v>1</v>
      </c>
      <c r="K2938">
        <v>1</v>
      </c>
    </row>
    <row r="2939" spans="1:11">
      <c r="A2939">
        <v>90</v>
      </c>
      <c r="B2939" t="b">
        <v>0</v>
      </c>
      <c r="C2939" t="s">
        <v>43855</v>
      </c>
      <c r="D2939">
        <v>1037022454355</v>
      </c>
      <c r="E2939">
        <v>1</v>
      </c>
      <c r="F2939">
        <v>6145340036</v>
      </c>
      <c r="G2939">
        <v>83990000</v>
      </c>
      <c r="H2939" t="s">
        <v>40293</v>
      </c>
      <c r="I2939">
        <v>17930</v>
      </c>
      <c r="J2939">
        <v>1</v>
      </c>
      <c r="K2939">
        <v>1</v>
      </c>
    </row>
    <row r="2940" spans="1:11">
      <c r="A2940">
        <v>90</v>
      </c>
      <c r="B2940" t="b">
        <v>0</v>
      </c>
      <c r="C2940" t="s">
        <v>42304</v>
      </c>
      <c r="D2940">
        <v>1037022454355</v>
      </c>
      <c r="E2940">
        <v>1</v>
      </c>
      <c r="F2940">
        <v>6135808830</v>
      </c>
      <c r="G2940">
        <v>94900000</v>
      </c>
      <c r="H2940" t="s">
        <v>40293</v>
      </c>
      <c r="I2940">
        <v>17932</v>
      </c>
      <c r="J2940">
        <v>1</v>
      </c>
      <c r="K2940">
        <v>1</v>
      </c>
    </row>
    <row r="2941" spans="1:11">
      <c r="A2941">
        <v>90</v>
      </c>
      <c r="B2941" t="b">
        <v>0</v>
      </c>
      <c r="C2941" t="s">
        <v>40966</v>
      </c>
      <c r="D2941">
        <v>1037022454355</v>
      </c>
      <c r="E2941">
        <v>1</v>
      </c>
      <c r="F2941">
        <v>6097222737</v>
      </c>
      <c r="G2941">
        <v>554300</v>
      </c>
      <c r="H2941" t="s">
        <v>40293</v>
      </c>
      <c r="I2941">
        <v>17938</v>
      </c>
      <c r="J2941">
        <v>25</v>
      </c>
      <c r="K2941">
        <v>25</v>
      </c>
    </row>
    <row r="2942" spans="1:11">
      <c r="A2942">
        <v>90</v>
      </c>
      <c r="B2942" t="b">
        <v>0</v>
      </c>
      <c r="C2942" t="s">
        <v>41436</v>
      </c>
      <c r="D2942">
        <v>1037022454355</v>
      </c>
      <c r="E2942">
        <v>1</v>
      </c>
      <c r="F2942">
        <v>6077505767</v>
      </c>
      <c r="G2942">
        <v>552800</v>
      </c>
      <c r="H2942" t="s">
        <v>40293</v>
      </c>
      <c r="I2942">
        <v>17938</v>
      </c>
      <c r="J2942">
        <v>23</v>
      </c>
      <c r="K2942">
        <v>25</v>
      </c>
    </row>
    <row r="2943" spans="1:11">
      <c r="A2943">
        <v>90</v>
      </c>
      <c r="B2943" t="b">
        <v>0</v>
      </c>
      <c r="C2943" t="s">
        <v>42227</v>
      </c>
      <c r="D2943">
        <v>1037022454355</v>
      </c>
      <c r="E2943">
        <v>1</v>
      </c>
      <c r="F2943">
        <v>6102216439</v>
      </c>
      <c r="G2943">
        <v>348700</v>
      </c>
      <c r="H2943" t="s">
        <v>40293</v>
      </c>
      <c r="I2943">
        <v>17938</v>
      </c>
      <c r="J2943">
        <v>33</v>
      </c>
      <c r="K2943">
        <v>52</v>
      </c>
    </row>
    <row r="2944" spans="1:11">
      <c r="A2944">
        <v>90</v>
      </c>
      <c r="B2944" t="b">
        <v>0</v>
      </c>
      <c r="C2944" t="s">
        <v>42345</v>
      </c>
      <c r="D2944">
        <v>1037022454355</v>
      </c>
      <c r="E2944">
        <v>1</v>
      </c>
      <c r="F2944">
        <v>6070538049</v>
      </c>
      <c r="G2944">
        <v>224800</v>
      </c>
      <c r="H2944" t="s">
        <v>40293</v>
      </c>
      <c r="I2944">
        <v>17938</v>
      </c>
      <c r="J2944">
        <v>35</v>
      </c>
      <c r="K2944">
        <v>37</v>
      </c>
    </row>
    <row r="2945" spans="1:11">
      <c r="A2945">
        <v>90</v>
      </c>
      <c r="B2945" t="b">
        <v>0</v>
      </c>
      <c r="C2945" t="s">
        <v>42542</v>
      </c>
      <c r="D2945">
        <v>1037022454355</v>
      </c>
      <c r="E2945">
        <v>1</v>
      </c>
      <c r="F2945">
        <v>6099418149</v>
      </c>
      <c r="G2945">
        <v>224000</v>
      </c>
      <c r="H2945" t="s">
        <v>40293</v>
      </c>
      <c r="I2945">
        <v>17938</v>
      </c>
      <c r="J2945">
        <v>23</v>
      </c>
      <c r="K2945">
        <v>30</v>
      </c>
    </row>
    <row r="2946" spans="1:11">
      <c r="A2946">
        <v>90</v>
      </c>
      <c r="B2946" t="b">
        <v>0</v>
      </c>
      <c r="C2946" t="s">
        <v>46382</v>
      </c>
      <c r="D2946">
        <v>1037022454355</v>
      </c>
      <c r="E2946">
        <v>1</v>
      </c>
      <c r="F2946">
        <v>6129645496</v>
      </c>
      <c r="G2946">
        <v>32940</v>
      </c>
      <c r="H2946" t="s">
        <v>40293</v>
      </c>
      <c r="I2946">
        <v>17938</v>
      </c>
      <c r="J2946">
        <v>20</v>
      </c>
      <c r="K2946">
        <v>25</v>
      </c>
    </row>
    <row r="2947" spans="1:11">
      <c r="A2947">
        <v>90</v>
      </c>
      <c r="B2947" t="b">
        <v>0</v>
      </c>
      <c r="C2947" t="s">
        <v>44658</v>
      </c>
      <c r="D2947">
        <v>1037022454355</v>
      </c>
      <c r="E2947">
        <v>1</v>
      </c>
      <c r="F2947">
        <v>6156682639</v>
      </c>
      <c r="G2947">
        <v>23780</v>
      </c>
      <c r="H2947" t="s">
        <v>40293</v>
      </c>
      <c r="I2947">
        <v>17938</v>
      </c>
      <c r="J2947">
        <v>8</v>
      </c>
      <c r="K2947">
        <v>8</v>
      </c>
    </row>
    <row r="2948" spans="1:11">
      <c r="A2948">
        <v>90</v>
      </c>
      <c r="B2948" t="b">
        <v>0</v>
      </c>
      <c r="C2948" t="s">
        <v>44365</v>
      </c>
      <c r="D2948">
        <v>1037022454355</v>
      </c>
      <c r="E2948">
        <v>1</v>
      </c>
      <c r="F2948">
        <v>6150800129</v>
      </c>
      <c r="G2948">
        <v>22980</v>
      </c>
      <c r="H2948" t="s">
        <v>40293</v>
      </c>
      <c r="I2948">
        <v>17938</v>
      </c>
      <c r="J2948">
        <v>9</v>
      </c>
      <c r="K2948">
        <v>10</v>
      </c>
    </row>
    <row r="2949" spans="1:11">
      <c r="A2949">
        <v>90</v>
      </c>
      <c r="B2949" t="b">
        <v>0</v>
      </c>
      <c r="C2949" t="s">
        <v>44550</v>
      </c>
      <c r="D2949">
        <v>1037022454355</v>
      </c>
      <c r="E2949">
        <v>1</v>
      </c>
      <c r="F2949">
        <v>6153247757</v>
      </c>
      <c r="G2949">
        <v>22970</v>
      </c>
      <c r="H2949" t="s">
        <v>40293</v>
      </c>
      <c r="I2949">
        <v>17938</v>
      </c>
      <c r="J2949">
        <v>4</v>
      </c>
      <c r="K2949">
        <v>25</v>
      </c>
    </row>
    <row r="2950" spans="1:11">
      <c r="A2950">
        <v>90</v>
      </c>
      <c r="B2950" t="b">
        <v>0</v>
      </c>
      <c r="C2950" t="s">
        <v>43972</v>
      </c>
      <c r="D2950">
        <v>1037022454355</v>
      </c>
      <c r="E2950">
        <v>1</v>
      </c>
      <c r="F2950">
        <v>6138199782</v>
      </c>
      <c r="G2950">
        <v>1599000</v>
      </c>
      <c r="H2950" t="s">
        <v>40293</v>
      </c>
      <c r="I2950">
        <v>18054</v>
      </c>
      <c r="J2950">
        <v>10</v>
      </c>
      <c r="K2950">
        <v>10</v>
      </c>
    </row>
    <row r="2951" spans="1:11">
      <c r="A2951">
        <v>90</v>
      </c>
      <c r="B2951" t="b">
        <v>0</v>
      </c>
      <c r="C2951" t="s">
        <v>43743</v>
      </c>
      <c r="D2951">
        <v>1037022454355</v>
      </c>
      <c r="E2951">
        <v>1</v>
      </c>
      <c r="F2951">
        <v>6139121874</v>
      </c>
      <c r="G2951">
        <v>1597000</v>
      </c>
      <c r="H2951" t="s">
        <v>40293</v>
      </c>
      <c r="I2951">
        <v>18054</v>
      </c>
      <c r="J2951">
        <v>6</v>
      </c>
      <c r="K2951">
        <v>6</v>
      </c>
    </row>
    <row r="2952" spans="1:11">
      <c r="A2952">
        <v>90</v>
      </c>
      <c r="B2952" t="b">
        <v>0</v>
      </c>
      <c r="C2952" t="s">
        <v>43580</v>
      </c>
      <c r="D2952">
        <v>1037022454355</v>
      </c>
      <c r="E2952">
        <v>1</v>
      </c>
      <c r="F2952">
        <v>6140382902</v>
      </c>
      <c r="G2952">
        <v>1595000</v>
      </c>
      <c r="H2952" t="s">
        <v>40293</v>
      </c>
      <c r="I2952">
        <v>18054</v>
      </c>
      <c r="J2952">
        <v>80</v>
      </c>
      <c r="K2952">
        <v>80</v>
      </c>
    </row>
    <row r="2953" spans="1:11">
      <c r="A2953">
        <v>90</v>
      </c>
      <c r="B2953" t="b">
        <v>0</v>
      </c>
      <c r="C2953" t="s">
        <v>46241</v>
      </c>
      <c r="D2953">
        <v>1037022454355</v>
      </c>
      <c r="E2953">
        <v>1</v>
      </c>
      <c r="F2953">
        <v>6151268340</v>
      </c>
      <c r="G2953">
        <v>1435000</v>
      </c>
      <c r="H2953" t="s">
        <v>40293</v>
      </c>
      <c r="I2953">
        <v>18054</v>
      </c>
      <c r="J2953">
        <v>252</v>
      </c>
      <c r="K2953">
        <v>308</v>
      </c>
    </row>
    <row r="2954" spans="1:11">
      <c r="A2954">
        <v>90</v>
      </c>
      <c r="B2954" t="b">
        <v>0</v>
      </c>
      <c r="C2954" t="s">
        <v>46279</v>
      </c>
      <c r="D2954">
        <v>1037022454355</v>
      </c>
      <c r="E2954">
        <v>1</v>
      </c>
      <c r="F2954">
        <v>6070694329</v>
      </c>
      <c r="G2954">
        <v>6995000</v>
      </c>
      <c r="H2954" t="s">
        <v>40293</v>
      </c>
      <c r="I2954">
        <v>18068</v>
      </c>
      <c r="J2954">
        <v>17</v>
      </c>
      <c r="K2954">
        <v>20</v>
      </c>
    </row>
    <row r="2955" spans="1:11">
      <c r="A2955">
        <v>90</v>
      </c>
      <c r="B2955" t="b">
        <v>0</v>
      </c>
      <c r="C2955" t="s">
        <v>45180</v>
      </c>
      <c r="D2955">
        <v>1037022454355</v>
      </c>
      <c r="E2955">
        <v>1</v>
      </c>
      <c r="F2955">
        <v>6137625304</v>
      </c>
      <c r="G2955">
        <v>6994000</v>
      </c>
      <c r="H2955" t="s">
        <v>40293</v>
      </c>
      <c r="I2955">
        <v>18068</v>
      </c>
      <c r="J2955">
        <v>22</v>
      </c>
      <c r="K2955">
        <v>25</v>
      </c>
    </row>
    <row r="2956" spans="1:11">
      <c r="A2956">
        <v>90</v>
      </c>
      <c r="B2956" t="b">
        <v>0</v>
      </c>
      <c r="C2956" t="s">
        <v>46009</v>
      </c>
      <c r="D2956">
        <v>1037022454355</v>
      </c>
      <c r="E2956">
        <v>1</v>
      </c>
      <c r="F2956">
        <v>6149857963</v>
      </c>
      <c r="G2956">
        <v>5000000</v>
      </c>
      <c r="H2956" t="s">
        <v>40293</v>
      </c>
      <c r="I2956">
        <v>18608</v>
      </c>
      <c r="J2956">
        <v>10</v>
      </c>
      <c r="K2956">
        <v>10</v>
      </c>
    </row>
    <row r="2957" spans="1:11">
      <c r="A2957">
        <v>90</v>
      </c>
      <c r="B2957" t="b">
        <v>0</v>
      </c>
      <c r="C2957" t="s">
        <v>41559</v>
      </c>
      <c r="D2957">
        <v>1037022454355</v>
      </c>
      <c r="E2957">
        <v>1</v>
      </c>
      <c r="F2957">
        <v>6081605038</v>
      </c>
      <c r="G2957">
        <v>2568000</v>
      </c>
      <c r="H2957" t="s">
        <v>40293</v>
      </c>
      <c r="I2957">
        <v>18608</v>
      </c>
      <c r="J2957">
        <v>162</v>
      </c>
      <c r="K2957">
        <v>300</v>
      </c>
    </row>
    <row r="2958" spans="1:11">
      <c r="A2958">
        <v>90</v>
      </c>
      <c r="B2958" t="b">
        <v>0</v>
      </c>
      <c r="C2958" t="s">
        <v>40960</v>
      </c>
      <c r="D2958">
        <v>1037022454355</v>
      </c>
      <c r="E2958">
        <v>1</v>
      </c>
      <c r="F2958">
        <v>6101482402</v>
      </c>
      <c r="G2958">
        <v>2518000</v>
      </c>
      <c r="H2958" t="s">
        <v>40293</v>
      </c>
      <c r="I2958">
        <v>18608</v>
      </c>
      <c r="J2958">
        <v>2</v>
      </c>
      <c r="K2958">
        <v>2</v>
      </c>
    </row>
    <row r="2959" spans="1:11">
      <c r="A2959">
        <v>90</v>
      </c>
      <c r="B2959" t="b">
        <v>0</v>
      </c>
      <c r="C2959" t="s">
        <v>40644</v>
      </c>
      <c r="D2959">
        <v>1037022454355</v>
      </c>
      <c r="E2959">
        <v>1</v>
      </c>
      <c r="F2959">
        <v>6112353948</v>
      </c>
      <c r="G2959">
        <v>2129000</v>
      </c>
      <c r="H2959" t="s">
        <v>40293</v>
      </c>
      <c r="I2959">
        <v>18608</v>
      </c>
      <c r="J2959">
        <v>18</v>
      </c>
      <c r="K2959">
        <v>20</v>
      </c>
    </row>
    <row r="2960" spans="1:11">
      <c r="A2960">
        <v>90</v>
      </c>
      <c r="B2960" t="b">
        <v>0</v>
      </c>
      <c r="C2960" t="s">
        <v>41508</v>
      </c>
      <c r="D2960">
        <v>1037022454355</v>
      </c>
      <c r="E2960">
        <v>1</v>
      </c>
      <c r="F2960">
        <v>6083078297</v>
      </c>
      <c r="G2960">
        <v>2120000</v>
      </c>
      <c r="H2960" t="s">
        <v>40293</v>
      </c>
      <c r="I2960">
        <v>18608</v>
      </c>
      <c r="J2960">
        <v>167</v>
      </c>
      <c r="K2960">
        <v>200</v>
      </c>
    </row>
    <row r="2961" spans="1:11">
      <c r="A2961">
        <v>90</v>
      </c>
      <c r="B2961" t="b">
        <v>0</v>
      </c>
      <c r="C2961" t="s">
        <v>43610</v>
      </c>
      <c r="D2961">
        <v>1037022454355</v>
      </c>
      <c r="E2961">
        <v>1</v>
      </c>
      <c r="F2961">
        <v>6146040557</v>
      </c>
      <c r="G2961">
        <v>2090000</v>
      </c>
      <c r="H2961" t="s">
        <v>40293</v>
      </c>
      <c r="I2961">
        <v>18608</v>
      </c>
      <c r="J2961">
        <v>14</v>
      </c>
      <c r="K2961">
        <v>100</v>
      </c>
    </row>
    <row r="2962" spans="1:11">
      <c r="A2962">
        <v>90</v>
      </c>
      <c r="B2962" t="b">
        <v>0</v>
      </c>
      <c r="C2962" t="s">
        <v>45206</v>
      </c>
      <c r="D2962">
        <v>1037022454355</v>
      </c>
      <c r="E2962">
        <v>1</v>
      </c>
      <c r="F2962">
        <v>6111378596</v>
      </c>
      <c r="G2962">
        <v>1999000</v>
      </c>
      <c r="H2962" t="s">
        <v>40293</v>
      </c>
      <c r="I2962">
        <v>18608</v>
      </c>
      <c r="J2962">
        <v>19</v>
      </c>
      <c r="K2962">
        <v>247</v>
      </c>
    </row>
    <row r="2963" spans="1:11">
      <c r="A2963">
        <v>90</v>
      </c>
      <c r="B2963" t="b">
        <v>0</v>
      </c>
      <c r="C2963" t="s">
        <v>44962</v>
      </c>
      <c r="D2963">
        <v>1037022454355</v>
      </c>
      <c r="E2963">
        <v>1</v>
      </c>
      <c r="F2963">
        <v>6147813383</v>
      </c>
      <c r="G2963">
        <v>300000</v>
      </c>
      <c r="H2963" t="s">
        <v>40293</v>
      </c>
      <c r="I2963">
        <v>18626</v>
      </c>
      <c r="J2963">
        <v>2</v>
      </c>
      <c r="K2963">
        <v>100</v>
      </c>
    </row>
    <row r="2964" spans="1:11">
      <c r="A2964">
        <v>90</v>
      </c>
      <c r="B2964" t="b">
        <v>0</v>
      </c>
      <c r="C2964" t="s">
        <v>43818</v>
      </c>
      <c r="D2964">
        <v>1037022454355</v>
      </c>
      <c r="E2964">
        <v>1</v>
      </c>
      <c r="F2964">
        <v>6146915565</v>
      </c>
      <c r="G2964">
        <v>600000</v>
      </c>
      <c r="H2964" t="s">
        <v>40293</v>
      </c>
      <c r="I2964">
        <v>18637</v>
      </c>
      <c r="J2964">
        <v>26</v>
      </c>
      <c r="K2964">
        <v>26</v>
      </c>
    </row>
    <row r="2965" spans="1:11">
      <c r="A2965">
        <v>90</v>
      </c>
      <c r="B2965" t="b">
        <v>0</v>
      </c>
      <c r="C2965" t="s">
        <v>41784</v>
      </c>
      <c r="D2965">
        <v>1037022454355</v>
      </c>
      <c r="E2965">
        <v>1</v>
      </c>
      <c r="F2965">
        <v>6128222398</v>
      </c>
      <c r="G2965">
        <v>288700</v>
      </c>
      <c r="H2965" t="s">
        <v>40293</v>
      </c>
      <c r="I2965">
        <v>18639</v>
      </c>
      <c r="J2965">
        <v>1</v>
      </c>
      <c r="K2965">
        <v>1</v>
      </c>
    </row>
    <row r="2966" spans="1:11">
      <c r="A2966">
        <v>30</v>
      </c>
      <c r="B2966" t="b">
        <v>0</v>
      </c>
      <c r="C2966" t="s">
        <v>42776</v>
      </c>
      <c r="D2966">
        <v>1037022454355</v>
      </c>
      <c r="E2966">
        <v>1</v>
      </c>
      <c r="F2966">
        <v>6135409601</v>
      </c>
      <c r="G2966">
        <v>273800</v>
      </c>
      <c r="H2966" t="s">
        <v>40293</v>
      </c>
      <c r="I2966">
        <v>18639</v>
      </c>
      <c r="J2966">
        <v>19</v>
      </c>
      <c r="K2966">
        <v>19</v>
      </c>
    </row>
    <row r="2967" spans="1:11">
      <c r="A2967">
        <v>90</v>
      </c>
      <c r="B2967" t="b">
        <v>0</v>
      </c>
      <c r="C2967" t="s">
        <v>42621</v>
      </c>
      <c r="D2967">
        <v>1037022454355</v>
      </c>
      <c r="E2967">
        <v>1</v>
      </c>
      <c r="F2967">
        <v>6126062267</v>
      </c>
      <c r="G2967">
        <v>273200</v>
      </c>
      <c r="H2967" t="s">
        <v>40293</v>
      </c>
      <c r="I2967">
        <v>18639</v>
      </c>
      <c r="J2967">
        <v>1</v>
      </c>
      <c r="K2967">
        <v>2</v>
      </c>
    </row>
    <row r="2968" spans="1:11">
      <c r="A2968">
        <v>90</v>
      </c>
      <c r="B2968" t="b">
        <v>0</v>
      </c>
      <c r="C2968" t="s">
        <v>42676</v>
      </c>
      <c r="D2968">
        <v>1037022454355</v>
      </c>
      <c r="E2968">
        <v>1</v>
      </c>
      <c r="F2968">
        <v>6098933631</v>
      </c>
      <c r="G2968">
        <v>273100</v>
      </c>
      <c r="H2968" t="s">
        <v>40293</v>
      </c>
      <c r="I2968">
        <v>18639</v>
      </c>
      <c r="J2968">
        <v>25</v>
      </c>
      <c r="K2968">
        <v>25</v>
      </c>
    </row>
    <row r="2969" spans="1:11">
      <c r="A2969">
        <v>90</v>
      </c>
      <c r="B2969" t="b">
        <v>0</v>
      </c>
      <c r="C2969" t="s">
        <v>44330</v>
      </c>
      <c r="D2969">
        <v>1037022454355</v>
      </c>
      <c r="E2969">
        <v>1</v>
      </c>
      <c r="F2969">
        <v>6123261950</v>
      </c>
      <c r="G2969">
        <v>129900</v>
      </c>
      <c r="H2969" t="s">
        <v>40293</v>
      </c>
      <c r="I2969">
        <v>18639</v>
      </c>
      <c r="J2969">
        <v>9</v>
      </c>
      <c r="K2969">
        <v>23</v>
      </c>
    </row>
    <row r="2970" spans="1:11">
      <c r="A2970">
        <v>90</v>
      </c>
      <c r="B2970" t="b">
        <v>0</v>
      </c>
      <c r="C2970" t="s">
        <v>46355</v>
      </c>
      <c r="D2970">
        <v>1037022454355</v>
      </c>
      <c r="E2970">
        <v>1</v>
      </c>
      <c r="F2970">
        <v>6120601023</v>
      </c>
      <c r="G2970">
        <v>129800</v>
      </c>
      <c r="H2970" t="s">
        <v>40293</v>
      </c>
      <c r="I2970">
        <v>18639</v>
      </c>
      <c r="J2970">
        <v>4</v>
      </c>
      <c r="K2970">
        <v>10</v>
      </c>
    </row>
    <row r="2971" spans="1:11">
      <c r="A2971">
        <v>90</v>
      </c>
      <c r="B2971" t="b">
        <v>0</v>
      </c>
      <c r="C2971" t="s">
        <v>45616</v>
      </c>
      <c r="D2971">
        <v>1037022454355</v>
      </c>
      <c r="E2971">
        <v>1</v>
      </c>
      <c r="F2971">
        <v>6143692975</v>
      </c>
      <c r="G2971">
        <v>125000</v>
      </c>
      <c r="H2971" t="s">
        <v>40293</v>
      </c>
      <c r="I2971">
        <v>18639</v>
      </c>
      <c r="J2971">
        <v>7</v>
      </c>
      <c r="K2971">
        <v>30</v>
      </c>
    </row>
    <row r="2972" spans="1:11">
      <c r="A2972">
        <v>90</v>
      </c>
      <c r="B2972" t="b">
        <v>0</v>
      </c>
      <c r="C2972" t="s">
        <v>41787</v>
      </c>
      <c r="D2972">
        <v>1037022454355</v>
      </c>
      <c r="E2972">
        <v>1</v>
      </c>
      <c r="F2972">
        <v>6126044566</v>
      </c>
      <c r="G2972">
        <v>61200000</v>
      </c>
      <c r="H2972" t="s">
        <v>40293</v>
      </c>
      <c r="I2972">
        <v>18662</v>
      </c>
      <c r="J2972">
        <v>2</v>
      </c>
      <c r="K2972">
        <v>7</v>
      </c>
    </row>
    <row r="2973" spans="1:11">
      <c r="A2973">
        <v>90</v>
      </c>
      <c r="B2973" t="b">
        <v>0</v>
      </c>
      <c r="C2973" t="s">
        <v>43524</v>
      </c>
      <c r="D2973">
        <v>1037022454355</v>
      </c>
      <c r="E2973">
        <v>1</v>
      </c>
      <c r="F2973">
        <v>6074615661</v>
      </c>
      <c r="G2973">
        <v>473100000</v>
      </c>
      <c r="H2973" t="s">
        <v>40293</v>
      </c>
      <c r="I2973">
        <v>18672</v>
      </c>
      <c r="J2973">
        <v>2</v>
      </c>
      <c r="K2973">
        <v>4</v>
      </c>
    </row>
    <row r="2974" spans="1:11">
      <c r="A2974">
        <v>90</v>
      </c>
      <c r="B2974" t="b">
        <v>0</v>
      </c>
      <c r="C2974" t="s">
        <v>44316</v>
      </c>
      <c r="D2974">
        <v>1037022454355</v>
      </c>
      <c r="E2974">
        <v>1</v>
      </c>
      <c r="F2974">
        <v>6153408354</v>
      </c>
      <c r="G2974">
        <v>180000000</v>
      </c>
      <c r="H2974" t="s">
        <v>40293</v>
      </c>
      <c r="I2974">
        <v>18676</v>
      </c>
      <c r="J2974">
        <v>1</v>
      </c>
      <c r="K2974">
        <v>2</v>
      </c>
    </row>
    <row r="2975" spans="1:11">
      <c r="A2975">
        <v>90</v>
      </c>
      <c r="B2975" t="b">
        <v>0</v>
      </c>
      <c r="C2975" t="s">
        <v>46440</v>
      </c>
      <c r="D2975">
        <v>1037022454355</v>
      </c>
      <c r="E2975">
        <v>1</v>
      </c>
      <c r="F2975">
        <v>6090783422</v>
      </c>
      <c r="G2975">
        <v>49210000</v>
      </c>
      <c r="H2975" t="s">
        <v>40293</v>
      </c>
      <c r="I2975">
        <v>18692</v>
      </c>
      <c r="J2975">
        <v>8</v>
      </c>
      <c r="K2975">
        <v>12</v>
      </c>
    </row>
    <row r="2976" spans="1:11">
      <c r="A2976">
        <v>30</v>
      </c>
      <c r="B2976" t="b">
        <v>0</v>
      </c>
      <c r="C2976" t="s">
        <v>45522</v>
      </c>
      <c r="D2976">
        <v>1037022454355</v>
      </c>
      <c r="E2976">
        <v>1</v>
      </c>
      <c r="F2976">
        <v>6154537990</v>
      </c>
      <c r="G2976">
        <v>150000000</v>
      </c>
      <c r="H2976" t="s">
        <v>40293</v>
      </c>
      <c r="I2976">
        <v>18710</v>
      </c>
      <c r="J2976">
        <v>3</v>
      </c>
      <c r="K2976">
        <v>3</v>
      </c>
    </row>
    <row r="2977" spans="1:11">
      <c r="A2977">
        <v>90</v>
      </c>
      <c r="B2977" t="b">
        <v>0</v>
      </c>
      <c r="C2977" t="s">
        <v>43589</v>
      </c>
      <c r="D2977">
        <v>1037022454355</v>
      </c>
      <c r="E2977">
        <v>1</v>
      </c>
      <c r="F2977">
        <v>6074060688</v>
      </c>
      <c r="G2977">
        <v>2501000</v>
      </c>
      <c r="H2977" t="s">
        <v>40293</v>
      </c>
      <c r="I2977">
        <v>18756</v>
      </c>
      <c r="J2977">
        <v>45</v>
      </c>
      <c r="K2977">
        <v>54</v>
      </c>
    </row>
    <row r="2978" spans="1:11">
      <c r="A2978">
        <v>30</v>
      </c>
      <c r="B2978" t="b">
        <v>0</v>
      </c>
      <c r="C2978" t="s">
        <v>44807</v>
      </c>
      <c r="D2978">
        <v>1037022454355</v>
      </c>
      <c r="E2978">
        <v>1</v>
      </c>
      <c r="F2978">
        <v>6149515252</v>
      </c>
      <c r="G2978">
        <v>1500000</v>
      </c>
      <c r="H2978" t="s">
        <v>40293</v>
      </c>
      <c r="I2978">
        <v>18766</v>
      </c>
      <c r="J2978">
        <v>1</v>
      </c>
      <c r="K2978">
        <v>2</v>
      </c>
    </row>
    <row r="2979" spans="1:11">
      <c r="A2979">
        <v>30</v>
      </c>
      <c r="B2979" t="b">
        <v>0</v>
      </c>
      <c r="C2979" t="s">
        <v>45934</v>
      </c>
      <c r="D2979">
        <v>1037022454355</v>
      </c>
      <c r="E2979">
        <v>1</v>
      </c>
      <c r="F2979">
        <v>6148509647</v>
      </c>
      <c r="G2979">
        <v>122100000</v>
      </c>
      <c r="H2979" t="s">
        <v>40293</v>
      </c>
      <c r="I2979">
        <v>18789</v>
      </c>
      <c r="J2979">
        <v>2</v>
      </c>
      <c r="K2979">
        <v>5</v>
      </c>
    </row>
    <row r="2980" spans="1:11">
      <c r="A2980">
        <v>90</v>
      </c>
      <c r="B2980" t="b">
        <v>0</v>
      </c>
      <c r="C2980" t="s">
        <v>46527</v>
      </c>
      <c r="D2980">
        <v>1037022454355</v>
      </c>
      <c r="E2980">
        <v>1</v>
      </c>
      <c r="F2980">
        <v>6156910509</v>
      </c>
      <c r="G2980">
        <v>2600000</v>
      </c>
      <c r="H2980" t="s">
        <v>40293</v>
      </c>
      <c r="I2980">
        <v>18797</v>
      </c>
      <c r="J2980">
        <v>3</v>
      </c>
      <c r="K2980">
        <v>3</v>
      </c>
    </row>
    <row r="2981" spans="1:11">
      <c r="A2981">
        <v>90</v>
      </c>
      <c r="B2981" t="b">
        <v>0</v>
      </c>
      <c r="C2981" t="s">
        <v>45366</v>
      </c>
      <c r="D2981">
        <v>1037022454355</v>
      </c>
      <c r="E2981">
        <v>1</v>
      </c>
      <c r="F2981">
        <v>6148146420</v>
      </c>
      <c r="G2981">
        <v>500000</v>
      </c>
      <c r="H2981" t="s">
        <v>40293</v>
      </c>
      <c r="I2981">
        <v>18835</v>
      </c>
      <c r="J2981">
        <v>1</v>
      </c>
      <c r="K2981">
        <v>1</v>
      </c>
    </row>
    <row r="2982" spans="1:11">
      <c r="A2982">
        <v>90</v>
      </c>
      <c r="B2982" t="b">
        <v>0</v>
      </c>
      <c r="C2982" t="s">
        <v>43852</v>
      </c>
      <c r="D2982">
        <v>1037022454355</v>
      </c>
      <c r="E2982">
        <v>1</v>
      </c>
      <c r="F2982">
        <v>6143154936</v>
      </c>
      <c r="G2982">
        <v>2000000</v>
      </c>
      <c r="H2982" t="s">
        <v>40293</v>
      </c>
      <c r="I2982">
        <v>18843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45484</v>
      </c>
      <c r="D2983">
        <v>1037022454355</v>
      </c>
      <c r="E2983">
        <v>1</v>
      </c>
      <c r="F2983">
        <v>6148147865</v>
      </c>
      <c r="G2983">
        <v>1999000</v>
      </c>
      <c r="H2983" t="s">
        <v>40293</v>
      </c>
      <c r="I2983">
        <v>18843</v>
      </c>
      <c r="J2983">
        <v>1</v>
      </c>
      <c r="K2983">
        <v>1</v>
      </c>
    </row>
    <row r="2984" spans="1:11">
      <c r="A2984">
        <v>90</v>
      </c>
      <c r="B2984" t="b">
        <v>0</v>
      </c>
      <c r="C2984" t="s">
        <v>41366</v>
      </c>
      <c r="D2984">
        <v>1037022454355</v>
      </c>
      <c r="E2984">
        <v>1</v>
      </c>
      <c r="F2984">
        <v>6112579318</v>
      </c>
      <c r="G2984">
        <v>301000000</v>
      </c>
      <c r="H2984" t="s">
        <v>40293</v>
      </c>
      <c r="I2984">
        <v>18851</v>
      </c>
      <c r="J2984">
        <v>3</v>
      </c>
      <c r="K2984">
        <v>3</v>
      </c>
    </row>
    <row r="2985" spans="1:11">
      <c r="A2985">
        <v>90</v>
      </c>
      <c r="B2985" t="b">
        <v>0</v>
      </c>
      <c r="C2985" t="s">
        <v>43112</v>
      </c>
      <c r="D2985">
        <v>1037022454355</v>
      </c>
      <c r="E2985">
        <v>1</v>
      </c>
      <c r="F2985">
        <v>6143154890</v>
      </c>
      <c r="G2985">
        <v>5000000</v>
      </c>
      <c r="H2985" t="s">
        <v>40293</v>
      </c>
      <c r="I2985">
        <v>18855</v>
      </c>
      <c r="J2985">
        <v>2</v>
      </c>
      <c r="K2985">
        <v>2</v>
      </c>
    </row>
    <row r="2986" spans="1:11">
      <c r="A2986">
        <v>90</v>
      </c>
      <c r="B2986" t="b">
        <v>0</v>
      </c>
      <c r="C2986" t="s">
        <v>40738</v>
      </c>
      <c r="D2986">
        <v>1037022454355</v>
      </c>
      <c r="E2986">
        <v>1</v>
      </c>
      <c r="F2986">
        <v>6097217202</v>
      </c>
      <c r="G2986">
        <v>50000000</v>
      </c>
      <c r="H2986" t="s">
        <v>40293</v>
      </c>
      <c r="I2986">
        <v>18857</v>
      </c>
      <c r="J2986">
        <v>3</v>
      </c>
      <c r="K2986">
        <v>3</v>
      </c>
    </row>
    <row r="2987" spans="1:11">
      <c r="A2987">
        <v>90</v>
      </c>
      <c r="B2987" t="b">
        <v>0</v>
      </c>
      <c r="C2987" t="s">
        <v>43885</v>
      </c>
      <c r="D2987">
        <v>1037022454355</v>
      </c>
      <c r="E2987">
        <v>1</v>
      </c>
      <c r="F2987">
        <v>6143153042</v>
      </c>
      <c r="G2987">
        <v>18000000</v>
      </c>
      <c r="H2987" t="s">
        <v>40293</v>
      </c>
      <c r="I2987">
        <v>18871</v>
      </c>
      <c r="J2987">
        <v>9</v>
      </c>
      <c r="K2987">
        <v>10</v>
      </c>
    </row>
    <row r="2988" spans="1:11">
      <c r="A2988">
        <v>90</v>
      </c>
      <c r="B2988" t="b">
        <v>0</v>
      </c>
      <c r="C2988" t="s">
        <v>40811</v>
      </c>
      <c r="D2988">
        <v>1037022454355</v>
      </c>
      <c r="E2988">
        <v>1</v>
      </c>
      <c r="F2988">
        <v>6102429088</v>
      </c>
      <c r="G2988">
        <v>60600000</v>
      </c>
      <c r="H2988" t="s">
        <v>40293</v>
      </c>
      <c r="I2988">
        <v>18875</v>
      </c>
      <c r="J2988">
        <v>3</v>
      </c>
      <c r="K2988">
        <v>3</v>
      </c>
    </row>
    <row r="2989" spans="1:11">
      <c r="A2989">
        <v>30</v>
      </c>
      <c r="B2989" t="b">
        <v>0</v>
      </c>
      <c r="C2989" t="s">
        <v>43472</v>
      </c>
      <c r="D2989">
        <v>1037022454355</v>
      </c>
      <c r="E2989">
        <v>1</v>
      </c>
      <c r="F2989">
        <v>6139855083</v>
      </c>
      <c r="G2989">
        <v>60500000</v>
      </c>
      <c r="H2989" t="s">
        <v>40293</v>
      </c>
      <c r="I2989">
        <v>18875</v>
      </c>
      <c r="J2989">
        <v>1</v>
      </c>
      <c r="K2989">
        <v>1</v>
      </c>
    </row>
    <row r="2990" spans="1:11">
      <c r="A2990">
        <v>30</v>
      </c>
      <c r="B2990" t="b">
        <v>0</v>
      </c>
      <c r="C2990" t="s">
        <v>45530</v>
      </c>
      <c r="D2990">
        <v>1037022454355</v>
      </c>
      <c r="E2990">
        <v>1</v>
      </c>
      <c r="F2990">
        <v>6154538148</v>
      </c>
      <c r="G2990">
        <v>60500000</v>
      </c>
      <c r="H2990" t="s">
        <v>40293</v>
      </c>
      <c r="I2990">
        <v>18875</v>
      </c>
      <c r="J2990">
        <v>4</v>
      </c>
      <c r="K2990">
        <v>4</v>
      </c>
    </row>
    <row r="2991" spans="1:11">
      <c r="A2991">
        <v>90</v>
      </c>
      <c r="B2991" t="b">
        <v>0</v>
      </c>
      <c r="C2991" t="s">
        <v>41510</v>
      </c>
      <c r="D2991">
        <v>1037022454355</v>
      </c>
      <c r="E2991">
        <v>1</v>
      </c>
      <c r="F2991">
        <v>6074656937</v>
      </c>
      <c r="G2991">
        <v>620000000</v>
      </c>
      <c r="H2991" t="s">
        <v>40293</v>
      </c>
      <c r="I2991">
        <v>18881</v>
      </c>
      <c r="J2991">
        <v>1</v>
      </c>
      <c r="K2991">
        <v>2</v>
      </c>
    </row>
    <row r="2992" spans="1:11">
      <c r="A2992">
        <v>90</v>
      </c>
      <c r="B2992" t="b">
        <v>0</v>
      </c>
      <c r="C2992" t="s">
        <v>40800</v>
      </c>
      <c r="D2992">
        <v>1037022454355</v>
      </c>
      <c r="E2992">
        <v>1</v>
      </c>
      <c r="F2992">
        <v>6074641590</v>
      </c>
      <c r="G2992">
        <v>592300000</v>
      </c>
      <c r="H2992" t="s">
        <v>40293</v>
      </c>
      <c r="I2992">
        <v>18881</v>
      </c>
      <c r="J2992">
        <v>4</v>
      </c>
      <c r="K2992">
        <v>8</v>
      </c>
    </row>
    <row r="2993" spans="1:11">
      <c r="A2993">
        <v>90</v>
      </c>
      <c r="B2993" t="b">
        <v>0</v>
      </c>
      <c r="C2993" t="s">
        <v>40498</v>
      </c>
      <c r="D2993">
        <v>1037022454355</v>
      </c>
      <c r="E2993">
        <v>1</v>
      </c>
      <c r="F2993">
        <v>6121034504</v>
      </c>
      <c r="G2993">
        <v>545600000</v>
      </c>
      <c r="H2993" t="s">
        <v>40293</v>
      </c>
      <c r="I2993">
        <v>18881</v>
      </c>
      <c r="J2993">
        <v>1</v>
      </c>
      <c r="K2993">
        <v>2</v>
      </c>
    </row>
    <row r="2994" spans="1:11">
      <c r="A2994">
        <v>90</v>
      </c>
      <c r="B2994" t="b">
        <v>0</v>
      </c>
      <c r="C2994" t="s">
        <v>40745</v>
      </c>
      <c r="D2994">
        <v>1037022454355</v>
      </c>
      <c r="E2994">
        <v>1</v>
      </c>
      <c r="F2994">
        <v>6124119925</v>
      </c>
      <c r="G2994">
        <v>48100000</v>
      </c>
      <c r="H2994" t="s">
        <v>40293</v>
      </c>
      <c r="I2994">
        <v>18909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41697</v>
      </c>
      <c r="D2995">
        <v>1037022454355</v>
      </c>
      <c r="E2995">
        <v>1</v>
      </c>
      <c r="F2995">
        <v>6103268024</v>
      </c>
      <c r="G2995">
        <v>176500000</v>
      </c>
      <c r="H2995" t="s">
        <v>40293</v>
      </c>
      <c r="I2995">
        <v>18933</v>
      </c>
      <c r="J2995">
        <v>2</v>
      </c>
      <c r="K2995">
        <v>2</v>
      </c>
    </row>
    <row r="2996" spans="1:11">
      <c r="A2996">
        <v>90</v>
      </c>
      <c r="B2996" t="b">
        <v>0</v>
      </c>
      <c r="C2996" t="s">
        <v>41443</v>
      </c>
      <c r="D2996">
        <v>1037022454355</v>
      </c>
      <c r="E2996">
        <v>1</v>
      </c>
      <c r="F2996">
        <v>6067337978</v>
      </c>
      <c r="G2996">
        <v>147400000</v>
      </c>
      <c r="H2996" t="s">
        <v>40293</v>
      </c>
      <c r="I2996">
        <v>18933</v>
      </c>
      <c r="J2996">
        <v>1</v>
      </c>
      <c r="K2996">
        <v>2</v>
      </c>
    </row>
    <row r="2997" spans="1:11">
      <c r="A2997">
        <v>90</v>
      </c>
      <c r="B2997" t="b">
        <v>0</v>
      </c>
      <c r="C2997" t="s">
        <v>42088</v>
      </c>
      <c r="D2997">
        <v>1037022454355</v>
      </c>
      <c r="E2997">
        <v>1</v>
      </c>
      <c r="F2997">
        <v>6070606822</v>
      </c>
      <c r="G2997">
        <v>147300000</v>
      </c>
      <c r="H2997" t="s">
        <v>40293</v>
      </c>
      <c r="I2997">
        <v>18933</v>
      </c>
      <c r="J2997">
        <v>1</v>
      </c>
      <c r="K2997">
        <v>2</v>
      </c>
    </row>
    <row r="2998" spans="1:11">
      <c r="A2998">
        <v>90</v>
      </c>
      <c r="B2998" t="b">
        <v>0</v>
      </c>
      <c r="C2998" t="s">
        <v>40485</v>
      </c>
      <c r="D2998">
        <v>1037022454355</v>
      </c>
      <c r="E2998">
        <v>1</v>
      </c>
      <c r="F2998">
        <v>6112580000</v>
      </c>
      <c r="G2998">
        <v>138000000</v>
      </c>
      <c r="H2998" t="s">
        <v>40293</v>
      </c>
      <c r="I2998">
        <v>18935</v>
      </c>
      <c r="J2998">
        <v>2</v>
      </c>
      <c r="K2998">
        <v>2</v>
      </c>
    </row>
    <row r="2999" spans="1:11">
      <c r="A2999">
        <v>90</v>
      </c>
      <c r="B2999" t="b">
        <v>0</v>
      </c>
      <c r="C2999" t="s">
        <v>42781</v>
      </c>
      <c r="D2999">
        <v>1037022454355</v>
      </c>
      <c r="E2999">
        <v>1</v>
      </c>
      <c r="F2999">
        <v>6134918369</v>
      </c>
      <c r="G2999">
        <v>93500000</v>
      </c>
      <c r="H2999" t="s">
        <v>40293</v>
      </c>
      <c r="I2999">
        <v>18937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43351</v>
      </c>
      <c r="D3000">
        <v>1037022454355</v>
      </c>
      <c r="E3000">
        <v>1</v>
      </c>
      <c r="F3000">
        <v>6077100900</v>
      </c>
      <c r="G3000">
        <v>100900000</v>
      </c>
      <c r="H3000" t="s">
        <v>40293</v>
      </c>
      <c r="I3000">
        <v>18939</v>
      </c>
      <c r="J3000">
        <v>1</v>
      </c>
      <c r="K3000">
        <v>3</v>
      </c>
    </row>
    <row r="3001" spans="1:11">
      <c r="A3001">
        <v>90</v>
      </c>
      <c r="B3001" t="b">
        <v>0</v>
      </c>
      <c r="C3001" t="s">
        <v>40488</v>
      </c>
      <c r="D3001">
        <v>1037022454355</v>
      </c>
      <c r="E3001">
        <v>1</v>
      </c>
      <c r="F3001">
        <v>6112580118</v>
      </c>
      <c r="G3001">
        <v>100500000</v>
      </c>
      <c r="H3001" t="s">
        <v>40293</v>
      </c>
      <c r="I3001">
        <v>18939</v>
      </c>
      <c r="J3001">
        <v>3</v>
      </c>
      <c r="K3001">
        <v>3</v>
      </c>
    </row>
    <row r="3002" spans="1:11">
      <c r="A3002">
        <v>90</v>
      </c>
      <c r="B3002" t="b">
        <v>0</v>
      </c>
      <c r="C3002" t="s">
        <v>41888</v>
      </c>
      <c r="D3002">
        <v>1037022454355</v>
      </c>
      <c r="E3002">
        <v>1</v>
      </c>
      <c r="F3002">
        <v>6127207454</v>
      </c>
      <c r="G3002">
        <v>100000000</v>
      </c>
      <c r="H3002" t="s">
        <v>40293</v>
      </c>
      <c r="I3002">
        <v>18939</v>
      </c>
      <c r="J3002">
        <v>1</v>
      </c>
      <c r="K3002">
        <v>1</v>
      </c>
    </row>
    <row r="3003" spans="1:11">
      <c r="A3003">
        <v>90</v>
      </c>
      <c r="B3003" t="b">
        <v>0</v>
      </c>
      <c r="C3003" t="s">
        <v>42142</v>
      </c>
      <c r="D3003">
        <v>1037022454355</v>
      </c>
      <c r="E3003">
        <v>1</v>
      </c>
      <c r="F3003">
        <v>6068520130</v>
      </c>
      <c r="G3003">
        <v>99000000</v>
      </c>
      <c r="H3003" t="s">
        <v>40293</v>
      </c>
      <c r="I3003">
        <v>18939</v>
      </c>
      <c r="J3003">
        <v>2</v>
      </c>
      <c r="K3003">
        <v>2</v>
      </c>
    </row>
    <row r="3004" spans="1:11">
      <c r="A3004">
        <v>90</v>
      </c>
      <c r="B3004" t="b">
        <v>0</v>
      </c>
      <c r="C3004" t="s">
        <v>41821</v>
      </c>
      <c r="D3004">
        <v>1037022454355</v>
      </c>
      <c r="E3004">
        <v>1</v>
      </c>
      <c r="F3004">
        <v>6126607080</v>
      </c>
      <c r="G3004">
        <v>249000000</v>
      </c>
      <c r="H3004" t="s">
        <v>40293</v>
      </c>
      <c r="I3004">
        <v>18941</v>
      </c>
      <c r="J3004">
        <v>1</v>
      </c>
      <c r="K3004">
        <v>1</v>
      </c>
    </row>
    <row r="3005" spans="1:11">
      <c r="A3005">
        <v>90</v>
      </c>
      <c r="B3005" t="b">
        <v>0</v>
      </c>
      <c r="C3005" t="s">
        <v>42219</v>
      </c>
      <c r="D3005">
        <v>1037022454355</v>
      </c>
      <c r="E3005">
        <v>1</v>
      </c>
      <c r="F3005">
        <v>6067662854</v>
      </c>
      <c r="G3005">
        <v>248000000</v>
      </c>
      <c r="H3005" t="s">
        <v>40293</v>
      </c>
      <c r="I3005">
        <v>18941</v>
      </c>
      <c r="J3005">
        <v>1</v>
      </c>
      <c r="K3005">
        <v>1</v>
      </c>
    </row>
    <row r="3006" spans="1:11">
      <c r="A3006">
        <v>90</v>
      </c>
      <c r="B3006" t="b">
        <v>0</v>
      </c>
      <c r="C3006" t="s">
        <v>41535</v>
      </c>
      <c r="D3006">
        <v>1037022454355</v>
      </c>
      <c r="E3006">
        <v>1</v>
      </c>
      <c r="F3006">
        <v>6112580060</v>
      </c>
      <c r="G3006">
        <v>96000000</v>
      </c>
      <c r="H3006" t="s">
        <v>40293</v>
      </c>
      <c r="I3006">
        <v>18943</v>
      </c>
      <c r="J3006">
        <v>2</v>
      </c>
      <c r="K3006">
        <v>3</v>
      </c>
    </row>
    <row r="3007" spans="1:11">
      <c r="A3007">
        <v>90</v>
      </c>
      <c r="B3007" t="b">
        <v>0</v>
      </c>
      <c r="C3007" t="s">
        <v>42173</v>
      </c>
      <c r="D3007">
        <v>1037022454355</v>
      </c>
      <c r="E3007">
        <v>1</v>
      </c>
      <c r="F3007">
        <v>6102701560</v>
      </c>
      <c r="G3007">
        <v>95980000</v>
      </c>
      <c r="H3007" t="s">
        <v>40293</v>
      </c>
      <c r="I3007">
        <v>18943</v>
      </c>
      <c r="J3007">
        <v>1</v>
      </c>
      <c r="K3007">
        <v>2</v>
      </c>
    </row>
    <row r="3008" spans="1:11">
      <c r="A3008">
        <v>90</v>
      </c>
      <c r="B3008" t="b">
        <v>0</v>
      </c>
      <c r="C3008" t="s">
        <v>40385</v>
      </c>
      <c r="D3008">
        <v>1037022454355</v>
      </c>
      <c r="E3008">
        <v>1</v>
      </c>
      <c r="F3008">
        <v>6082332936</v>
      </c>
      <c r="G3008">
        <v>198700000</v>
      </c>
      <c r="H3008" t="s">
        <v>40293</v>
      </c>
      <c r="I3008">
        <v>18945</v>
      </c>
      <c r="J3008">
        <v>1</v>
      </c>
      <c r="K3008">
        <v>1</v>
      </c>
    </row>
    <row r="3009" spans="1:11">
      <c r="A3009">
        <v>90</v>
      </c>
      <c r="B3009" t="b">
        <v>0</v>
      </c>
      <c r="C3009" t="s">
        <v>43065</v>
      </c>
      <c r="D3009">
        <v>1037022454355</v>
      </c>
      <c r="E3009">
        <v>1</v>
      </c>
      <c r="F3009">
        <v>6079124987</v>
      </c>
      <c r="G3009">
        <v>198600000</v>
      </c>
      <c r="H3009" t="s">
        <v>40293</v>
      </c>
      <c r="I3009">
        <v>18945</v>
      </c>
      <c r="J3009">
        <v>1</v>
      </c>
      <c r="K3009">
        <v>1</v>
      </c>
    </row>
    <row r="3010" spans="1:11">
      <c r="A3010">
        <v>90</v>
      </c>
      <c r="B3010" t="b">
        <v>0</v>
      </c>
      <c r="C3010" t="s">
        <v>40928</v>
      </c>
      <c r="D3010">
        <v>1037022454355</v>
      </c>
      <c r="E3010">
        <v>1</v>
      </c>
      <c r="F3010">
        <v>6122649757</v>
      </c>
      <c r="G3010">
        <v>164000000</v>
      </c>
      <c r="H3010" t="s">
        <v>40293</v>
      </c>
      <c r="I3010">
        <v>18947</v>
      </c>
      <c r="J3010">
        <v>4</v>
      </c>
      <c r="K3010">
        <v>4</v>
      </c>
    </row>
    <row r="3011" spans="1:11">
      <c r="A3011">
        <v>90</v>
      </c>
      <c r="B3011" t="b">
        <v>0</v>
      </c>
      <c r="C3011" t="s">
        <v>42443</v>
      </c>
      <c r="D3011">
        <v>1037022454355</v>
      </c>
      <c r="E3011">
        <v>1</v>
      </c>
      <c r="F3011">
        <v>6112579745</v>
      </c>
      <c r="G3011">
        <v>163800000</v>
      </c>
      <c r="H3011" t="s">
        <v>40293</v>
      </c>
      <c r="I3011">
        <v>18947</v>
      </c>
      <c r="J3011">
        <v>1</v>
      </c>
      <c r="K3011">
        <v>3</v>
      </c>
    </row>
    <row r="3012" spans="1:11">
      <c r="A3012">
        <v>90</v>
      </c>
      <c r="B3012" t="b">
        <v>0</v>
      </c>
      <c r="C3012" t="s">
        <v>43584</v>
      </c>
      <c r="D3012">
        <v>1037022454355</v>
      </c>
      <c r="E3012">
        <v>1</v>
      </c>
      <c r="F3012">
        <v>6105124622</v>
      </c>
      <c r="G3012">
        <v>163700000</v>
      </c>
      <c r="H3012" t="s">
        <v>40293</v>
      </c>
      <c r="I3012">
        <v>18947</v>
      </c>
      <c r="J3012">
        <v>1</v>
      </c>
      <c r="K3012">
        <v>1</v>
      </c>
    </row>
    <row r="3013" spans="1:11">
      <c r="A3013">
        <v>90</v>
      </c>
      <c r="B3013" t="b">
        <v>0</v>
      </c>
      <c r="C3013" t="s">
        <v>45724</v>
      </c>
      <c r="D3013">
        <v>1037022454355</v>
      </c>
      <c r="E3013">
        <v>1</v>
      </c>
      <c r="F3013">
        <v>6147266077</v>
      </c>
      <c r="G3013">
        <v>163600000</v>
      </c>
      <c r="H3013" t="s">
        <v>40293</v>
      </c>
      <c r="I3013">
        <v>18947</v>
      </c>
      <c r="J3013">
        <v>5</v>
      </c>
      <c r="K3013">
        <v>6</v>
      </c>
    </row>
    <row r="3014" spans="1:11">
      <c r="A3014">
        <v>90</v>
      </c>
      <c r="B3014" t="b">
        <v>0</v>
      </c>
      <c r="C3014" t="s">
        <v>41204</v>
      </c>
      <c r="D3014">
        <v>1037022454355</v>
      </c>
      <c r="E3014">
        <v>1</v>
      </c>
      <c r="F3014">
        <v>6105124623</v>
      </c>
      <c r="G3014">
        <v>90010000</v>
      </c>
      <c r="H3014" t="s">
        <v>40293</v>
      </c>
      <c r="I3014">
        <v>18975</v>
      </c>
      <c r="J3014">
        <v>1</v>
      </c>
      <c r="K3014">
        <v>1</v>
      </c>
    </row>
    <row r="3015" spans="1:11">
      <c r="A3015">
        <v>90</v>
      </c>
      <c r="B3015" t="b">
        <v>0</v>
      </c>
      <c r="C3015" t="s">
        <v>45352</v>
      </c>
      <c r="D3015">
        <v>1037022454355</v>
      </c>
      <c r="E3015">
        <v>1</v>
      </c>
      <c r="F3015">
        <v>6156633169</v>
      </c>
      <c r="G3015">
        <v>85200000</v>
      </c>
      <c r="H3015" t="s">
        <v>40293</v>
      </c>
      <c r="I3015">
        <v>19003</v>
      </c>
      <c r="J3015">
        <v>4</v>
      </c>
      <c r="K3015">
        <v>4</v>
      </c>
    </row>
    <row r="3016" spans="1:11">
      <c r="A3016">
        <v>90</v>
      </c>
      <c r="B3016" t="b">
        <v>0</v>
      </c>
      <c r="C3016" t="s">
        <v>46450</v>
      </c>
      <c r="D3016">
        <v>1037022454355</v>
      </c>
      <c r="E3016">
        <v>1</v>
      </c>
      <c r="F3016">
        <v>6156122877</v>
      </c>
      <c r="G3016">
        <v>85610000</v>
      </c>
      <c r="H3016" t="s">
        <v>40293</v>
      </c>
      <c r="I3016">
        <v>19009</v>
      </c>
      <c r="J3016">
        <v>5</v>
      </c>
      <c r="K3016">
        <v>5</v>
      </c>
    </row>
    <row r="3017" spans="1:11">
      <c r="A3017">
        <v>90</v>
      </c>
      <c r="B3017" t="b">
        <v>0</v>
      </c>
      <c r="C3017" t="s">
        <v>43703</v>
      </c>
      <c r="D3017">
        <v>1037022454355</v>
      </c>
      <c r="E3017">
        <v>1</v>
      </c>
      <c r="F3017">
        <v>6147170309</v>
      </c>
      <c r="G3017">
        <v>254300000</v>
      </c>
      <c r="H3017" t="s">
        <v>40293</v>
      </c>
      <c r="I3017">
        <v>19021</v>
      </c>
      <c r="J3017">
        <v>2</v>
      </c>
      <c r="K3017">
        <v>3</v>
      </c>
    </row>
    <row r="3018" spans="1:11">
      <c r="A3018">
        <v>90</v>
      </c>
      <c r="B3018" t="b">
        <v>0</v>
      </c>
      <c r="C3018" t="s">
        <v>46450</v>
      </c>
      <c r="D3018">
        <v>1037022454355</v>
      </c>
      <c r="E3018">
        <v>1</v>
      </c>
      <c r="F3018">
        <v>6156122878</v>
      </c>
      <c r="G3018">
        <v>139900000</v>
      </c>
      <c r="H3018" t="s">
        <v>40293</v>
      </c>
      <c r="I3018">
        <v>19023</v>
      </c>
      <c r="J3018">
        <v>3</v>
      </c>
      <c r="K3018">
        <v>3</v>
      </c>
    </row>
    <row r="3019" spans="1:11">
      <c r="A3019">
        <v>90</v>
      </c>
      <c r="B3019" t="b">
        <v>0</v>
      </c>
      <c r="C3019" t="s">
        <v>46516</v>
      </c>
      <c r="D3019">
        <v>1037022454355</v>
      </c>
      <c r="E3019">
        <v>1</v>
      </c>
      <c r="F3019">
        <v>6151732656</v>
      </c>
      <c r="G3019">
        <v>175100000</v>
      </c>
      <c r="H3019" t="s">
        <v>40293</v>
      </c>
      <c r="I3019">
        <v>19039</v>
      </c>
      <c r="J3019">
        <v>1</v>
      </c>
      <c r="K3019">
        <v>1</v>
      </c>
    </row>
    <row r="3020" spans="1:11">
      <c r="A3020">
        <v>90</v>
      </c>
      <c r="B3020" t="b">
        <v>0</v>
      </c>
      <c r="C3020" t="s">
        <v>44839</v>
      </c>
      <c r="D3020">
        <v>1037022454355</v>
      </c>
      <c r="E3020">
        <v>1</v>
      </c>
      <c r="F3020">
        <v>6151875046</v>
      </c>
      <c r="G3020">
        <v>175000000</v>
      </c>
      <c r="H3020" t="s">
        <v>40293</v>
      </c>
      <c r="I3020">
        <v>19040</v>
      </c>
      <c r="J3020">
        <v>1</v>
      </c>
      <c r="K3020">
        <v>1</v>
      </c>
    </row>
    <row r="3021" spans="1:11">
      <c r="A3021">
        <v>90</v>
      </c>
      <c r="B3021" t="b">
        <v>0</v>
      </c>
      <c r="C3021" t="s">
        <v>43762</v>
      </c>
      <c r="D3021">
        <v>1037022454355</v>
      </c>
      <c r="E3021">
        <v>1</v>
      </c>
      <c r="F3021">
        <v>6139996069</v>
      </c>
      <c r="G3021">
        <v>948000000</v>
      </c>
      <c r="H3021" t="s">
        <v>40293</v>
      </c>
      <c r="I3021">
        <v>19045</v>
      </c>
      <c r="J3021">
        <v>1</v>
      </c>
      <c r="K3021">
        <v>1</v>
      </c>
    </row>
    <row r="3022" spans="1:11">
      <c r="A3022">
        <v>90</v>
      </c>
      <c r="B3022" t="b">
        <v>0</v>
      </c>
      <c r="C3022" t="s">
        <v>45416</v>
      </c>
      <c r="D3022">
        <v>1037022454355</v>
      </c>
      <c r="E3022">
        <v>1</v>
      </c>
      <c r="F3022">
        <v>6156633968</v>
      </c>
      <c r="G3022">
        <v>817300000</v>
      </c>
      <c r="H3022" t="s">
        <v>40293</v>
      </c>
      <c r="I3022">
        <v>19045</v>
      </c>
      <c r="J3022">
        <v>3</v>
      </c>
      <c r="K3022">
        <v>3</v>
      </c>
    </row>
    <row r="3023" spans="1:11">
      <c r="A3023">
        <v>90</v>
      </c>
      <c r="B3023" t="b">
        <v>0</v>
      </c>
      <c r="C3023" t="s">
        <v>41094</v>
      </c>
      <c r="D3023">
        <v>1037022454355</v>
      </c>
      <c r="E3023">
        <v>1</v>
      </c>
      <c r="F3023">
        <v>6117738200</v>
      </c>
      <c r="G3023">
        <v>892000000</v>
      </c>
      <c r="H3023" t="s">
        <v>40293</v>
      </c>
      <c r="I3023">
        <v>19046</v>
      </c>
      <c r="J3023">
        <v>3</v>
      </c>
      <c r="K3023">
        <v>3</v>
      </c>
    </row>
    <row r="3024" spans="1:11">
      <c r="A3024">
        <v>90</v>
      </c>
      <c r="B3024" t="b">
        <v>0</v>
      </c>
      <c r="C3024" t="s">
        <v>46450</v>
      </c>
      <c r="D3024">
        <v>1037022454355</v>
      </c>
      <c r="E3024">
        <v>1</v>
      </c>
      <c r="F3024">
        <v>6156122879</v>
      </c>
      <c r="G3024">
        <v>891000000</v>
      </c>
      <c r="H3024" t="s">
        <v>40293</v>
      </c>
      <c r="I3024">
        <v>19046</v>
      </c>
      <c r="J3024">
        <v>3</v>
      </c>
      <c r="K3024">
        <v>3</v>
      </c>
    </row>
    <row r="3025" spans="1:11">
      <c r="A3025">
        <v>90</v>
      </c>
      <c r="B3025" t="b">
        <v>0</v>
      </c>
      <c r="C3025" t="s">
        <v>42929</v>
      </c>
      <c r="D3025">
        <v>1037022454355</v>
      </c>
      <c r="E3025">
        <v>1</v>
      </c>
      <c r="F3025">
        <v>6142428451</v>
      </c>
      <c r="G3025">
        <v>49200000</v>
      </c>
      <c r="H3025" t="s">
        <v>40293</v>
      </c>
      <c r="I3025">
        <v>19053</v>
      </c>
      <c r="J3025">
        <v>1</v>
      </c>
      <c r="K3025">
        <v>1</v>
      </c>
    </row>
    <row r="3026" spans="1:11">
      <c r="A3026">
        <v>90</v>
      </c>
      <c r="B3026" t="b">
        <v>0</v>
      </c>
      <c r="C3026" t="s">
        <v>42907</v>
      </c>
      <c r="D3026">
        <v>1037022454355</v>
      </c>
      <c r="E3026">
        <v>1</v>
      </c>
      <c r="F3026">
        <v>6142427844</v>
      </c>
      <c r="G3026">
        <v>56400000</v>
      </c>
      <c r="H3026" t="s">
        <v>40293</v>
      </c>
      <c r="I3026">
        <v>19057</v>
      </c>
      <c r="J3026">
        <v>1</v>
      </c>
      <c r="K3026">
        <v>1</v>
      </c>
    </row>
    <row r="3027" spans="1:11">
      <c r="A3027">
        <v>90</v>
      </c>
      <c r="B3027" t="b">
        <v>0</v>
      </c>
      <c r="C3027" t="s">
        <v>43068</v>
      </c>
      <c r="D3027">
        <v>1037022454355</v>
      </c>
      <c r="E3027">
        <v>1</v>
      </c>
      <c r="F3027">
        <v>6143153730</v>
      </c>
      <c r="G3027">
        <v>12000000</v>
      </c>
      <c r="H3027" t="s">
        <v>40293</v>
      </c>
      <c r="I3027">
        <v>19087</v>
      </c>
      <c r="J3027">
        <v>2</v>
      </c>
      <c r="K3027">
        <v>2</v>
      </c>
    </row>
    <row r="3028" spans="1:11">
      <c r="A3028">
        <v>90</v>
      </c>
      <c r="B3028" t="b">
        <v>0</v>
      </c>
      <c r="C3028" t="s">
        <v>44579</v>
      </c>
      <c r="D3028">
        <v>1037022454355</v>
      </c>
      <c r="E3028">
        <v>1</v>
      </c>
      <c r="F3028">
        <v>6153215396</v>
      </c>
      <c r="G3028">
        <v>26310000</v>
      </c>
      <c r="H3028" t="s">
        <v>40293</v>
      </c>
      <c r="I3028">
        <v>19105</v>
      </c>
      <c r="J3028">
        <v>4</v>
      </c>
      <c r="K3028">
        <v>4</v>
      </c>
    </row>
    <row r="3029" spans="1:11">
      <c r="A3029">
        <v>90</v>
      </c>
      <c r="B3029" t="b">
        <v>0</v>
      </c>
      <c r="C3029" t="s">
        <v>44569</v>
      </c>
      <c r="D3029">
        <v>1037022454355</v>
      </c>
      <c r="E3029">
        <v>1</v>
      </c>
      <c r="F3029">
        <v>6153215296</v>
      </c>
      <c r="G3029">
        <v>63000000</v>
      </c>
      <c r="H3029" t="s">
        <v>40293</v>
      </c>
      <c r="I3029">
        <v>19111</v>
      </c>
      <c r="J3029">
        <v>3</v>
      </c>
      <c r="K3029">
        <v>3</v>
      </c>
    </row>
    <row r="3030" spans="1:11">
      <c r="A3030">
        <v>90</v>
      </c>
      <c r="B3030" t="b">
        <v>0</v>
      </c>
      <c r="C3030" t="s">
        <v>43711</v>
      </c>
      <c r="D3030">
        <v>1037022454355</v>
      </c>
      <c r="E3030">
        <v>1</v>
      </c>
      <c r="F3030">
        <v>6147172718</v>
      </c>
      <c r="G3030">
        <v>70950000</v>
      </c>
      <c r="H3030" t="s">
        <v>40293</v>
      </c>
      <c r="I3030">
        <v>19119</v>
      </c>
      <c r="J3030">
        <v>13</v>
      </c>
      <c r="K3030">
        <v>15</v>
      </c>
    </row>
    <row r="3031" spans="1:11">
      <c r="A3031">
        <v>90</v>
      </c>
      <c r="B3031" t="b">
        <v>0</v>
      </c>
      <c r="C3031" t="s">
        <v>45730</v>
      </c>
      <c r="D3031">
        <v>1037022454355</v>
      </c>
      <c r="E3031">
        <v>1</v>
      </c>
      <c r="F3031">
        <v>6068000323</v>
      </c>
      <c r="G3031">
        <v>39720000</v>
      </c>
      <c r="H3031" t="s">
        <v>40293</v>
      </c>
      <c r="I3031">
        <v>19131</v>
      </c>
      <c r="J3031">
        <v>2</v>
      </c>
      <c r="K3031">
        <v>2</v>
      </c>
    </row>
    <row r="3032" spans="1:11">
      <c r="A3032">
        <v>90</v>
      </c>
      <c r="B3032" t="b">
        <v>0</v>
      </c>
      <c r="C3032" t="s">
        <v>41800</v>
      </c>
      <c r="D3032">
        <v>1037022454355</v>
      </c>
      <c r="E3032">
        <v>1</v>
      </c>
      <c r="F3032">
        <v>6128963485</v>
      </c>
      <c r="G3032">
        <v>40000000</v>
      </c>
      <c r="H3032" t="s">
        <v>40293</v>
      </c>
      <c r="I3032">
        <v>19139</v>
      </c>
      <c r="J3032">
        <v>3</v>
      </c>
      <c r="K3032">
        <v>3</v>
      </c>
    </row>
    <row r="3033" spans="1:11">
      <c r="A3033">
        <v>90</v>
      </c>
      <c r="B3033" t="b">
        <v>0</v>
      </c>
      <c r="C3033" t="s">
        <v>42612</v>
      </c>
      <c r="D3033">
        <v>1037022454355</v>
      </c>
      <c r="E3033">
        <v>1</v>
      </c>
      <c r="F3033">
        <v>6137268697</v>
      </c>
      <c r="G3033">
        <v>39000000</v>
      </c>
      <c r="H3033" t="s">
        <v>40293</v>
      </c>
      <c r="I3033">
        <v>19139</v>
      </c>
      <c r="J3033">
        <v>1</v>
      </c>
      <c r="K3033">
        <v>1</v>
      </c>
    </row>
    <row r="3034" spans="1:11">
      <c r="A3034">
        <v>90</v>
      </c>
      <c r="B3034" t="b">
        <v>0</v>
      </c>
      <c r="C3034" t="s">
        <v>45650</v>
      </c>
      <c r="D3034">
        <v>1037022454355</v>
      </c>
      <c r="E3034">
        <v>1</v>
      </c>
      <c r="F3034">
        <v>6152147569</v>
      </c>
      <c r="G3034">
        <v>38980000</v>
      </c>
      <c r="H3034" t="s">
        <v>40293</v>
      </c>
      <c r="I3034">
        <v>19139</v>
      </c>
      <c r="J3034">
        <v>5</v>
      </c>
      <c r="K3034">
        <v>5</v>
      </c>
    </row>
    <row r="3035" spans="1:11">
      <c r="A3035">
        <v>90</v>
      </c>
      <c r="B3035" t="b">
        <v>0</v>
      </c>
      <c r="C3035" t="s">
        <v>45187</v>
      </c>
      <c r="D3035">
        <v>1037022454355</v>
      </c>
      <c r="E3035">
        <v>1</v>
      </c>
      <c r="F3035">
        <v>6140541739</v>
      </c>
      <c r="G3035">
        <v>38950000</v>
      </c>
      <c r="H3035" t="s">
        <v>40293</v>
      </c>
      <c r="I3035">
        <v>19139</v>
      </c>
      <c r="J3035">
        <v>3</v>
      </c>
      <c r="K3035">
        <v>3</v>
      </c>
    </row>
    <row r="3036" spans="1:11">
      <c r="A3036">
        <v>90</v>
      </c>
      <c r="B3036" t="b">
        <v>0</v>
      </c>
      <c r="C3036" t="s">
        <v>43071</v>
      </c>
      <c r="D3036">
        <v>1037022454355</v>
      </c>
      <c r="E3036">
        <v>1</v>
      </c>
      <c r="F3036">
        <v>6143153825</v>
      </c>
      <c r="G3036">
        <v>15000000</v>
      </c>
      <c r="H3036" t="s">
        <v>40293</v>
      </c>
      <c r="I3036">
        <v>19141</v>
      </c>
      <c r="J3036">
        <v>2</v>
      </c>
      <c r="K3036">
        <v>2</v>
      </c>
    </row>
    <row r="3037" spans="1:11">
      <c r="A3037">
        <v>90</v>
      </c>
      <c r="B3037" t="b">
        <v>0</v>
      </c>
      <c r="C3037" t="s">
        <v>44186</v>
      </c>
      <c r="D3037">
        <v>1037022454355</v>
      </c>
      <c r="E3037">
        <v>1</v>
      </c>
      <c r="F3037">
        <v>6153406435</v>
      </c>
      <c r="G3037">
        <v>14800000</v>
      </c>
      <c r="H3037" t="s">
        <v>40293</v>
      </c>
      <c r="I3037">
        <v>19141</v>
      </c>
      <c r="J3037">
        <v>6</v>
      </c>
      <c r="K3037">
        <v>6</v>
      </c>
    </row>
    <row r="3038" spans="1:11">
      <c r="A3038">
        <v>90</v>
      </c>
      <c r="B3038" t="b">
        <v>0</v>
      </c>
      <c r="C3038" t="s">
        <v>45762</v>
      </c>
      <c r="D3038">
        <v>1037022454355</v>
      </c>
      <c r="E3038">
        <v>1</v>
      </c>
      <c r="F3038">
        <v>6147790737</v>
      </c>
      <c r="G3038">
        <v>14720000</v>
      </c>
      <c r="H3038" t="s">
        <v>40293</v>
      </c>
      <c r="I3038">
        <v>19141</v>
      </c>
      <c r="J3038">
        <v>1</v>
      </c>
      <c r="K3038">
        <v>1</v>
      </c>
    </row>
    <row r="3039" spans="1:11">
      <c r="A3039">
        <v>90</v>
      </c>
      <c r="B3039" t="b">
        <v>0</v>
      </c>
      <c r="C3039" t="s">
        <v>43170</v>
      </c>
      <c r="D3039">
        <v>1037022454355</v>
      </c>
      <c r="E3039">
        <v>1</v>
      </c>
      <c r="F3039">
        <v>6143484087</v>
      </c>
      <c r="G3039">
        <v>68000000</v>
      </c>
      <c r="H3039" t="s">
        <v>40293</v>
      </c>
      <c r="I3039">
        <v>19145</v>
      </c>
      <c r="J3039">
        <v>2</v>
      </c>
      <c r="K3039">
        <v>2</v>
      </c>
    </row>
    <row r="3040" spans="1:11">
      <c r="A3040">
        <v>90</v>
      </c>
      <c r="B3040" t="b">
        <v>0</v>
      </c>
      <c r="C3040" t="s">
        <v>40830</v>
      </c>
      <c r="D3040">
        <v>1037022454355</v>
      </c>
      <c r="E3040">
        <v>1</v>
      </c>
      <c r="F3040">
        <v>6099775439</v>
      </c>
      <c r="G3040">
        <v>9000000</v>
      </c>
      <c r="H3040" t="s">
        <v>40293</v>
      </c>
      <c r="I3040">
        <v>19147</v>
      </c>
      <c r="J3040">
        <v>3</v>
      </c>
      <c r="K3040">
        <v>25</v>
      </c>
    </row>
    <row r="3041" spans="1:11">
      <c r="A3041">
        <v>90</v>
      </c>
      <c r="B3041" t="b">
        <v>0</v>
      </c>
      <c r="C3041" t="s">
        <v>40350</v>
      </c>
      <c r="D3041">
        <v>1037022454355</v>
      </c>
      <c r="E3041">
        <v>1</v>
      </c>
      <c r="F3041">
        <v>6114477455</v>
      </c>
      <c r="G3041">
        <v>8900000</v>
      </c>
      <c r="H3041" t="s">
        <v>40293</v>
      </c>
      <c r="I3041">
        <v>19147</v>
      </c>
      <c r="J3041">
        <v>2</v>
      </c>
      <c r="K3041">
        <v>4</v>
      </c>
    </row>
    <row r="3042" spans="1:11">
      <c r="A3042">
        <v>90</v>
      </c>
      <c r="B3042" t="b">
        <v>0</v>
      </c>
      <c r="C3042" t="s">
        <v>41992</v>
      </c>
      <c r="D3042">
        <v>1037022454355</v>
      </c>
      <c r="E3042">
        <v>1</v>
      </c>
      <c r="F3042">
        <v>6126468208</v>
      </c>
      <c r="G3042">
        <v>8700000</v>
      </c>
      <c r="H3042" t="s">
        <v>40293</v>
      </c>
      <c r="I3042">
        <v>19147</v>
      </c>
      <c r="J3042">
        <v>3</v>
      </c>
      <c r="K3042">
        <v>3</v>
      </c>
    </row>
    <row r="3043" spans="1:11">
      <c r="A3043">
        <v>90</v>
      </c>
      <c r="B3043" t="b">
        <v>0</v>
      </c>
      <c r="C3043" t="s">
        <v>43072</v>
      </c>
      <c r="D3043">
        <v>1037022454355</v>
      </c>
      <c r="E3043">
        <v>1</v>
      </c>
      <c r="F3043">
        <v>6143153876</v>
      </c>
      <c r="G3043">
        <v>8600000</v>
      </c>
      <c r="H3043" t="s">
        <v>40293</v>
      </c>
      <c r="I3043">
        <v>19147</v>
      </c>
      <c r="J3043">
        <v>3</v>
      </c>
      <c r="K3043">
        <v>5</v>
      </c>
    </row>
    <row r="3044" spans="1:11">
      <c r="A3044">
        <v>90</v>
      </c>
      <c r="B3044" t="b">
        <v>0</v>
      </c>
      <c r="C3044" t="s">
        <v>45367</v>
      </c>
      <c r="D3044">
        <v>1037022454355</v>
      </c>
      <c r="E3044">
        <v>1</v>
      </c>
      <c r="F3044">
        <v>6147350741</v>
      </c>
      <c r="G3044">
        <v>7000000</v>
      </c>
      <c r="H3044" t="s">
        <v>40293</v>
      </c>
      <c r="I3044">
        <v>19147</v>
      </c>
      <c r="J3044">
        <v>2</v>
      </c>
      <c r="K3044">
        <v>3</v>
      </c>
    </row>
    <row r="3045" spans="1:11">
      <c r="A3045">
        <v>90</v>
      </c>
      <c r="B3045" t="b">
        <v>0</v>
      </c>
      <c r="C3045" t="s">
        <v>43222</v>
      </c>
      <c r="D3045">
        <v>1037022454355</v>
      </c>
      <c r="E3045">
        <v>1</v>
      </c>
      <c r="F3045">
        <v>6141912918</v>
      </c>
      <c r="G3045">
        <v>50000000</v>
      </c>
      <c r="H3045" t="s">
        <v>40293</v>
      </c>
      <c r="I3045">
        <v>19151</v>
      </c>
      <c r="J3045">
        <v>3</v>
      </c>
      <c r="K3045">
        <v>3</v>
      </c>
    </row>
    <row r="3046" spans="1:11">
      <c r="A3046">
        <v>90</v>
      </c>
      <c r="B3046" t="b">
        <v>0</v>
      </c>
      <c r="C3046" t="s">
        <v>45903</v>
      </c>
      <c r="D3046">
        <v>1037022454355</v>
      </c>
      <c r="E3046">
        <v>1</v>
      </c>
      <c r="F3046">
        <v>6157163910</v>
      </c>
      <c r="G3046">
        <v>90000000</v>
      </c>
      <c r="H3046" t="s">
        <v>40293</v>
      </c>
      <c r="I3046">
        <v>19187</v>
      </c>
      <c r="J3046">
        <v>1</v>
      </c>
      <c r="K3046">
        <v>1</v>
      </c>
    </row>
    <row r="3047" spans="1:11">
      <c r="A3047">
        <v>90</v>
      </c>
      <c r="B3047" t="b">
        <v>0</v>
      </c>
      <c r="C3047" t="s">
        <v>42954</v>
      </c>
      <c r="D3047">
        <v>1037022454355</v>
      </c>
      <c r="E3047">
        <v>1</v>
      </c>
      <c r="F3047">
        <v>6142429032</v>
      </c>
      <c r="G3047">
        <v>70680000</v>
      </c>
      <c r="H3047" t="s">
        <v>40293</v>
      </c>
      <c r="I3047">
        <v>19187</v>
      </c>
      <c r="J3047">
        <v>1</v>
      </c>
      <c r="K3047">
        <v>12</v>
      </c>
    </row>
    <row r="3048" spans="1:11">
      <c r="A3048">
        <v>90</v>
      </c>
      <c r="B3048" t="b">
        <v>0</v>
      </c>
      <c r="C3048" t="s">
        <v>46148</v>
      </c>
      <c r="D3048">
        <v>1037022454355</v>
      </c>
      <c r="E3048">
        <v>1</v>
      </c>
      <c r="F3048">
        <v>6156643029</v>
      </c>
      <c r="G3048">
        <v>1617000000</v>
      </c>
      <c r="H3048" t="s">
        <v>40293</v>
      </c>
      <c r="I3048">
        <v>19198</v>
      </c>
      <c r="J3048">
        <v>1</v>
      </c>
      <c r="K3048">
        <v>1</v>
      </c>
    </row>
    <row r="3049" spans="1:11">
      <c r="A3049">
        <v>90</v>
      </c>
      <c r="B3049" t="b">
        <v>0</v>
      </c>
      <c r="C3049" t="s">
        <v>46553</v>
      </c>
      <c r="D3049">
        <v>1037022454355</v>
      </c>
      <c r="E3049">
        <v>1</v>
      </c>
      <c r="F3049">
        <v>6156123938</v>
      </c>
      <c r="G3049">
        <v>506300000</v>
      </c>
      <c r="H3049" t="s">
        <v>40293</v>
      </c>
      <c r="I3049">
        <v>19200</v>
      </c>
      <c r="J3049">
        <v>1</v>
      </c>
      <c r="K3049">
        <v>1</v>
      </c>
    </row>
    <row r="3050" spans="1:11">
      <c r="A3050">
        <v>90</v>
      </c>
      <c r="B3050" t="b">
        <v>0</v>
      </c>
      <c r="C3050" t="s">
        <v>45825</v>
      </c>
      <c r="D3050">
        <v>1037022454355</v>
      </c>
      <c r="E3050">
        <v>1</v>
      </c>
      <c r="F3050">
        <v>6156638865</v>
      </c>
      <c r="G3050">
        <v>316500000</v>
      </c>
      <c r="H3050" t="s">
        <v>40293</v>
      </c>
      <c r="I3050">
        <v>19205</v>
      </c>
      <c r="J3050">
        <v>2</v>
      </c>
      <c r="K3050">
        <v>2</v>
      </c>
    </row>
    <row r="3051" spans="1:11">
      <c r="A3051">
        <v>90</v>
      </c>
      <c r="B3051" t="b">
        <v>0</v>
      </c>
      <c r="C3051" t="s">
        <v>42647</v>
      </c>
      <c r="D3051">
        <v>1037022454355</v>
      </c>
      <c r="E3051">
        <v>1</v>
      </c>
      <c r="F3051">
        <v>6134189878</v>
      </c>
      <c r="G3051">
        <v>363000000</v>
      </c>
      <c r="H3051" t="s">
        <v>40293</v>
      </c>
      <c r="I3051">
        <v>19207</v>
      </c>
      <c r="J3051">
        <v>1</v>
      </c>
      <c r="K3051">
        <v>5</v>
      </c>
    </row>
    <row r="3052" spans="1:11">
      <c r="A3052">
        <v>90</v>
      </c>
      <c r="B3052" t="b">
        <v>0</v>
      </c>
      <c r="C3052" t="s">
        <v>45593</v>
      </c>
      <c r="D3052">
        <v>1037022454355</v>
      </c>
      <c r="E3052">
        <v>1</v>
      </c>
      <c r="F3052">
        <v>6153402347</v>
      </c>
      <c r="G3052">
        <v>362000000</v>
      </c>
      <c r="H3052" t="s">
        <v>40293</v>
      </c>
      <c r="I3052">
        <v>19207</v>
      </c>
      <c r="J3052">
        <v>1</v>
      </c>
      <c r="K3052">
        <v>1</v>
      </c>
    </row>
    <row r="3053" spans="1:11">
      <c r="A3053">
        <v>90</v>
      </c>
      <c r="B3053" t="b">
        <v>0</v>
      </c>
      <c r="C3053" t="s">
        <v>43796</v>
      </c>
      <c r="D3053">
        <v>1037022454355</v>
      </c>
      <c r="E3053">
        <v>1</v>
      </c>
      <c r="F3053">
        <v>6147173196</v>
      </c>
      <c r="G3053">
        <v>874500000</v>
      </c>
      <c r="H3053" t="s">
        <v>40293</v>
      </c>
      <c r="I3053">
        <v>19208</v>
      </c>
      <c r="J3053">
        <v>1</v>
      </c>
      <c r="K3053">
        <v>1</v>
      </c>
    </row>
    <row r="3054" spans="1:11">
      <c r="A3054">
        <v>90</v>
      </c>
      <c r="B3054" t="b">
        <v>0</v>
      </c>
      <c r="C3054" t="s">
        <v>46389</v>
      </c>
      <c r="D3054">
        <v>1037022454355</v>
      </c>
      <c r="E3054">
        <v>1</v>
      </c>
      <c r="F3054">
        <v>6147274729</v>
      </c>
      <c r="G3054">
        <v>874400000</v>
      </c>
      <c r="H3054" t="s">
        <v>40293</v>
      </c>
      <c r="I3054">
        <v>19208</v>
      </c>
      <c r="J3054">
        <v>2</v>
      </c>
      <c r="K3054">
        <v>2</v>
      </c>
    </row>
    <row r="3055" spans="1:11">
      <c r="A3055">
        <v>90</v>
      </c>
      <c r="B3055" t="b">
        <v>0</v>
      </c>
      <c r="C3055" t="s">
        <v>41026</v>
      </c>
      <c r="D3055">
        <v>1037022454355</v>
      </c>
      <c r="E3055">
        <v>1</v>
      </c>
      <c r="F3055">
        <v>6102434092</v>
      </c>
      <c r="G3055">
        <v>600000</v>
      </c>
      <c r="H3055" t="s">
        <v>40293</v>
      </c>
      <c r="I3055">
        <v>19209</v>
      </c>
      <c r="J3055">
        <v>81</v>
      </c>
      <c r="K3055">
        <v>81</v>
      </c>
    </row>
    <row r="3056" spans="1:11">
      <c r="A3056">
        <v>90</v>
      </c>
      <c r="B3056" t="b">
        <v>0</v>
      </c>
      <c r="C3056" t="s">
        <v>41044</v>
      </c>
      <c r="D3056">
        <v>1037022454355</v>
      </c>
      <c r="E3056">
        <v>1</v>
      </c>
      <c r="F3056">
        <v>6117078457</v>
      </c>
      <c r="G3056">
        <v>9100000</v>
      </c>
      <c r="H3056" t="s">
        <v>40293</v>
      </c>
      <c r="I3056">
        <v>19225</v>
      </c>
      <c r="J3056">
        <v>1</v>
      </c>
      <c r="K3056">
        <v>1</v>
      </c>
    </row>
    <row r="3057" spans="1:11">
      <c r="A3057">
        <v>90</v>
      </c>
      <c r="B3057" t="b">
        <v>0</v>
      </c>
      <c r="C3057" t="s">
        <v>44176</v>
      </c>
      <c r="D3057">
        <v>1037022454355</v>
      </c>
      <c r="E3057">
        <v>1</v>
      </c>
      <c r="F3057">
        <v>6147271665</v>
      </c>
      <c r="G3057">
        <v>27500000</v>
      </c>
      <c r="H3057" t="s">
        <v>40293</v>
      </c>
      <c r="I3057">
        <v>19227</v>
      </c>
      <c r="J3057">
        <v>8</v>
      </c>
      <c r="K3057">
        <v>8</v>
      </c>
    </row>
    <row r="3058" spans="1:11">
      <c r="A3058">
        <v>90</v>
      </c>
      <c r="B3058" t="b">
        <v>0</v>
      </c>
      <c r="C3058" t="s">
        <v>46311</v>
      </c>
      <c r="D3058">
        <v>1037022454355</v>
      </c>
      <c r="E3058">
        <v>1</v>
      </c>
      <c r="F3058">
        <v>6147273473</v>
      </c>
      <c r="G3058">
        <v>5990000</v>
      </c>
      <c r="H3058" t="s">
        <v>40293</v>
      </c>
      <c r="I3058">
        <v>19229</v>
      </c>
      <c r="J3058">
        <v>18</v>
      </c>
      <c r="K3058">
        <v>18</v>
      </c>
    </row>
    <row r="3059" spans="1:11">
      <c r="A3059">
        <v>90</v>
      </c>
      <c r="B3059" t="b">
        <v>0</v>
      </c>
      <c r="C3059" t="s">
        <v>46060</v>
      </c>
      <c r="D3059">
        <v>1037022454355</v>
      </c>
      <c r="E3059">
        <v>1</v>
      </c>
      <c r="F3059">
        <v>6153397638</v>
      </c>
      <c r="G3059">
        <v>5980000</v>
      </c>
      <c r="H3059" t="s">
        <v>40293</v>
      </c>
      <c r="I3059">
        <v>19229</v>
      </c>
      <c r="J3059">
        <v>1</v>
      </c>
      <c r="K3059">
        <v>1</v>
      </c>
    </row>
    <row r="3060" spans="1:11">
      <c r="A3060">
        <v>90</v>
      </c>
      <c r="B3060" t="b">
        <v>0</v>
      </c>
      <c r="C3060" t="s">
        <v>46183</v>
      </c>
      <c r="D3060">
        <v>1037022454355</v>
      </c>
      <c r="E3060">
        <v>1</v>
      </c>
      <c r="F3060">
        <v>6147271910</v>
      </c>
      <c r="G3060">
        <v>61000000</v>
      </c>
      <c r="H3060" t="s">
        <v>40293</v>
      </c>
      <c r="I3060">
        <v>19231</v>
      </c>
      <c r="J3060">
        <v>5</v>
      </c>
      <c r="K3060">
        <v>7</v>
      </c>
    </row>
    <row r="3061" spans="1:11">
      <c r="A3061">
        <v>90</v>
      </c>
      <c r="B3061" t="b">
        <v>0</v>
      </c>
      <c r="C3061" t="s">
        <v>46065</v>
      </c>
      <c r="D3061">
        <v>1037022454355</v>
      </c>
      <c r="E3061">
        <v>1</v>
      </c>
      <c r="F3061">
        <v>6153397722</v>
      </c>
      <c r="G3061">
        <v>60970000</v>
      </c>
      <c r="H3061" t="s">
        <v>40293</v>
      </c>
      <c r="I3061">
        <v>19231</v>
      </c>
      <c r="J3061">
        <v>1</v>
      </c>
      <c r="K3061">
        <v>1</v>
      </c>
    </row>
    <row r="3062" spans="1:11">
      <c r="A3062">
        <v>90</v>
      </c>
      <c r="B3062" t="b">
        <v>0</v>
      </c>
      <c r="C3062" t="s">
        <v>45886</v>
      </c>
      <c r="D3062">
        <v>1037022454355</v>
      </c>
      <c r="E3062">
        <v>1</v>
      </c>
      <c r="F3062">
        <v>6153591980</v>
      </c>
      <c r="G3062">
        <v>50000000</v>
      </c>
      <c r="H3062" t="s">
        <v>40293</v>
      </c>
      <c r="I3062">
        <v>19231</v>
      </c>
      <c r="J3062">
        <v>1</v>
      </c>
      <c r="K3062">
        <v>2</v>
      </c>
    </row>
    <row r="3063" spans="1:11">
      <c r="A3063">
        <v>90</v>
      </c>
      <c r="B3063" t="b">
        <v>0</v>
      </c>
      <c r="C3063" t="s">
        <v>41781</v>
      </c>
      <c r="D3063">
        <v>1037022454355</v>
      </c>
      <c r="E3063">
        <v>1</v>
      </c>
      <c r="F3063">
        <v>6127042674</v>
      </c>
      <c r="G3063">
        <v>2500000</v>
      </c>
      <c r="H3063" t="s">
        <v>40293</v>
      </c>
      <c r="I3063">
        <v>19233</v>
      </c>
      <c r="J3063">
        <v>20</v>
      </c>
      <c r="K3063">
        <v>20</v>
      </c>
    </row>
    <row r="3064" spans="1:11">
      <c r="A3064">
        <v>90</v>
      </c>
      <c r="B3064" t="b">
        <v>0</v>
      </c>
      <c r="C3064" t="s">
        <v>43149</v>
      </c>
      <c r="D3064">
        <v>1037022454355</v>
      </c>
      <c r="E3064">
        <v>1</v>
      </c>
      <c r="F3064">
        <v>6143155765</v>
      </c>
      <c r="G3064">
        <v>6000000</v>
      </c>
      <c r="H3064" t="s">
        <v>40293</v>
      </c>
      <c r="I3064">
        <v>19253</v>
      </c>
      <c r="J3064">
        <v>2</v>
      </c>
      <c r="K3064">
        <v>2</v>
      </c>
    </row>
    <row r="3065" spans="1:11">
      <c r="A3065">
        <v>90</v>
      </c>
      <c r="B3065" t="b">
        <v>0</v>
      </c>
      <c r="C3065" t="s">
        <v>43154</v>
      </c>
      <c r="D3065">
        <v>1037022454355</v>
      </c>
      <c r="E3065">
        <v>1</v>
      </c>
      <c r="F3065">
        <v>6143155886</v>
      </c>
      <c r="G3065">
        <v>1000000</v>
      </c>
      <c r="H3065" t="s">
        <v>40293</v>
      </c>
      <c r="I3065">
        <v>19259</v>
      </c>
      <c r="J3065">
        <v>3</v>
      </c>
      <c r="K3065">
        <v>3</v>
      </c>
    </row>
    <row r="3066" spans="1:11">
      <c r="A3066">
        <v>90</v>
      </c>
      <c r="B3066" t="b">
        <v>0</v>
      </c>
      <c r="C3066" t="s">
        <v>43161</v>
      </c>
      <c r="D3066">
        <v>1037022454355</v>
      </c>
      <c r="E3066">
        <v>1</v>
      </c>
      <c r="F3066">
        <v>6143156119</v>
      </c>
      <c r="G3066">
        <v>5000000</v>
      </c>
      <c r="H3066" t="s">
        <v>40293</v>
      </c>
      <c r="I3066">
        <v>19261</v>
      </c>
      <c r="J3066">
        <v>1</v>
      </c>
      <c r="K3066">
        <v>1</v>
      </c>
    </row>
    <row r="3067" spans="1:11">
      <c r="A3067">
        <v>90</v>
      </c>
      <c r="B3067" t="b">
        <v>0</v>
      </c>
      <c r="C3067" t="s">
        <v>43185</v>
      </c>
      <c r="D3067">
        <v>1037022454355</v>
      </c>
      <c r="E3067">
        <v>1</v>
      </c>
      <c r="F3067">
        <v>6143156819</v>
      </c>
      <c r="G3067">
        <v>2000000</v>
      </c>
      <c r="H3067" t="s">
        <v>40293</v>
      </c>
      <c r="I3067">
        <v>19269</v>
      </c>
      <c r="J3067">
        <v>3</v>
      </c>
      <c r="K3067">
        <v>3</v>
      </c>
    </row>
    <row r="3068" spans="1:11">
      <c r="A3068">
        <v>90</v>
      </c>
      <c r="B3068" t="b">
        <v>0</v>
      </c>
      <c r="C3068" t="s">
        <v>41729</v>
      </c>
      <c r="D3068">
        <v>1037022454355</v>
      </c>
      <c r="E3068">
        <v>1</v>
      </c>
      <c r="F3068">
        <v>6108511458</v>
      </c>
      <c r="G3068">
        <v>8000000</v>
      </c>
      <c r="H3068" t="s">
        <v>40293</v>
      </c>
      <c r="I3068">
        <v>19270</v>
      </c>
      <c r="J3068">
        <v>3</v>
      </c>
      <c r="K3068">
        <v>3</v>
      </c>
    </row>
    <row r="3069" spans="1:11">
      <c r="A3069">
        <v>90</v>
      </c>
      <c r="B3069" t="b">
        <v>0</v>
      </c>
      <c r="C3069" t="s">
        <v>46409</v>
      </c>
      <c r="D3069">
        <v>1037022454355</v>
      </c>
      <c r="E3069">
        <v>1</v>
      </c>
      <c r="F3069">
        <v>6147275053</v>
      </c>
      <c r="G3069">
        <v>27400000</v>
      </c>
      <c r="H3069" t="s">
        <v>40293</v>
      </c>
      <c r="I3069">
        <v>19274</v>
      </c>
      <c r="J3069">
        <v>6</v>
      </c>
      <c r="K3069">
        <v>6</v>
      </c>
    </row>
    <row r="3070" spans="1:11">
      <c r="A3070">
        <v>90</v>
      </c>
      <c r="B3070" t="b">
        <v>0</v>
      </c>
      <c r="C3070" t="s">
        <v>46456</v>
      </c>
      <c r="D3070">
        <v>1037022454355</v>
      </c>
      <c r="E3070">
        <v>1</v>
      </c>
      <c r="F3070">
        <v>6147275593</v>
      </c>
      <c r="G3070">
        <v>7000000</v>
      </c>
      <c r="H3070" t="s">
        <v>40293</v>
      </c>
      <c r="I3070">
        <v>19276</v>
      </c>
      <c r="J3070">
        <v>8</v>
      </c>
      <c r="K3070">
        <v>8</v>
      </c>
    </row>
    <row r="3071" spans="1:11">
      <c r="A3071">
        <v>90</v>
      </c>
      <c r="B3071" t="b">
        <v>0</v>
      </c>
      <c r="C3071" t="s">
        <v>45322</v>
      </c>
      <c r="D3071">
        <v>1037022454355</v>
      </c>
      <c r="E3071">
        <v>1</v>
      </c>
      <c r="F3071">
        <v>6147268741</v>
      </c>
      <c r="G3071">
        <v>24250000</v>
      </c>
      <c r="H3071" t="s">
        <v>40293</v>
      </c>
      <c r="I3071">
        <v>19278</v>
      </c>
      <c r="J3071">
        <v>8</v>
      </c>
      <c r="K3071">
        <v>8</v>
      </c>
    </row>
    <row r="3072" spans="1:11">
      <c r="A3072">
        <v>90</v>
      </c>
      <c r="B3072" t="b">
        <v>0</v>
      </c>
      <c r="C3072" t="s">
        <v>46232</v>
      </c>
      <c r="D3072">
        <v>1037022454355</v>
      </c>
      <c r="E3072">
        <v>1</v>
      </c>
      <c r="F3072">
        <v>6147272544</v>
      </c>
      <c r="G3072">
        <v>89800000</v>
      </c>
      <c r="H3072" t="s">
        <v>40293</v>
      </c>
      <c r="I3072">
        <v>19280</v>
      </c>
      <c r="J3072">
        <v>7</v>
      </c>
      <c r="K3072">
        <v>8</v>
      </c>
    </row>
    <row r="3073" spans="1:11">
      <c r="A3073">
        <v>90</v>
      </c>
      <c r="B3073" t="b">
        <v>0</v>
      </c>
      <c r="C3073" t="s">
        <v>40567</v>
      </c>
      <c r="D3073">
        <v>1037022454355</v>
      </c>
      <c r="E3073">
        <v>1</v>
      </c>
      <c r="F3073">
        <v>6112581789</v>
      </c>
      <c r="G3073">
        <v>161400000</v>
      </c>
      <c r="H3073" t="s">
        <v>40293</v>
      </c>
      <c r="I3073">
        <v>19282</v>
      </c>
      <c r="J3073">
        <v>1</v>
      </c>
      <c r="K3073">
        <v>1</v>
      </c>
    </row>
    <row r="3074" spans="1:11">
      <c r="A3074">
        <v>90</v>
      </c>
      <c r="B3074" t="b">
        <v>0</v>
      </c>
      <c r="C3074" t="s">
        <v>41674</v>
      </c>
      <c r="D3074">
        <v>1037022454355</v>
      </c>
      <c r="E3074">
        <v>1</v>
      </c>
      <c r="F3074">
        <v>6089471925</v>
      </c>
      <c r="G3074">
        <v>150600000</v>
      </c>
      <c r="H3074" t="s">
        <v>40293</v>
      </c>
      <c r="I3074">
        <v>19282</v>
      </c>
      <c r="J3074">
        <v>1</v>
      </c>
      <c r="K3074">
        <v>1</v>
      </c>
    </row>
    <row r="3075" spans="1:11">
      <c r="A3075">
        <v>90</v>
      </c>
      <c r="B3075" t="b">
        <v>0</v>
      </c>
      <c r="C3075" t="s">
        <v>42241</v>
      </c>
      <c r="D3075">
        <v>1037022454355</v>
      </c>
      <c r="E3075">
        <v>1</v>
      </c>
      <c r="F3075">
        <v>6129414737</v>
      </c>
      <c r="G3075">
        <v>144000000</v>
      </c>
      <c r="H3075" t="s">
        <v>40293</v>
      </c>
      <c r="I3075">
        <v>19282</v>
      </c>
      <c r="J3075">
        <v>1</v>
      </c>
      <c r="K3075">
        <v>1</v>
      </c>
    </row>
    <row r="3076" spans="1:11">
      <c r="A3076">
        <v>90</v>
      </c>
      <c r="B3076" t="b">
        <v>0</v>
      </c>
      <c r="C3076" t="s">
        <v>42680</v>
      </c>
      <c r="D3076">
        <v>1037022454355</v>
      </c>
      <c r="E3076">
        <v>1</v>
      </c>
      <c r="F3076">
        <v>6074652842</v>
      </c>
      <c r="G3076">
        <v>143800000</v>
      </c>
      <c r="H3076" t="s">
        <v>40293</v>
      </c>
      <c r="I3076">
        <v>19282</v>
      </c>
      <c r="J3076">
        <v>7</v>
      </c>
      <c r="K3076">
        <v>11</v>
      </c>
    </row>
    <row r="3077" spans="1:11">
      <c r="A3077">
        <v>90</v>
      </c>
      <c r="B3077" t="b">
        <v>0</v>
      </c>
      <c r="C3077" t="s">
        <v>44129</v>
      </c>
      <c r="D3077">
        <v>1037022454355</v>
      </c>
      <c r="E3077">
        <v>1</v>
      </c>
      <c r="F3077">
        <v>6156125353</v>
      </c>
      <c r="G3077">
        <v>143700000</v>
      </c>
      <c r="H3077" t="s">
        <v>40293</v>
      </c>
      <c r="I3077">
        <v>19282</v>
      </c>
      <c r="J3077">
        <v>4</v>
      </c>
      <c r="K3077">
        <v>5</v>
      </c>
    </row>
    <row r="3078" spans="1:11">
      <c r="A3078">
        <v>90</v>
      </c>
      <c r="B3078" t="b">
        <v>0</v>
      </c>
      <c r="C3078" t="s">
        <v>43517</v>
      </c>
      <c r="D3078">
        <v>1037022454355</v>
      </c>
      <c r="E3078">
        <v>1</v>
      </c>
      <c r="F3078">
        <v>6141920923</v>
      </c>
      <c r="G3078">
        <v>15000000</v>
      </c>
      <c r="H3078" t="s">
        <v>40293</v>
      </c>
      <c r="I3078">
        <v>19283</v>
      </c>
      <c r="J3078">
        <v>1</v>
      </c>
      <c r="K3078">
        <v>1</v>
      </c>
    </row>
    <row r="3079" spans="1:11">
      <c r="A3079">
        <v>90</v>
      </c>
      <c r="B3079" t="b">
        <v>0</v>
      </c>
      <c r="C3079" t="s">
        <v>40445</v>
      </c>
      <c r="D3079">
        <v>1037022454355</v>
      </c>
      <c r="E3079">
        <v>1</v>
      </c>
      <c r="F3079">
        <v>6122614035</v>
      </c>
      <c r="G3079">
        <v>60000000</v>
      </c>
      <c r="H3079" t="s">
        <v>40293</v>
      </c>
      <c r="I3079">
        <v>19284</v>
      </c>
      <c r="J3079">
        <v>2</v>
      </c>
      <c r="K3079">
        <v>2</v>
      </c>
    </row>
    <row r="3080" spans="1:11">
      <c r="A3080">
        <v>90</v>
      </c>
      <c r="B3080" t="b">
        <v>0</v>
      </c>
      <c r="C3080" t="s">
        <v>45776</v>
      </c>
      <c r="D3080">
        <v>1037022454355</v>
      </c>
      <c r="E3080">
        <v>1</v>
      </c>
      <c r="F3080">
        <v>6147266630</v>
      </c>
      <c r="G3080">
        <v>59900000</v>
      </c>
      <c r="H3080" t="s">
        <v>40293</v>
      </c>
      <c r="I3080">
        <v>19284</v>
      </c>
      <c r="J3080">
        <v>10</v>
      </c>
      <c r="K3080">
        <v>11</v>
      </c>
    </row>
    <row r="3081" spans="1:11">
      <c r="A3081">
        <v>90</v>
      </c>
      <c r="B3081" t="b">
        <v>0</v>
      </c>
      <c r="C3081" t="s">
        <v>46088</v>
      </c>
      <c r="D3081">
        <v>1037022454355</v>
      </c>
      <c r="E3081">
        <v>1</v>
      </c>
      <c r="F3081">
        <v>6153398121</v>
      </c>
      <c r="G3081">
        <v>57660000</v>
      </c>
      <c r="H3081" t="s">
        <v>40293</v>
      </c>
      <c r="I3081">
        <v>19284</v>
      </c>
      <c r="J3081">
        <v>1</v>
      </c>
      <c r="K3081">
        <v>1</v>
      </c>
    </row>
    <row r="3082" spans="1:11">
      <c r="A3082">
        <v>90</v>
      </c>
      <c r="B3082" t="b">
        <v>0</v>
      </c>
      <c r="C3082" t="s">
        <v>43078</v>
      </c>
      <c r="D3082">
        <v>1037022454355</v>
      </c>
      <c r="E3082">
        <v>1</v>
      </c>
      <c r="F3082">
        <v>6143153969</v>
      </c>
      <c r="G3082">
        <v>10000000</v>
      </c>
      <c r="H3082" t="s">
        <v>40293</v>
      </c>
      <c r="I3082">
        <v>19285</v>
      </c>
      <c r="J3082">
        <v>6</v>
      </c>
      <c r="K3082">
        <v>6</v>
      </c>
    </row>
    <row r="3083" spans="1:11">
      <c r="A3083">
        <v>90</v>
      </c>
      <c r="B3083" t="b">
        <v>0</v>
      </c>
      <c r="C3083" t="s">
        <v>43713</v>
      </c>
      <c r="D3083">
        <v>1037022454355</v>
      </c>
      <c r="E3083">
        <v>1</v>
      </c>
      <c r="F3083">
        <v>6147137915</v>
      </c>
      <c r="G3083">
        <v>9998000</v>
      </c>
      <c r="H3083" t="s">
        <v>40293</v>
      </c>
      <c r="I3083">
        <v>19285</v>
      </c>
      <c r="J3083">
        <v>1</v>
      </c>
      <c r="K3083">
        <v>1</v>
      </c>
    </row>
    <row r="3084" spans="1:11">
      <c r="A3084">
        <v>90</v>
      </c>
      <c r="B3084" t="b">
        <v>0</v>
      </c>
      <c r="C3084" t="s">
        <v>46359</v>
      </c>
      <c r="D3084">
        <v>1037022454355</v>
      </c>
      <c r="E3084">
        <v>1</v>
      </c>
      <c r="F3084">
        <v>6137837081</v>
      </c>
      <c r="G3084">
        <v>9996000</v>
      </c>
      <c r="H3084" t="s">
        <v>40293</v>
      </c>
      <c r="I3084">
        <v>19285</v>
      </c>
      <c r="J3084">
        <v>1</v>
      </c>
      <c r="K3084">
        <v>1</v>
      </c>
    </row>
    <row r="3085" spans="1:11">
      <c r="A3085">
        <v>90</v>
      </c>
      <c r="B3085" t="b">
        <v>0</v>
      </c>
      <c r="C3085" t="s">
        <v>46130</v>
      </c>
      <c r="D3085">
        <v>1037022454355</v>
      </c>
      <c r="E3085">
        <v>1</v>
      </c>
      <c r="F3085">
        <v>6147271145</v>
      </c>
      <c r="G3085">
        <v>16500000</v>
      </c>
      <c r="H3085" t="s">
        <v>40293</v>
      </c>
      <c r="I3085">
        <v>19286</v>
      </c>
      <c r="J3085">
        <v>13</v>
      </c>
      <c r="K3085">
        <v>13</v>
      </c>
    </row>
    <row r="3086" spans="1:11">
      <c r="A3086">
        <v>90</v>
      </c>
      <c r="B3086" t="b">
        <v>0</v>
      </c>
      <c r="C3086" t="s">
        <v>43034</v>
      </c>
      <c r="D3086">
        <v>1037022454355</v>
      </c>
      <c r="E3086">
        <v>1</v>
      </c>
      <c r="F3086">
        <v>6146528063</v>
      </c>
      <c r="G3086">
        <v>38200000</v>
      </c>
      <c r="H3086" t="s">
        <v>40293</v>
      </c>
      <c r="I3086">
        <v>19288</v>
      </c>
      <c r="J3086">
        <v>7</v>
      </c>
      <c r="K3086">
        <v>7</v>
      </c>
    </row>
    <row r="3087" spans="1:11">
      <c r="A3087">
        <v>90</v>
      </c>
      <c r="B3087" t="b">
        <v>0</v>
      </c>
      <c r="C3087" t="s">
        <v>46225</v>
      </c>
      <c r="D3087">
        <v>1037022454355</v>
      </c>
      <c r="E3087">
        <v>1</v>
      </c>
      <c r="F3087">
        <v>6153398227</v>
      </c>
      <c r="G3087">
        <v>38000000</v>
      </c>
      <c r="H3087" t="s">
        <v>40293</v>
      </c>
      <c r="I3087">
        <v>19288</v>
      </c>
      <c r="J3087">
        <v>1</v>
      </c>
      <c r="K3087">
        <v>1</v>
      </c>
    </row>
    <row r="3088" spans="1:11">
      <c r="A3088">
        <v>90</v>
      </c>
      <c r="B3088" t="b">
        <v>0</v>
      </c>
      <c r="C3088" t="s">
        <v>41453</v>
      </c>
      <c r="D3088">
        <v>1037022454355</v>
      </c>
      <c r="E3088">
        <v>1</v>
      </c>
      <c r="F3088">
        <v>6115287794</v>
      </c>
      <c r="G3088">
        <v>325000000</v>
      </c>
      <c r="H3088" t="s">
        <v>40293</v>
      </c>
      <c r="I3088">
        <v>19301</v>
      </c>
      <c r="J3088">
        <v>1</v>
      </c>
      <c r="K3088">
        <v>1</v>
      </c>
    </row>
    <row r="3089" spans="1:11">
      <c r="A3089">
        <v>90</v>
      </c>
      <c r="B3089" t="b">
        <v>0</v>
      </c>
      <c r="C3089" t="s">
        <v>45330</v>
      </c>
      <c r="D3089">
        <v>1037022454355</v>
      </c>
      <c r="E3089">
        <v>1</v>
      </c>
      <c r="F3089">
        <v>6126748547</v>
      </c>
      <c r="G3089">
        <v>300000000</v>
      </c>
      <c r="H3089" t="s">
        <v>40293</v>
      </c>
      <c r="I3089">
        <v>19311</v>
      </c>
      <c r="J3089">
        <v>1</v>
      </c>
      <c r="K3089">
        <v>1</v>
      </c>
    </row>
    <row r="3090" spans="1:11">
      <c r="A3090">
        <v>90</v>
      </c>
      <c r="B3090" t="b">
        <v>0</v>
      </c>
      <c r="C3090" t="s">
        <v>45090</v>
      </c>
      <c r="D3090">
        <v>1037022454355</v>
      </c>
      <c r="E3090">
        <v>1</v>
      </c>
      <c r="F3090">
        <v>6155351575</v>
      </c>
      <c r="G3090">
        <v>120000000</v>
      </c>
      <c r="H3090" t="s">
        <v>40293</v>
      </c>
      <c r="I3090">
        <v>19315</v>
      </c>
      <c r="J3090">
        <v>1</v>
      </c>
      <c r="K3090">
        <v>1</v>
      </c>
    </row>
    <row r="3091" spans="1:11">
      <c r="A3091">
        <v>90</v>
      </c>
      <c r="B3091" t="b">
        <v>0</v>
      </c>
      <c r="C3091" t="s">
        <v>45720</v>
      </c>
      <c r="D3091">
        <v>1037022454355</v>
      </c>
      <c r="E3091">
        <v>1</v>
      </c>
      <c r="F3091">
        <v>6156178920</v>
      </c>
      <c r="G3091">
        <v>289900000</v>
      </c>
      <c r="H3091" t="s">
        <v>40293</v>
      </c>
      <c r="I3091">
        <v>19321</v>
      </c>
      <c r="J3091">
        <v>1</v>
      </c>
      <c r="K3091">
        <v>1</v>
      </c>
    </row>
    <row r="3092" spans="1:11">
      <c r="A3092">
        <v>90</v>
      </c>
      <c r="B3092" t="b">
        <v>0</v>
      </c>
      <c r="C3092" t="s">
        <v>44276</v>
      </c>
      <c r="D3092">
        <v>1037022454355</v>
      </c>
      <c r="E3092">
        <v>1</v>
      </c>
      <c r="F3092">
        <v>6153407662</v>
      </c>
      <c r="G3092">
        <v>95000000</v>
      </c>
      <c r="H3092" t="s">
        <v>40293</v>
      </c>
      <c r="I3092">
        <v>19339</v>
      </c>
      <c r="J3092">
        <v>1</v>
      </c>
      <c r="K3092">
        <v>1</v>
      </c>
    </row>
    <row r="3093" spans="1:11">
      <c r="A3093">
        <v>90</v>
      </c>
      <c r="B3093" t="b">
        <v>0</v>
      </c>
      <c r="C3093" t="s">
        <v>45658</v>
      </c>
      <c r="D3093">
        <v>1037022454355</v>
      </c>
      <c r="E3093">
        <v>1</v>
      </c>
      <c r="F3093">
        <v>6153407958</v>
      </c>
      <c r="G3093">
        <v>45000000</v>
      </c>
      <c r="H3093" t="s">
        <v>40293</v>
      </c>
      <c r="I3093">
        <v>19343</v>
      </c>
      <c r="J3093">
        <v>1</v>
      </c>
      <c r="K3093">
        <v>1</v>
      </c>
    </row>
    <row r="3094" spans="1:11">
      <c r="A3094">
        <v>90</v>
      </c>
      <c r="B3094" t="b">
        <v>0</v>
      </c>
      <c r="C3094" t="s">
        <v>43283</v>
      </c>
      <c r="D3094">
        <v>1037022454355</v>
      </c>
      <c r="E3094">
        <v>1</v>
      </c>
      <c r="F3094">
        <v>6141914245</v>
      </c>
      <c r="G3094">
        <v>100000000</v>
      </c>
      <c r="H3094" t="s">
        <v>40293</v>
      </c>
      <c r="I3094">
        <v>19345</v>
      </c>
      <c r="J3094">
        <v>1</v>
      </c>
      <c r="K3094">
        <v>1</v>
      </c>
    </row>
    <row r="3095" spans="1:11">
      <c r="A3095">
        <v>90</v>
      </c>
      <c r="B3095" t="b">
        <v>0</v>
      </c>
      <c r="C3095" t="s">
        <v>40638</v>
      </c>
      <c r="D3095">
        <v>1037022454355</v>
      </c>
      <c r="E3095">
        <v>1</v>
      </c>
      <c r="F3095">
        <v>6074637912</v>
      </c>
      <c r="G3095">
        <v>666000000</v>
      </c>
      <c r="H3095" t="s">
        <v>40293</v>
      </c>
      <c r="I3095">
        <v>19359</v>
      </c>
      <c r="J3095">
        <v>1</v>
      </c>
      <c r="K3095">
        <v>3</v>
      </c>
    </row>
    <row r="3096" spans="1:11">
      <c r="A3096">
        <v>90</v>
      </c>
      <c r="B3096" t="b">
        <v>0</v>
      </c>
      <c r="C3096" t="s">
        <v>44300</v>
      </c>
      <c r="D3096">
        <v>1037022454355</v>
      </c>
      <c r="E3096">
        <v>1</v>
      </c>
      <c r="F3096">
        <v>6153408122</v>
      </c>
      <c r="G3096">
        <v>665800000</v>
      </c>
      <c r="H3096" t="s">
        <v>40293</v>
      </c>
      <c r="I3096">
        <v>19359</v>
      </c>
      <c r="J3096">
        <v>1</v>
      </c>
      <c r="K3096">
        <v>1</v>
      </c>
    </row>
    <row r="3097" spans="1:11">
      <c r="A3097">
        <v>90</v>
      </c>
      <c r="B3097" t="b">
        <v>0</v>
      </c>
      <c r="C3097" t="s">
        <v>46553</v>
      </c>
      <c r="D3097">
        <v>1037022454355</v>
      </c>
      <c r="E3097">
        <v>1</v>
      </c>
      <c r="F3097">
        <v>6156123935</v>
      </c>
      <c r="G3097">
        <v>665700000</v>
      </c>
      <c r="H3097" t="s">
        <v>40293</v>
      </c>
      <c r="I3097">
        <v>19359</v>
      </c>
      <c r="J3097">
        <v>2</v>
      </c>
      <c r="K3097">
        <v>2</v>
      </c>
    </row>
    <row r="3098" spans="1:11">
      <c r="A3098">
        <v>90</v>
      </c>
      <c r="B3098" t="b">
        <v>0</v>
      </c>
      <c r="C3098" t="s">
        <v>43042</v>
      </c>
      <c r="D3098">
        <v>1037022454355</v>
      </c>
      <c r="E3098">
        <v>1</v>
      </c>
      <c r="F3098">
        <v>6143153102</v>
      </c>
      <c r="G3098">
        <v>5000000</v>
      </c>
      <c r="H3098" t="s">
        <v>40293</v>
      </c>
      <c r="I3098">
        <v>19363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40365</v>
      </c>
      <c r="D3099">
        <v>1037022454355</v>
      </c>
      <c r="E3099">
        <v>1</v>
      </c>
      <c r="F3099">
        <v>6094685914</v>
      </c>
      <c r="G3099">
        <v>180100</v>
      </c>
      <c r="H3099" t="s">
        <v>40293</v>
      </c>
      <c r="I3099">
        <v>19404</v>
      </c>
      <c r="J3099">
        <v>1</v>
      </c>
      <c r="K3099">
        <v>1</v>
      </c>
    </row>
    <row r="3100" spans="1:11">
      <c r="A3100">
        <v>90</v>
      </c>
      <c r="B3100" t="b">
        <v>0</v>
      </c>
      <c r="C3100" t="s">
        <v>40365</v>
      </c>
      <c r="D3100">
        <v>1037022454355</v>
      </c>
      <c r="E3100">
        <v>1</v>
      </c>
      <c r="F3100">
        <v>6094685915</v>
      </c>
      <c r="G3100">
        <v>360100</v>
      </c>
      <c r="H3100" t="s">
        <v>40293</v>
      </c>
      <c r="I3100">
        <v>19405</v>
      </c>
      <c r="J3100">
        <v>4</v>
      </c>
      <c r="K3100">
        <v>4</v>
      </c>
    </row>
    <row r="3101" spans="1:11">
      <c r="A3101">
        <v>90</v>
      </c>
      <c r="B3101" t="b">
        <v>0</v>
      </c>
      <c r="C3101" t="s">
        <v>40557</v>
      </c>
      <c r="D3101">
        <v>1037022454355</v>
      </c>
      <c r="E3101">
        <v>1</v>
      </c>
      <c r="F3101">
        <v>6093292537</v>
      </c>
      <c r="G3101">
        <v>600100</v>
      </c>
      <c r="H3101" t="s">
        <v>40293</v>
      </c>
      <c r="I3101">
        <v>19406</v>
      </c>
      <c r="J3101">
        <v>3</v>
      </c>
      <c r="K3101">
        <v>3</v>
      </c>
    </row>
    <row r="3102" spans="1:11">
      <c r="A3102">
        <v>90</v>
      </c>
      <c r="B3102" t="b">
        <v>0</v>
      </c>
      <c r="C3102" t="s">
        <v>40365</v>
      </c>
      <c r="D3102">
        <v>1037022454355</v>
      </c>
      <c r="E3102">
        <v>1</v>
      </c>
      <c r="F3102">
        <v>6094685917</v>
      </c>
      <c r="G3102">
        <v>1201000</v>
      </c>
      <c r="H3102" t="s">
        <v>40293</v>
      </c>
      <c r="I3102">
        <v>19407</v>
      </c>
      <c r="J3102">
        <v>1</v>
      </c>
      <c r="K3102">
        <v>1</v>
      </c>
    </row>
    <row r="3103" spans="1:11">
      <c r="A3103">
        <v>90</v>
      </c>
      <c r="B3103" t="b">
        <v>0</v>
      </c>
      <c r="C3103" t="s">
        <v>40365</v>
      </c>
      <c r="D3103">
        <v>1037022454355</v>
      </c>
      <c r="E3103">
        <v>1</v>
      </c>
      <c r="F3103">
        <v>6094685918</v>
      </c>
      <c r="G3103">
        <v>1201000</v>
      </c>
      <c r="H3103" t="s">
        <v>40293</v>
      </c>
      <c r="I3103">
        <v>19407</v>
      </c>
      <c r="J3103">
        <v>3</v>
      </c>
      <c r="K3103">
        <v>3</v>
      </c>
    </row>
    <row r="3104" spans="1:11">
      <c r="A3104">
        <v>90</v>
      </c>
      <c r="B3104" t="b">
        <v>0</v>
      </c>
      <c r="C3104" t="s">
        <v>42327</v>
      </c>
      <c r="D3104">
        <v>1037022454355</v>
      </c>
      <c r="E3104">
        <v>1</v>
      </c>
      <c r="F3104">
        <v>6133254351</v>
      </c>
      <c r="G3104">
        <v>1201000</v>
      </c>
      <c r="H3104" t="s">
        <v>40293</v>
      </c>
      <c r="I3104">
        <v>19407</v>
      </c>
      <c r="J3104">
        <v>1</v>
      </c>
      <c r="K3104">
        <v>1</v>
      </c>
    </row>
    <row r="3105" spans="1:11">
      <c r="A3105">
        <v>90</v>
      </c>
      <c r="B3105" t="b">
        <v>0</v>
      </c>
      <c r="C3105" t="s">
        <v>41072</v>
      </c>
      <c r="D3105">
        <v>1037022454355</v>
      </c>
      <c r="E3105">
        <v>1</v>
      </c>
      <c r="F3105">
        <v>6093292784</v>
      </c>
      <c r="G3105">
        <v>1201000</v>
      </c>
      <c r="H3105" t="s">
        <v>40293</v>
      </c>
      <c r="I3105">
        <v>19407</v>
      </c>
      <c r="J3105">
        <v>1</v>
      </c>
      <c r="K3105">
        <v>1</v>
      </c>
    </row>
    <row r="3106" spans="1:11">
      <c r="A3106">
        <v>90</v>
      </c>
      <c r="B3106" t="b">
        <v>0</v>
      </c>
      <c r="C3106" t="s">
        <v>42482</v>
      </c>
      <c r="D3106">
        <v>1037022454355</v>
      </c>
      <c r="E3106">
        <v>1</v>
      </c>
      <c r="F3106">
        <v>6137511408</v>
      </c>
      <c r="G3106">
        <v>2100000</v>
      </c>
      <c r="H3106" t="s">
        <v>40293</v>
      </c>
      <c r="I3106">
        <v>19408</v>
      </c>
      <c r="J3106">
        <v>1</v>
      </c>
      <c r="K3106">
        <v>1</v>
      </c>
    </row>
    <row r="3107" spans="1:11">
      <c r="A3107">
        <v>90</v>
      </c>
      <c r="B3107" t="b">
        <v>0</v>
      </c>
      <c r="C3107" t="s">
        <v>45433</v>
      </c>
      <c r="D3107">
        <v>1037022454355</v>
      </c>
      <c r="E3107">
        <v>1</v>
      </c>
      <c r="F3107">
        <v>6150342707</v>
      </c>
      <c r="G3107">
        <v>9901000</v>
      </c>
      <c r="H3107" t="s">
        <v>40293</v>
      </c>
      <c r="I3107">
        <v>19410</v>
      </c>
      <c r="J3107">
        <v>1</v>
      </c>
      <c r="K3107">
        <v>1</v>
      </c>
    </row>
    <row r="3108" spans="1:11">
      <c r="A3108">
        <v>90</v>
      </c>
      <c r="B3108" t="b">
        <v>0</v>
      </c>
      <c r="C3108" t="s">
        <v>40365</v>
      </c>
      <c r="D3108">
        <v>1037022454355</v>
      </c>
      <c r="E3108">
        <v>1</v>
      </c>
      <c r="F3108">
        <v>6094685913</v>
      </c>
      <c r="G3108">
        <v>13210000</v>
      </c>
      <c r="H3108" t="s">
        <v>40293</v>
      </c>
      <c r="I3108">
        <v>19411</v>
      </c>
      <c r="J3108">
        <v>1</v>
      </c>
      <c r="K3108">
        <v>1</v>
      </c>
    </row>
    <row r="3109" spans="1:11">
      <c r="A3109">
        <v>90</v>
      </c>
      <c r="B3109" t="b">
        <v>0</v>
      </c>
      <c r="C3109" t="s">
        <v>42327</v>
      </c>
      <c r="D3109">
        <v>1037022454355</v>
      </c>
      <c r="E3109">
        <v>1</v>
      </c>
      <c r="F3109">
        <v>6133254350</v>
      </c>
      <c r="G3109">
        <v>17170000</v>
      </c>
      <c r="H3109" t="s">
        <v>40293</v>
      </c>
      <c r="I3109">
        <v>19412</v>
      </c>
      <c r="J3109">
        <v>2</v>
      </c>
      <c r="K3109">
        <v>2</v>
      </c>
    </row>
    <row r="3110" spans="1:11">
      <c r="A3110">
        <v>90</v>
      </c>
      <c r="B3110" t="b">
        <v>0</v>
      </c>
      <c r="C3110" t="s">
        <v>45425</v>
      </c>
      <c r="D3110">
        <v>1037022454355</v>
      </c>
      <c r="E3110">
        <v>1</v>
      </c>
      <c r="F3110">
        <v>6150342650</v>
      </c>
      <c r="G3110">
        <v>80000000</v>
      </c>
      <c r="H3110" t="s">
        <v>40293</v>
      </c>
      <c r="I3110">
        <v>19419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40365</v>
      </c>
      <c r="D3111">
        <v>1037022454355</v>
      </c>
      <c r="E3111">
        <v>1</v>
      </c>
      <c r="F3111">
        <v>6094685911</v>
      </c>
      <c r="G3111">
        <v>3361000</v>
      </c>
      <c r="H3111" t="s">
        <v>40293</v>
      </c>
      <c r="I3111">
        <v>19422</v>
      </c>
      <c r="J3111">
        <v>1</v>
      </c>
      <c r="K3111">
        <v>1</v>
      </c>
    </row>
    <row r="3112" spans="1:11">
      <c r="A3112">
        <v>90</v>
      </c>
      <c r="B3112" t="b">
        <v>0</v>
      </c>
      <c r="C3112" t="s">
        <v>43074</v>
      </c>
      <c r="D3112">
        <v>1037022454355</v>
      </c>
      <c r="E3112">
        <v>1</v>
      </c>
      <c r="F3112">
        <v>6081844963</v>
      </c>
      <c r="G3112">
        <v>324000</v>
      </c>
      <c r="H3112" t="s">
        <v>40293</v>
      </c>
      <c r="I3112">
        <v>19500</v>
      </c>
      <c r="J3112">
        <v>8</v>
      </c>
      <c r="K3112">
        <v>10</v>
      </c>
    </row>
    <row r="3113" spans="1:11">
      <c r="A3113">
        <v>90</v>
      </c>
      <c r="B3113" t="b">
        <v>0</v>
      </c>
      <c r="C3113" t="s">
        <v>43504</v>
      </c>
      <c r="D3113">
        <v>1037022454355</v>
      </c>
      <c r="E3113">
        <v>1</v>
      </c>
      <c r="F3113">
        <v>6094275729</v>
      </c>
      <c r="G3113">
        <v>320100</v>
      </c>
      <c r="H3113" t="s">
        <v>40293</v>
      </c>
      <c r="I3113">
        <v>19500</v>
      </c>
      <c r="J3113">
        <v>327</v>
      </c>
      <c r="K3113">
        <v>328</v>
      </c>
    </row>
    <row r="3114" spans="1:11">
      <c r="A3114">
        <v>90</v>
      </c>
      <c r="B3114" t="b">
        <v>0</v>
      </c>
      <c r="C3114" t="s">
        <v>45304</v>
      </c>
      <c r="D3114">
        <v>1037022454355</v>
      </c>
      <c r="E3114">
        <v>1</v>
      </c>
      <c r="F3114">
        <v>6156116058</v>
      </c>
      <c r="G3114">
        <v>229900000</v>
      </c>
      <c r="H3114" t="s">
        <v>40293</v>
      </c>
      <c r="I3114">
        <v>19549</v>
      </c>
      <c r="J3114">
        <v>3</v>
      </c>
      <c r="K3114">
        <v>3</v>
      </c>
    </row>
    <row r="3115" spans="1:11">
      <c r="A3115">
        <v>90</v>
      </c>
      <c r="B3115" t="b">
        <v>0</v>
      </c>
      <c r="C3115" t="s">
        <v>45304</v>
      </c>
      <c r="D3115">
        <v>1037022454355</v>
      </c>
      <c r="E3115">
        <v>1</v>
      </c>
      <c r="F3115">
        <v>6156116056</v>
      </c>
      <c r="G3115">
        <v>229900000</v>
      </c>
      <c r="H3115" t="s">
        <v>40293</v>
      </c>
      <c r="I3115">
        <v>19550</v>
      </c>
      <c r="J3115">
        <v>3</v>
      </c>
      <c r="K3115">
        <v>3</v>
      </c>
    </row>
    <row r="3116" spans="1:11">
      <c r="A3116">
        <v>90</v>
      </c>
      <c r="B3116" t="b">
        <v>0</v>
      </c>
      <c r="C3116" t="s">
        <v>41845</v>
      </c>
      <c r="D3116">
        <v>1037022454355</v>
      </c>
      <c r="E3116">
        <v>1</v>
      </c>
      <c r="F3116">
        <v>6127462536</v>
      </c>
      <c r="G3116">
        <v>185400</v>
      </c>
      <c r="H3116" t="s">
        <v>40293</v>
      </c>
      <c r="I3116">
        <v>19660</v>
      </c>
      <c r="J3116">
        <v>14</v>
      </c>
      <c r="K3116">
        <v>14</v>
      </c>
    </row>
    <row r="3117" spans="1:11">
      <c r="A3117">
        <v>90</v>
      </c>
      <c r="B3117" t="b">
        <v>0</v>
      </c>
      <c r="C3117" t="s">
        <v>41796</v>
      </c>
      <c r="D3117">
        <v>1037022454355</v>
      </c>
      <c r="E3117">
        <v>1</v>
      </c>
      <c r="F3117">
        <v>6127600195</v>
      </c>
      <c r="G3117">
        <v>185300</v>
      </c>
      <c r="H3117" t="s">
        <v>40293</v>
      </c>
      <c r="I3117">
        <v>19660</v>
      </c>
      <c r="J3117">
        <v>15</v>
      </c>
      <c r="K3117">
        <v>15</v>
      </c>
    </row>
    <row r="3118" spans="1:11">
      <c r="A3118">
        <v>90</v>
      </c>
      <c r="B3118" t="b">
        <v>0</v>
      </c>
      <c r="C3118" t="s">
        <v>41778</v>
      </c>
      <c r="D3118">
        <v>1037022454355</v>
      </c>
      <c r="E3118">
        <v>1</v>
      </c>
      <c r="F3118">
        <v>6128158579</v>
      </c>
      <c r="G3118">
        <v>184000</v>
      </c>
      <c r="H3118" t="s">
        <v>40293</v>
      </c>
      <c r="I3118">
        <v>19660</v>
      </c>
      <c r="J3118">
        <v>10</v>
      </c>
      <c r="K3118">
        <v>10</v>
      </c>
    </row>
    <row r="3119" spans="1:11">
      <c r="A3119">
        <v>90</v>
      </c>
      <c r="B3119" t="b">
        <v>0</v>
      </c>
      <c r="C3119" t="s">
        <v>42066</v>
      </c>
      <c r="D3119">
        <v>1037022454355</v>
      </c>
      <c r="E3119">
        <v>1</v>
      </c>
      <c r="F3119">
        <v>6130736254</v>
      </c>
      <c r="G3119">
        <v>150000</v>
      </c>
      <c r="H3119" t="s">
        <v>40293</v>
      </c>
      <c r="I3119">
        <v>19660</v>
      </c>
      <c r="J3119">
        <v>53</v>
      </c>
      <c r="K3119">
        <v>53</v>
      </c>
    </row>
    <row r="3120" spans="1:11">
      <c r="A3120">
        <v>90</v>
      </c>
      <c r="B3120" t="b">
        <v>0</v>
      </c>
      <c r="C3120" t="s">
        <v>42818</v>
      </c>
      <c r="D3120">
        <v>1037022454355</v>
      </c>
      <c r="E3120">
        <v>1</v>
      </c>
      <c r="F3120">
        <v>6132561321</v>
      </c>
      <c r="G3120">
        <v>149800</v>
      </c>
      <c r="H3120" t="s">
        <v>40293</v>
      </c>
      <c r="I3120">
        <v>19660</v>
      </c>
      <c r="J3120">
        <v>1</v>
      </c>
      <c r="K3120">
        <v>1</v>
      </c>
    </row>
    <row r="3121" spans="1:11">
      <c r="A3121">
        <v>90</v>
      </c>
      <c r="B3121" t="b">
        <v>0</v>
      </c>
      <c r="C3121" t="s">
        <v>42295</v>
      </c>
      <c r="D3121">
        <v>1037022454355</v>
      </c>
      <c r="E3121">
        <v>1</v>
      </c>
      <c r="F3121">
        <v>6137178895</v>
      </c>
      <c r="G3121">
        <v>140000</v>
      </c>
      <c r="H3121" t="s">
        <v>40293</v>
      </c>
      <c r="I3121">
        <v>19660</v>
      </c>
      <c r="J3121">
        <v>3</v>
      </c>
      <c r="K3121">
        <v>3</v>
      </c>
    </row>
    <row r="3122" spans="1:11">
      <c r="A3122">
        <v>90</v>
      </c>
      <c r="B3122" t="b">
        <v>0</v>
      </c>
      <c r="C3122" t="s">
        <v>42862</v>
      </c>
      <c r="D3122">
        <v>1037022454355</v>
      </c>
      <c r="E3122">
        <v>1</v>
      </c>
      <c r="F3122">
        <v>6137183726</v>
      </c>
      <c r="G3122">
        <v>140000</v>
      </c>
      <c r="H3122" t="s">
        <v>40293</v>
      </c>
      <c r="I3122">
        <v>19660</v>
      </c>
      <c r="J3122">
        <v>3</v>
      </c>
      <c r="K3122">
        <v>3</v>
      </c>
    </row>
    <row r="3123" spans="1:11">
      <c r="A3123">
        <v>90</v>
      </c>
      <c r="B3123" t="b">
        <v>0</v>
      </c>
      <c r="C3123" t="s">
        <v>42431</v>
      </c>
      <c r="D3123">
        <v>1037022454355</v>
      </c>
      <c r="E3123">
        <v>1</v>
      </c>
      <c r="F3123">
        <v>6137881889</v>
      </c>
      <c r="G3123">
        <v>135000</v>
      </c>
      <c r="H3123" t="s">
        <v>40293</v>
      </c>
      <c r="I3123">
        <v>19660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43851</v>
      </c>
      <c r="D3124">
        <v>1037022454355</v>
      </c>
      <c r="E3124">
        <v>1</v>
      </c>
      <c r="F3124">
        <v>6128071150</v>
      </c>
      <c r="G3124">
        <v>134900</v>
      </c>
      <c r="H3124" t="s">
        <v>40293</v>
      </c>
      <c r="I3124">
        <v>19660</v>
      </c>
      <c r="J3124">
        <v>35</v>
      </c>
      <c r="K3124">
        <v>38</v>
      </c>
    </row>
    <row r="3125" spans="1:11">
      <c r="A3125">
        <v>90</v>
      </c>
      <c r="B3125" t="b">
        <v>0</v>
      </c>
      <c r="C3125" t="s">
        <v>43026</v>
      </c>
      <c r="D3125">
        <v>1037022454355</v>
      </c>
      <c r="E3125">
        <v>1</v>
      </c>
      <c r="F3125">
        <v>6139318825</v>
      </c>
      <c r="G3125">
        <v>125000</v>
      </c>
      <c r="H3125" t="s">
        <v>40293</v>
      </c>
      <c r="I3125">
        <v>19660</v>
      </c>
      <c r="J3125">
        <v>3</v>
      </c>
      <c r="K3125">
        <v>3</v>
      </c>
    </row>
    <row r="3126" spans="1:11">
      <c r="A3126">
        <v>90</v>
      </c>
      <c r="B3126" t="b">
        <v>0</v>
      </c>
      <c r="C3126" t="s">
        <v>44336</v>
      </c>
      <c r="D3126">
        <v>1037022454355</v>
      </c>
      <c r="E3126">
        <v>1</v>
      </c>
      <c r="F3126">
        <v>6147277493</v>
      </c>
      <c r="G3126">
        <v>124000</v>
      </c>
      <c r="H3126" t="s">
        <v>40293</v>
      </c>
      <c r="I3126">
        <v>19660</v>
      </c>
      <c r="J3126">
        <v>37</v>
      </c>
      <c r="K3126">
        <v>52</v>
      </c>
    </row>
    <row r="3127" spans="1:11">
      <c r="A3127">
        <v>90</v>
      </c>
      <c r="B3127" t="b">
        <v>0</v>
      </c>
      <c r="C3127" t="s">
        <v>43804</v>
      </c>
      <c r="D3127">
        <v>1037022454355</v>
      </c>
      <c r="E3127">
        <v>1</v>
      </c>
      <c r="F3127">
        <v>6145895497</v>
      </c>
      <c r="G3127">
        <v>99000</v>
      </c>
      <c r="H3127" t="s">
        <v>40293</v>
      </c>
      <c r="I3127">
        <v>19660</v>
      </c>
      <c r="J3127">
        <v>1</v>
      </c>
      <c r="K3127">
        <v>1</v>
      </c>
    </row>
    <row r="3128" spans="1:11">
      <c r="A3128">
        <v>90</v>
      </c>
      <c r="B3128" t="b">
        <v>0</v>
      </c>
      <c r="C3128" t="s">
        <v>41198</v>
      </c>
      <c r="D3128">
        <v>1037022454355</v>
      </c>
      <c r="E3128">
        <v>1</v>
      </c>
      <c r="F3128">
        <v>6117740191</v>
      </c>
      <c r="G3128">
        <v>191000000</v>
      </c>
      <c r="H3128" t="s">
        <v>40293</v>
      </c>
      <c r="I3128">
        <v>19693</v>
      </c>
      <c r="J3128">
        <v>1</v>
      </c>
      <c r="K3128">
        <v>3</v>
      </c>
    </row>
    <row r="3129" spans="1:11">
      <c r="A3129">
        <v>90</v>
      </c>
      <c r="B3129" t="b">
        <v>0</v>
      </c>
      <c r="C3129" t="s">
        <v>41172</v>
      </c>
      <c r="D3129">
        <v>1037022454355</v>
      </c>
      <c r="E3129">
        <v>1</v>
      </c>
      <c r="F3129">
        <v>6117739662</v>
      </c>
      <c r="G3129">
        <v>241000000</v>
      </c>
      <c r="H3129" t="s">
        <v>40293</v>
      </c>
      <c r="I3129">
        <v>19694</v>
      </c>
      <c r="J3129">
        <v>2</v>
      </c>
      <c r="K3129">
        <v>5</v>
      </c>
    </row>
    <row r="3130" spans="1:11">
      <c r="A3130">
        <v>90</v>
      </c>
      <c r="B3130" t="b">
        <v>0</v>
      </c>
      <c r="C3130" t="s">
        <v>43116</v>
      </c>
      <c r="D3130">
        <v>1037022454355</v>
      </c>
      <c r="E3130">
        <v>1</v>
      </c>
      <c r="F3130">
        <v>6138244904</v>
      </c>
      <c r="G3130">
        <v>62000000</v>
      </c>
      <c r="H3130" t="s">
        <v>40293</v>
      </c>
      <c r="I3130">
        <v>19695</v>
      </c>
      <c r="J3130">
        <v>1</v>
      </c>
      <c r="K3130">
        <v>2</v>
      </c>
    </row>
    <row r="3131" spans="1:11">
      <c r="A3131">
        <v>30</v>
      </c>
      <c r="B3131" t="b">
        <v>0</v>
      </c>
      <c r="C3131" t="s">
        <v>45973</v>
      </c>
      <c r="D3131">
        <v>1037022454355</v>
      </c>
      <c r="E3131">
        <v>1</v>
      </c>
      <c r="F3131">
        <v>6150840539</v>
      </c>
      <c r="G3131">
        <v>35010000</v>
      </c>
      <c r="H3131" t="s">
        <v>40293</v>
      </c>
      <c r="I3131">
        <v>19719</v>
      </c>
      <c r="J3131">
        <v>1</v>
      </c>
      <c r="K3131">
        <v>1</v>
      </c>
    </row>
    <row r="3132" spans="1:11">
      <c r="A3132">
        <v>90</v>
      </c>
      <c r="B3132" t="b">
        <v>0</v>
      </c>
      <c r="C3132" t="s">
        <v>40740</v>
      </c>
      <c r="D3132">
        <v>1037022454355</v>
      </c>
      <c r="E3132">
        <v>1</v>
      </c>
      <c r="F3132">
        <v>6122907332</v>
      </c>
      <c r="G3132">
        <v>7334000000</v>
      </c>
      <c r="H3132" t="s">
        <v>40293</v>
      </c>
      <c r="I3132">
        <v>19720</v>
      </c>
      <c r="J3132">
        <v>1</v>
      </c>
      <c r="K3132">
        <v>1</v>
      </c>
    </row>
    <row r="3133" spans="1:11">
      <c r="A3133">
        <v>90</v>
      </c>
      <c r="B3133" t="b">
        <v>0</v>
      </c>
      <c r="C3133" t="s">
        <v>40744</v>
      </c>
      <c r="D3133">
        <v>1037022454355</v>
      </c>
      <c r="E3133">
        <v>1</v>
      </c>
      <c r="F3133">
        <v>6122907495</v>
      </c>
      <c r="G3133">
        <v>7319000000</v>
      </c>
      <c r="H3133" t="s">
        <v>40293</v>
      </c>
      <c r="I3133">
        <v>19726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40665</v>
      </c>
      <c r="D3134">
        <v>1037022454355</v>
      </c>
      <c r="E3134">
        <v>1</v>
      </c>
      <c r="F3134">
        <v>6081978339</v>
      </c>
      <c r="G3134">
        <v>4325000</v>
      </c>
      <c r="H3134" t="s">
        <v>40293</v>
      </c>
      <c r="I3134">
        <v>19739</v>
      </c>
      <c r="J3134">
        <v>3</v>
      </c>
      <c r="K3134">
        <v>14</v>
      </c>
    </row>
    <row r="3135" spans="1:11">
      <c r="A3135">
        <v>90</v>
      </c>
      <c r="B3135" t="b">
        <v>0</v>
      </c>
      <c r="C3135" t="s">
        <v>40934</v>
      </c>
      <c r="D3135">
        <v>1037022454355</v>
      </c>
      <c r="E3135">
        <v>1</v>
      </c>
      <c r="F3135">
        <v>6092699952</v>
      </c>
      <c r="G3135">
        <v>4323000</v>
      </c>
      <c r="H3135" t="s">
        <v>40293</v>
      </c>
      <c r="I3135">
        <v>19739</v>
      </c>
      <c r="J3135">
        <v>6</v>
      </c>
      <c r="K3135">
        <v>10</v>
      </c>
    </row>
    <row r="3136" spans="1:11">
      <c r="A3136">
        <v>90</v>
      </c>
      <c r="B3136" t="b">
        <v>0</v>
      </c>
      <c r="C3136" t="s">
        <v>41521</v>
      </c>
      <c r="D3136">
        <v>1037022454355</v>
      </c>
      <c r="E3136">
        <v>1</v>
      </c>
      <c r="F3136">
        <v>6106114517</v>
      </c>
      <c r="G3136">
        <v>4298000</v>
      </c>
      <c r="H3136" t="s">
        <v>40293</v>
      </c>
      <c r="I3136">
        <v>19739</v>
      </c>
      <c r="J3136">
        <v>1</v>
      </c>
      <c r="K3136">
        <v>15</v>
      </c>
    </row>
    <row r="3137" spans="1:11">
      <c r="A3137">
        <v>90</v>
      </c>
      <c r="B3137" t="b">
        <v>0</v>
      </c>
      <c r="C3137" t="s">
        <v>41051</v>
      </c>
      <c r="D3137">
        <v>1037022454355</v>
      </c>
      <c r="E3137">
        <v>1</v>
      </c>
      <c r="F3137">
        <v>6119932705</v>
      </c>
      <c r="G3137">
        <v>4297000</v>
      </c>
      <c r="H3137" t="s">
        <v>40293</v>
      </c>
      <c r="I3137">
        <v>19739</v>
      </c>
      <c r="J3137">
        <v>16</v>
      </c>
      <c r="K3137">
        <v>16</v>
      </c>
    </row>
    <row r="3138" spans="1:11">
      <c r="A3138">
        <v>90</v>
      </c>
      <c r="B3138" t="b">
        <v>0</v>
      </c>
      <c r="C3138" t="s">
        <v>42713</v>
      </c>
      <c r="D3138">
        <v>1037022454355</v>
      </c>
      <c r="E3138">
        <v>1</v>
      </c>
      <c r="F3138">
        <v>6106406798</v>
      </c>
      <c r="G3138">
        <v>4197000</v>
      </c>
      <c r="H3138" t="s">
        <v>40293</v>
      </c>
      <c r="I3138">
        <v>19739</v>
      </c>
      <c r="J3138">
        <v>8</v>
      </c>
      <c r="K3138">
        <v>80</v>
      </c>
    </row>
    <row r="3139" spans="1:11">
      <c r="A3139">
        <v>90</v>
      </c>
      <c r="B3139" t="b">
        <v>0</v>
      </c>
      <c r="C3139" t="s">
        <v>44078</v>
      </c>
      <c r="D3139">
        <v>1037022454355</v>
      </c>
      <c r="E3139">
        <v>1</v>
      </c>
      <c r="F3139">
        <v>6152946196</v>
      </c>
      <c r="G3139">
        <v>4196000</v>
      </c>
      <c r="H3139" t="s">
        <v>40293</v>
      </c>
      <c r="I3139">
        <v>19739</v>
      </c>
      <c r="J3139">
        <v>18</v>
      </c>
      <c r="K3139">
        <v>25</v>
      </c>
    </row>
    <row r="3140" spans="1:11">
      <c r="A3140">
        <v>90</v>
      </c>
      <c r="B3140" t="b">
        <v>0</v>
      </c>
      <c r="C3140" t="s">
        <v>44479</v>
      </c>
      <c r="D3140">
        <v>1037022454355</v>
      </c>
      <c r="E3140">
        <v>1</v>
      </c>
      <c r="F3140">
        <v>6154524737</v>
      </c>
      <c r="G3140">
        <v>4195000</v>
      </c>
      <c r="H3140" t="s">
        <v>40293</v>
      </c>
      <c r="I3140">
        <v>19739</v>
      </c>
      <c r="J3140">
        <v>3</v>
      </c>
      <c r="K3140">
        <v>3</v>
      </c>
    </row>
    <row r="3141" spans="1:11">
      <c r="A3141">
        <v>90</v>
      </c>
      <c r="B3141" t="b">
        <v>0</v>
      </c>
      <c r="C3141" t="s">
        <v>45963</v>
      </c>
      <c r="D3141">
        <v>1037022454355</v>
      </c>
      <c r="E3141">
        <v>1</v>
      </c>
      <c r="F3141">
        <v>6149759054</v>
      </c>
      <c r="G3141">
        <v>3500000</v>
      </c>
      <c r="H3141" t="s">
        <v>40293</v>
      </c>
      <c r="I3141">
        <v>19744</v>
      </c>
      <c r="J3141">
        <v>45</v>
      </c>
      <c r="K3141">
        <v>50</v>
      </c>
    </row>
    <row r="3142" spans="1:11">
      <c r="A3142">
        <v>90</v>
      </c>
      <c r="B3142" t="b">
        <v>0</v>
      </c>
      <c r="C3142" t="s">
        <v>41451</v>
      </c>
      <c r="D3142">
        <v>1037022454355</v>
      </c>
      <c r="E3142">
        <v>1</v>
      </c>
      <c r="F3142">
        <v>6103163617</v>
      </c>
      <c r="G3142">
        <v>450000</v>
      </c>
      <c r="H3142" t="s">
        <v>40293</v>
      </c>
      <c r="I3142">
        <v>19810</v>
      </c>
      <c r="J3142">
        <v>4</v>
      </c>
      <c r="K3142">
        <v>35</v>
      </c>
    </row>
    <row r="3143" spans="1:11">
      <c r="A3143">
        <v>90</v>
      </c>
      <c r="B3143" t="b">
        <v>0</v>
      </c>
      <c r="C3143" t="s">
        <v>41606</v>
      </c>
      <c r="D3143">
        <v>1037022454355</v>
      </c>
      <c r="E3143">
        <v>1</v>
      </c>
      <c r="F3143">
        <v>6095270306</v>
      </c>
      <c r="G3143">
        <v>390000</v>
      </c>
      <c r="H3143" t="s">
        <v>40293</v>
      </c>
      <c r="I3143">
        <v>19812</v>
      </c>
      <c r="J3143">
        <v>34</v>
      </c>
      <c r="K3143">
        <v>50</v>
      </c>
    </row>
    <row r="3144" spans="1:11">
      <c r="A3144">
        <v>90</v>
      </c>
      <c r="B3144" t="b">
        <v>0</v>
      </c>
      <c r="C3144" t="s">
        <v>41874</v>
      </c>
      <c r="D3144">
        <v>1037022454355</v>
      </c>
      <c r="E3144">
        <v>1</v>
      </c>
      <c r="F3144">
        <v>6127042129</v>
      </c>
      <c r="G3144">
        <v>150000</v>
      </c>
      <c r="H3144" t="s">
        <v>40293</v>
      </c>
      <c r="I3144">
        <v>19812</v>
      </c>
      <c r="J3144">
        <v>13</v>
      </c>
      <c r="K3144">
        <v>50</v>
      </c>
    </row>
    <row r="3145" spans="1:11">
      <c r="A3145">
        <v>30</v>
      </c>
      <c r="B3145" t="b">
        <v>0</v>
      </c>
      <c r="C3145" t="s">
        <v>43044</v>
      </c>
      <c r="D3145">
        <v>1037022454355</v>
      </c>
      <c r="E3145">
        <v>1</v>
      </c>
      <c r="F3145">
        <v>6126289631</v>
      </c>
      <c r="G3145">
        <v>398000</v>
      </c>
      <c r="H3145" t="s">
        <v>40293</v>
      </c>
      <c r="I3145">
        <v>19814</v>
      </c>
      <c r="J3145">
        <v>2</v>
      </c>
      <c r="K3145">
        <v>6</v>
      </c>
    </row>
    <row r="3146" spans="1:11">
      <c r="A3146">
        <v>90</v>
      </c>
      <c r="B3146" t="b">
        <v>0</v>
      </c>
      <c r="C3146" t="s">
        <v>45939</v>
      </c>
      <c r="D3146">
        <v>1037022454355</v>
      </c>
      <c r="E3146">
        <v>1</v>
      </c>
      <c r="F3146">
        <v>6153396002</v>
      </c>
      <c r="G3146">
        <v>397000</v>
      </c>
      <c r="H3146" t="s">
        <v>40293</v>
      </c>
      <c r="I3146">
        <v>19814</v>
      </c>
      <c r="J3146">
        <v>2</v>
      </c>
      <c r="K3146">
        <v>4</v>
      </c>
    </row>
    <row r="3147" spans="1:11">
      <c r="A3147">
        <v>90</v>
      </c>
      <c r="B3147" t="b">
        <v>0</v>
      </c>
      <c r="C3147" t="s">
        <v>45415</v>
      </c>
      <c r="D3147">
        <v>1037022454355</v>
      </c>
      <c r="E3147">
        <v>1</v>
      </c>
      <c r="F3147">
        <v>6080644938</v>
      </c>
      <c r="G3147">
        <v>396900</v>
      </c>
      <c r="H3147" t="s">
        <v>40293</v>
      </c>
      <c r="I3147">
        <v>19814</v>
      </c>
      <c r="J3147">
        <v>4</v>
      </c>
      <c r="K3147">
        <v>25</v>
      </c>
    </row>
    <row r="3148" spans="1:11">
      <c r="A3148">
        <v>90</v>
      </c>
      <c r="B3148" t="b">
        <v>0</v>
      </c>
      <c r="C3148" t="s">
        <v>46551</v>
      </c>
      <c r="D3148">
        <v>1037022454355</v>
      </c>
      <c r="E3148">
        <v>1</v>
      </c>
      <c r="F3148">
        <v>6155337496</v>
      </c>
      <c r="G3148">
        <v>396800</v>
      </c>
      <c r="H3148" t="s">
        <v>40293</v>
      </c>
      <c r="I3148">
        <v>19814</v>
      </c>
      <c r="J3148">
        <v>9</v>
      </c>
      <c r="K3148">
        <v>10</v>
      </c>
    </row>
    <row r="3149" spans="1:11">
      <c r="A3149">
        <v>90</v>
      </c>
      <c r="B3149" t="b">
        <v>0</v>
      </c>
      <c r="C3149" t="s">
        <v>40506</v>
      </c>
      <c r="D3149">
        <v>1037022454355</v>
      </c>
      <c r="E3149">
        <v>1</v>
      </c>
      <c r="F3149">
        <v>6106831003</v>
      </c>
      <c r="G3149">
        <v>25000</v>
      </c>
      <c r="H3149" t="s">
        <v>40293</v>
      </c>
      <c r="I3149">
        <v>19927</v>
      </c>
      <c r="J3149">
        <v>41</v>
      </c>
      <c r="K3149">
        <v>50</v>
      </c>
    </row>
    <row r="3150" spans="1:11">
      <c r="A3150">
        <v>90</v>
      </c>
      <c r="B3150" t="b">
        <v>0</v>
      </c>
      <c r="C3150" t="s">
        <v>40846</v>
      </c>
      <c r="D3150">
        <v>1037022454355</v>
      </c>
      <c r="E3150">
        <v>1</v>
      </c>
      <c r="F3150">
        <v>6089716145</v>
      </c>
      <c r="G3150">
        <v>20010</v>
      </c>
      <c r="H3150" t="s">
        <v>40293</v>
      </c>
      <c r="I3150">
        <v>19937</v>
      </c>
      <c r="J3150">
        <v>60</v>
      </c>
      <c r="K3150">
        <v>60</v>
      </c>
    </row>
    <row r="3151" spans="1:11">
      <c r="A3151">
        <v>90</v>
      </c>
      <c r="B3151" t="b">
        <v>0</v>
      </c>
      <c r="C3151" t="s">
        <v>41326</v>
      </c>
      <c r="D3151">
        <v>1037022454355</v>
      </c>
      <c r="E3151">
        <v>1</v>
      </c>
      <c r="F3151">
        <v>6106830499</v>
      </c>
      <c r="G3151">
        <v>25000</v>
      </c>
      <c r="H3151" t="s">
        <v>40293</v>
      </c>
      <c r="I3151">
        <v>19939</v>
      </c>
      <c r="J3151">
        <v>50</v>
      </c>
      <c r="K3151">
        <v>50</v>
      </c>
    </row>
    <row r="3152" spans="1:11">
      <c r="A3152">
        <v>90</v>
      </c>
      <c r="B3152" t="b">
        <v>0</v>
      </c>
      <c r="C3152" t="s">
        <v>40840</v>
      </c>
      <c r="D3152">
        <v>1037022454355</v>
      </c>
      <c r="E3152">
        <v>1</v>
      </c>
      <c r="F3152">
        <v>6089715948</v>
      </c>
      <c r="G3152">
        <v>20020</v>
      </c>
      <c r="H3152" t="s">
        <v>40293</v>
      </c>
      <c r="I3152">
        <v>19939</v>
      </c>
      <c r="J3152">
        <v>46</v>
      </c>
      <c r="K3152">
        <v>60</v>
      </c>
    </row>
    <row r="3153" spans="1:11">
      <c r="A3153">
        <v>90</v>
      </c>
      <c r="B3153" t="b">
        <v>0</v>
      </c>
      <c r="C3153" t="s">
        <v>41212</v>
      </c>
      <c r="D3153">
        <v>1037022454355</v>
      </c>
      <c r="E3153">
        <v>1</v>
      </c>
      <c r="F3153">
        <v>6106828777</v>
      </c>
      <c r="G3153">
        <v>30000</v>
      </c>
      <c r="H3153" t="s">
        <v>40293</v>
      </c>
      <c r="I3153">
        <v>19946</v>
      </c>
      <c r="J3153">
        <v>24</v>
      </c>
      <c r="K3153">
        <v>35</v>
      </c>
    </row>
    <row r="3154" spans="1:11">
      <c r="A3154">
        <v>90</v>
      </c>
      <c r="B3154" t="b">
        <v>0</v>
      </c>
      <c r="C3154" t="s">
        <v>41600</v>
      </c>
      <c r="D3154">
        <v>1037022454355</v>
      </c>
      <c r="E3154">
        <v>1</v>
      </c>
      <c r="F3154">
        <v>6106834990</v>
      </c>
      <c r="G3154">
        <v>35000</v>
      </c>
      <c r="H3154" t="s">
        <v>40293</v>
      </c>
      <c r="I3154">
        <v>19952</v>
      </c>
      <c r="J3154">
        <v>37</v>
      </c>
      <c r="K3154">
        <v>50</v>
      </c>
    </row>
    <row r="3155" spans="1:11">
      <c r="A3155">
        <v>90</v>
      </c>
      <c r="B3155" t="b">
        <v>0</v>
      </c>
      <c r="C3155" t="s">
        <v>41935</v>
      </c>
      <c r="D3155">
        <v>1037022454355</v>
      </c>
      <c r="E3155">
        <v>1</v>
      </c>
      <c r="F3155">
        <v>6073853055</v>
      </c>
      <c r="G3155">
        <v>79000</v>
      </c>
      <c r="H3155" t="s">
        <v>40293</v>
      </c>
      <c r="I3155">
        <v>20014</v>
      </c>
      <c r="J3155">
        <v>1</v>
      </c>
      <c r="K3155">
        <v>1</v>
      </c>
    </row>
    <row r="3156" spans="1:11">
      <c r="A3156">
        <v>90</v>
      </c>
      <c r="B3156" t="b">
        <v>0</v>
      </c>
      <c r="C3156" t="s">
        <v>41970</v>
      </c>
      <c r="D3156">
        <v>1037022454355</v>
      </c>
      <c r="E3156">
        <v>1</v>
      </c>
      <c r="F3156">
        <v>6073853919</v>
      </c>
      <c r="G3156">
        <v>24500</v>
      </c>
      <c r="H3156" t="s">
        <v>40293</v>
      </c>
      <c r="I3156">
        <v>20020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43120</v>
      </c>
      <c r="D3157">
        <v>1037022454355</v>
      </c>
      <c r="E3157">
        <v>1</v>
      </c>
      <c r="F3157">
        <v>6140107628</v>
      </c>
      <c r="G3157">
        <v>1560000</v>
      </c>
      <c r="H3157" t="s">
        <v>40293</v>
      </c>
      <c r="I3157">
        <v>20026</v>
      </c>
      <c r="J3157">
        <v>87</v>
      </c>
      <c r="K3157">
        <v>90</v>
      </c>
    </row>
    <row r="3158" spans="1:11">
      <c r="A3158">
        <v>90</v>
      </c>
      <c r="B3158" t="b">
        <v>0</v>
      </c>
      <c r="C3158" t="s">
        <v>43106</v>
      </c>
      <c r="D3158">
        <v>1037022454355</v>
      </c>
      <c r="E3158">
        <v>1</v>
      </c>
      <c r="F3158">
        <v>6140107333</v>
      </c>
      <c r="G3158">
        <v>1346000</v>
      </c>
      <c r="H3158" t="s">
        <v>40293</v>
      </c>
      <c r="I3158">
        <v>20028</v>
      </c>
      <c r="J3158">
        <v>152</v>
      </c>
      <c r="K3158">
        <v>152</v>
      </c>
    </row>
    <row r="3159" spans="1:11">
      <c r="A3159">
        <v>90</v>
      </c>
      <c r="B3159" t="b">
        <v>0</v>
      </c>
      <c r="C3159" t="s">
        <v>43092</v>
      </c>
      <c r="D3159">
        <v>1037022454355</v>
      </c>
      <c r="E3159">
        <v>1</v>
      </c>
      <c r="F3159">
        <v>6140107051</v>
      </c>
      <c r="G3159">
        <v>1320000</v>
      </c>
      <c r="H3159" t="s">
        <v>40293</v>
      </c>
      <c r="I3159">
        <v>20030</v>
      </c>
      <c r="J3159">
        <v>75</v>
      </c>
      <c r="K3159">
        <v>78</v>
      </c>
    </row>
    <row r="3160" spans="1:11">
      <c r="A3160">
        <v>90</v>
      </c>
      <c r="B3160" t="b">
        <v>0</v>
      </c>
      <c r="C3160" t="s">
        <v>43130</v>
      </c>
      <c r="D3160">
        <v>1037022454355</v>
      </c>
      <c r="E3160">
        <v>1</v>
      </c>
      <c r="F3160">
        <v>6140107908</v>
      </c>
      <c r="G3160">
        <v>1404000</v>
      </c>
      <c r="H3160" t="s">
        <v>40293</v>
      </c>
      <c r="I3160">
        <v>20032</v>
      </c>
      <c r="J3160">
        <v>140</v>
      </c>
      <c r="K3160">
        <v>165</v>
      </c>
    </row>
    <row r="3161" spans="1:11">
      <c r="A3161">
        <v>90</v>
      </c>
      <c r="B3161" t="b">
        <v>0</v>
      </c>
      <c r="C3161" t="s">
        <v>44845</v>
      </c>
      <c r="D3161">
        <v>1037022454355</v>
      </c>
      <c r="E3161">
        <v>1</v>
      </c>
      <c r="F3161">
        <v>6105541203</v>
      </c>
      <c r="G3161">
        <v>1214000</v>
      </c>
      <c r="H3161" t="s">
        <v>40293</v>
      </c>
      <c r="I3161">
        <v>20032</v>
      </c>
      <c r="J3161">
        <v>6</v>
      </c>
      <c r="K3161">
        <v>8</v>
      </c>
    </row>
    <row r="3162" spans="1:11">
      <c r="A3162">
        <v>90</v>
      </c>
      <c r="B3162" t="b">
        <v>0</v>
      </c>
      <c r="C3162" t="s">
        <v>42560</v>
      </c>
      <c r="D3162">
        <v>1037022454355</v>
      </c>
      <c r="E3162">
        <v>1</v>
      </c>
      <c r="F3162">
        <v>6136217608</v>
      </c>
      <c r="G3162">
        <v>100.1</v>
      </c>
      <c r="H3162" t="s">
        <v>40293</v>
      </c>
      <c r="I3162">
        <v>20047</v>
      </c>
      <c r="J3162">
        <v>1000</v>
      </c>
      <c r="K3162">
        <v>1000</v>
      </c>
    </row>
    <row r="3163" spans="1:11">
      <c r="A3163">
        <v>90</v>
      </c>
      <c r="B3163" t="b">
        <v>0</v>
      </c>
      <c r="C3163" t="s">
        <v>44609</v>
      </c>
      <c r="D3163">
        <v>1037022454355</v>
      </c>
      <c r="E3163">
        <v>1</v>
      </c>
      <c r="F3163">
        <v>6155050845</v>
      </c>
      <c r="G3163">
        <v>180000000</v>
      </c>
      <c r="H3163" t="s">
        <v>40293</v>
      </c>
      <c r="I3163">
        <v>20062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40633</v>
      </c>
      <c r="D3164">
        <v>1037022454355</v>
      </c>
      <c r="E3164">
        <v>1</v>
      </c>
      <c r="F3164">
        <v>6118710724</v>
      </c>
      <c r="G3164">
        <v>300100000</v>
      </c>
      <c r="H3164" t="s">
        <v>40293</v>
      </c>
      <c r="I3164">
        <v>20063</v>
      </c>
      <c r="J3164">
        <v>1</v>
      </c>
      <c r="K3164">
        <v>2</v>
      </c>
    </row>
    <row r="3165" spans="1:11">
      <c r="A3165">
        <v>90</v>
      </c>
      <c r="B3165" t="b">
        <v>0</v>
      </c>
      <c r="C3165" t="s">
        <v>40889</v>
      </c>
      <c r="D3165">
        <v>1037022454355</v>
      </c>
      <c r="E3165">
        <v>1</v>
      </c>
      <c r="F3165">
        <v>6103971295</v>
      </c>
      <c r="G3165">
        <v>274300000</v>
      </c>
      <c r="H3165" t="s">
        <v>40293</v>
      </c>
      <c r="I3165">
        <v>20125</v>
      </c>
      <c r="J3165">
        <v>1</v>
      </c>
      <c r="K3165">
        <v>1</v>
      </c>
    </row>
    <row r="3166" spans="1:11">
      <c r="A3166">
        <v>90</v>
      </c>
      <c r="B3166" t="b">
        <v>0</v>
      </c>
      <c r="C3166" t="s">
        <v>41966</v>
      </c>
      <c r="D3166">
        <v>1037022454355</v>
      </c>
      <c r="E3166">
        <v>1</v>
      </c>
      <c r="F3166">
        <v>6127152550</v>
      </c>
      <c r="G3166">
        <v>256000000</v>
      </c>
      <c r="H3166" t="s">
        <v>40293</v>
      </c>
      <c r="I3166">
        <v>20125</v>
      </c>
      <c r="J3166">
        <v>3</v>
      </c>
      <c r="K3166">
        <v>3</v>
      </c>
    </row>
    <row r="3167" spans="1:11">
      <c r="A3167">
        <v>90</v>
      </c>
      <c r="B3167" t="b">
        <v>0</v>
      </c>
      <c r="C3167" t="s">
        <v>45811</v>
      </c>
      <c r="D3167">
        <v>1037022454355</v>
      </c>
      <c r="E3167">
        <v>1</v>
      </c>
      <c r="F3167">
        <v>6151808086</v>
      </c>
      <c r="G3167">
        <v>245000000</v>
      </c>
      <c r="H3167" t="s">
        <v>40293</v>
      </c>
      <c r="I3167">
        <v>20125</v>
      </c>
      <c r="J3167">
        <v>1</v>
      </c>
      <c r="K3167">
        <v>1</v>
      </c>
    </row>
    <row r="3168" spans="1:11">
      <c r="A3168">
        <v>90</v>
      </c>
      <c r="B3168" t="b">
        <v>0</v>
      </c>
      <c r="C3168" t="s">
        <v>45729</v>
      </c>
      <c r="D3168">
        <v>1037022454355</v>
      </c>
      <c r="E3168">
        <v>1</v>
      </c>
      <c r="F3168">
        <v>6156441145</v>
      </c>
      <c r="G3168">
        <v>240100000</v>
      </c>
      <c r="H3168" t="s">
        <v>40293</v>
      </c>
      <c r="I3168">
        <v>20125</v>
      </c>
      <c r="J3168">
        <v>1</v>
      </c>
      <c r="K3168">
        <v>2</v>
      </c>
    </row>
    <row r="3169" spans="1:11">
      <c r="A3169">
        <v>90</v>
      </c>
      <c r="B3169" t="b">
        <v>0</v>
      </c>
      <c r="C3169" t="s">
        <v>42528</v>
      </c>
      <c r="D3169">
        <v>1037022454355</v>
      </c>
      <c r="E3169">
        <v>1</v>
      </c>
      <c r="F3169">
        <v>6132763042</v>
      </c>
      <c r="G3169">
        <v>1000000</v>
      </c>
      <c r="H3169" t="s">
        <v>40293</v>
      </c>
      <c r="I3169">
        <v>20138</v>
      </c>
      <c r="J3169">
        <v>20</v>
      </c>
      <c r="K3169">
        <v>20</v>
      </c>
    </row>
    <row r="3170" spans="1:11">
      <c r="A3170">
        <v>90</v>
      </c>
      <c r="B3170" t="b">
        <v>0</v>
      </c>
      <c r="C3170" t="s">
        <v>43737</v>
      </c>
      <c r="D3170">
        <v>1037022454355</v>
      </c>
      <c r="E3170">
        <v>1</v>
      </c>
      <c r="F3170">
        <v>6138520759</v>
      </c>
      <c r="G3170">
        <v>999000</v>
      </c>
      <c r="H3170" t="s">
        <v>40293</v>
      </c>
      <c r="I3170">
        <v>20138</v>
      </c>
      <c r="J3170">
        <v>100</v>
      </c>
      <c r="K3170">
        <v>100</v>
      </c>
    </row>
    <row r="3171" spans="1:11">
      <c r="A3171">
        <v>90</v>
      </c>
      <c r="B3171" t="b">
        <v>0</v>
      </c>
      <c r="C3171" t="s">
        <v>40802</v>
      </c>
      <c r="D3171">
        <v>1037022454355</v>
      </c>
      <c r="E3171">
        <v>1</v>
      </c>
      <c r="F3171">
        <v>6123185575</v>
      </c>
      <c r="G3171">
        <v>82410000</v>
      </c>
      <c r="H3171" t="s">
        <v>40293</v>
      </c>
      <c r="I3171">
        <v>20280</v>
      </c>
      <c r="J3171">
        <v>1</v>
      </c>
      <c r="K3171">
        <v>1</v>
      </c>
    </row>
    <row r="3172" spans="1:11">
      <c r="A3172">
        <v>90</v>
      </c>
      <c r="B3172" t="b">
        <v>0</v>
      </c>
      <c r="C3172" t="s">
        <v>41839</v>
      </c>
      <c r="D3172">
        <v>1037022454355</v>
      </c>
      <c r="E3172">
        <v>1</v>
      </c>
      <c r="F3172">
        <v>6129033949</v>
      </c>
      <c r="G3172">
        <v>82400000</v>
      </c>
      <c r="H3172" t="s">
        <v>40293</v>
      </c>
      <c r="I3172">
        <v>20280</v>
      </c>
      <c r="J3172">
        <v>1</v>
      </c>
      <c r="K3172">
        <v>1</v>
      </c>
    </row>
    <row r="3173" spans="1:11">
      <c r="A3173">
        <v>30</v>
      </c>
      <c r="B3173" t="b">
        <v>0</v>
      </c>
      <c r="C3173" t="s">
        <v>45775</v>
      </c>
      <c r="D3173">
        <v>1037022454355</v>
      </c>
      <c r="E3173">
        <v>1</v>
      </c>
      <c r="F3173">
        <v>6155458594</v>
      </c>
      <c r="G3173">
        <v>500.9</v>
      </c>
      <c r="H3173" t="s">
        <v>40293</v>
      </c>
      <c r="I3173">
        <v>20306</v>
      </c>
      <c r="J3173">
        <v>40000</v>
      </c>
      <c r="K3173">
        <v>50000</v>
      </c>
    </row>
    <row r="3174" spans="1:11">
      <c r="A3174">
        <v>90</v>
      </c>
      <c r="B3174" t="b">
        <v>0</v>
      </c>
      <c r="C3174" t="s">
        <v>41177</v>
      </c>
      <c r="D3174">
        <v>1037022454355</v>
      </c>
      <c r="E3174">
        <v>1</v>
      </c>
      <c r="F3174">
        <v>6106303667</v>
      </c>
      <c r="G3174">
        <v>690</v>
      </c>
      <c r="H3174" t="s">
        <v>40293</v>
      </c>
      <c r="I3174">
        <v>20307</v>
      </c>
      <c r="J3174">
        <v>15000</v>
      </c>
      <c r="K3174">
        <v>15000</v>
      </c>
    </row>
    <row r="3175" spans="1:11">
      <c r="A3175">
        <v>90</v>
      </c>
      <c r="B3175" t="b">
        <v>0</v>
      </c>
      <c r="C3175" t="s">
        <v>40478</v>
      </c>
      <c r="D3175">
        <v>1037022454355</v>
      </c>
      <c r="E3175">
        <v>1</v>
      </c>
      <c r="F3175">
        <v>6108385466</v>
      </c>
      <c r="G3175">
        <v>300</v>
      </c>
      <c r="H3175" t="s">
        <v>40293</v>
      </c>
      <c r="I3175">
        <v>20307</v>
      </c>
      <c r="J3175">
        <v>12840</v>
      </c>
      <c r="K3175">
        <v>15000</v>
      </c>
    </row>
    <row r="3176" spans="1:11">
      <c r="A3176">
        <v>30</v>
      </c>
      <c r="B3176" t="b">
        <v>0</v>
      </c>
      <c r="C3176" t="s">
        <v>43464</v>
      </c>
      <c r="D3176">
        <v>1037022454355</v>
      </c>
      <c r="E3176">
        <v>1</v>
      </c>
      <c r="F3176">
        <v>6144736963</v>
      </c>
      <c r="G3176">
        <v>299.89999999999998</v>
      </c>
      <c r="H3176" t="s">
        <v>40293</v>
      </c>
      <c r="I3176">
        <v>20307</v>
      </c>
      <c r="J3176">
        <v>86</v>
      </c>
      <c r="K3176">
        <v>86</v>
      </c>
    </row>
    <row r="3177" spans="1:11">
      <c r="A3177">
        <v>30</v>
      </c>
      <c r="B3177" t="b">
        <v>0</v>
      </c>
      <c r="C3177" t="s">
        <v>44792</v>
      </c>
      <c r="D3177">
        <v>1037022454355</v>
      </c>
      <c r="E3177">
        <v>1</v>
      </c>
      <c r="F3177">
        <v>6148400976</v>
      </c>
      <c r="G3177">
        <v>250</v>
      </c>
      <c r="H3177" t="s">
        <v>40293</v>
      </c>
      <c r="I3177">
        <v>20307</v>
      </c>
      <c r="J3177">
        <v>10000</v>
      </c>
      <c r="K3177">
        <v>20000</v>
      </c>
    </row>
    <row r="3178" spans="1:11">
      <c r="A3178">
        <v>90</v>
      </c>
      <c r="B3178" t="b">
        <v>0</v>
      </c>
      <c r="C3178" t="s">
        <v>41642</v>
      </c>
      <c r="D3178">
        <v>1037022454355</v>
      </c>
      <c r="E3178">
        <v>1</v>
      </c>
      <c r="F3178">
        <v>6120535381</v>
      </c>
      <c r="G3178">
        <v>2899</v>
      </c>
      <c r="H3178" t="s">
        <v>40293</v>
      </c>
      <c r="I3178">
        <v>20308</v>
      </c>
      <c r="J3178">
        <v>9760</v>
      </c>
      <c r="K3178">
        <v>11260</v>
      </c>
    </row>
    <row r="3179" spans="1:11">
      <c r="A3179">
        <v>30</v>
      </c>
      <c r="B3179" t="b">
        <v>0</v>
      </c>
      <c r="C3179" t="s">
        <v>43464</v>
      </c>
      <c r="D3179">
        <v>1037022454355</v>
      </c>
      <c r="E3179">
        <v>1</v>
      </c>
      <c r="F3179">
        <v>6144736962</v>
      </c>
      <c r="G3179">
        <v>1999</v>
      </c>
      <c r="H3179" t="s">
        <v>40293</v>
      </c>
      <c r="I3179">
        <v>20308</v>
      </c>
      <c r="J3179">
        <v>500</v>
      </c>
      <c r="K3179">
        <v>500</v>
      </c>
    </row>
    <row r="3180" spans="1:11">
      <c r="A3180">
        <v>90</v>
      </c>
      <c r="B3180" t="b">
        <v>0</v>
      </c>
      <c r="C3180" t="s">
        <v>46507</v>
      </c>
      <c r="D3180">
        <v>1037022454355</v>
      </c>
      <c r="E3180">
        <v>1</v>
      </c>
      <c r="F3180">
        <v>6136239333</v>
      </c>
      <c r="G3180">
        <v>15000000</v>
      </c>
      <c r="H3180" t="s">
        <v>40293</v>
      </c>
      <c r="I3180">
        <v>20347</v>
      </c>
      <c r="J3180">
        <v>48</v>
      </c>
      <c r="K3180">
        <v>50</v>
      </c>
    </row>
    <row r="3181" spans="1:11">
      <c r="A3181">
        <v>90</v>
      </c>
      <c r="B3181" t="b">
        <v>0</v>
      </c>
      <c r="C3181" t="s">
        <v>40857</v>
      </c>
      <c r="D3181">
        <v>1037022454355</v>
      </c>
      <c r="E3181">
        <v>1</v>
      </c>
      <c r="F3181">
        <v>6092862153</v>
      </c>
      <c r="G3181">
        <v>1972000</v>
      </c>
      <c r="H3181" t="s">
        <v>40293</v>
      </c>
      <c r="I3181">
        <v>20347</v>
      </c>
      <c r="J3181">
        <v>7</v>
      </c>
      <c r="K3181">
        <v>7</v>
      </c>
    </row>
    <row r="3182" spans="1:11">
      <c r="A3182">
        <v>90</v>
      </c>
      <c r="B3182" t="b">
        <v>0</v>
      </c>
      <c r="C3182" t="s">
        <v>40668</v>
      </c>
      <c r="D3182">
        <v>1037022454355</v>
      </c>
      <c r="E3182">
        <v>1</v>
      </c>
      <c r="F3182">
        <v>6090465311</v>
      </c>
      <c r="G3182">
        <v>1971000</v>
      </c>
      <c r="H3182" t="s">
        <v>40293</v>
      </c>
      <c r="I3182">
        <v>20347</v>
      </c>
      <c r="J3182">
        <v>2</v>
      </c>
      <c r="K3182">
        <v>5</v>
      </c>
    </row>
    <row r="3183" spans="1:11">
      <c r="A3183">
        <v>90</v>
      </c>
      <c r="B3183" t="b">
        <v>0</v>
      </c>
      <c r="C3183" t="s">
        <v>40796</v>
      </c>
      <c r="D3183">
        <v>1037022454355</v>
      </c>
      <c r="E3183">
        <v>1</v>
      </c>
      <c r="F3183">
        <v>6100167728</v>
      </c>
      <c r="G3183">
        <v>1950000</v>
      </c>
      <c r="H3183" t="s">
        <v>40293</v>
      </c>
      <c r="I3183">
        <v>20347</v>
      </c>
      <c r="J3183">
        <v>1</v>
      </c>
      <c r="K3183">
        <v>1</v>
      </c>
    </row>
    <row r="3184" spans="1:11">
      <c r="A3184">
        <v>90</v>
      </c>
      <c r="B3184" t="b">
        <v>0</v>
      </c>
      <c r="C3184" t="s">
        <v>40548</v>
      </c>
      <c r="D3184">
        <v>1037022454355</v>
      </c>
      <c r="E3184">
        <v>1</v>
      </c>
      <c r="F3184">
        <v>6080042812</v>
      </c>
      <c r="G3184">
        <v>1690000</v>
      </c>
      <c r="H3184" t="s">
        <v>40293</v>
      </c>
      <c r="I3184">
        <v>20347</v>
      </c>
      <c r="J3184">
        <v>2</v>
      </c>
      <c r="K3184">
        <v>2</v>
      </c>
    </row>
    <row r="3185" spans="1:11">
      <c r="A3185">
        <v>90</v>
      </c>
      <c r="B3185" t="b">
        <v>0</v>
      </c>
      <c r="C3185" t="s">
        <v>42753</v>
      </c>
      <c r="D3185">
        <v>1037022454355</v>
      </c>
      <c r="E3185">
        <v>1</v>
      </c>
      <c r="F3185">
        <v>6080227142</v>
      </c>
      <c r="G3185">
        <v>1649000</v>
      </c>
      <c r="H3185" t="s">
        <v>40293</v>
      </c>
      <c r="I3185">
        <v>20347</v>
      </c>
      <c r="J3185">
        <v>65</v>
      </c>
      <c r="K3185">
        <v>90</v>
      </c>
    </row>
    <row r="3186" spans="1:11">
      <c r="A3186">
        <v>90</v>
      </c>
      <c r="B3186" t="b">
        <v>0</v>
      </c>
      <c r="C3186" t="s">
        <v>43667</v>
      </c>
      <c r="D3186">
        <v>1037022454355</v>
      </c>
      <c r="E3186">
        <v>1</v>
      </c>
      <c r="F3186">
        <v>6139318061</v>
      </c>
      <c r="G3186">
        <v>1550000</v>
      </c>
      <c r="H3186" t="s">
        <v>40293</v>
      </c>
      <c r="I3186">
        <v>20347</v>
      </c>
      <c r="J3186">
        <v>8</v>
      </c>
      <c r="K3186">
        <v>8</v>
      </c>
    </row>
    <row r="3187" spans="1:11">
      <c r="A3187">
        <v>90</v>
      </c>
      <c r="B3187" t="b">
        <v>0</v>
      </c>
      <c r="C3187" t="s">
        <v>43432</v>
      </c>
      <c r="D3187">
        <v>1037022454355</v>
      </c>
      <c r="E3187">
        <v>1</v>
      </c>
      <c r="F3187">
        <v>6102072228</v>
      </c>
      <c r="G3187">
        <v>1525000</v>
      </c>
      <c r="H3187" t="s">
        <v>40293</v>
      </c>
      <c r="I3187">
        <v>20347</v>
      </c>
      <c r="J3187">
        <v>20</v>
      </c>
      <c r="K3187">
        <v>37</v>
      </c>
    </row>
    <row r="3188" spans="1:11">
      <c r="A3188">
        <v>30</v>
      </c>
      <c r="B3188" t="b">
        <v>0</v>
      </c>
      <c r="C3188" t="s">
        <v>44819</v>
      </c>
      <c r="D3188">
        <v>1037022454355</v>
      </c>
      <c r="E3188">
        <v>1</v>
      </c>
      <c r="F3188">
        <v>6149515509</v>
      </c>
      <c r="G3188">
        <v>1503000</v>
      </c>
      <c r="H3188" t="s">
        <v>40293</v>
      </c>
      <c r="I3188">
        <v>20347</v>
      </c>
      <c r="J3188">
        <v>3</v>
      </c>
      <c r="K3188">
        <v>3</v>
      </c>
    </row>
    <row r="3189" spans="1:11">
      <c r="A3189">
        <v>90</v>
      </c>
      <c r="B3189" t="b">
        <v>0</v>
      </c>
      <c r="C3189" t="s">
        <v>44389</v>
      </c>
      <c r="D3189">
        <v>1037022454355</v>
      </c>
      <c r="E3189">
        <v>1</v>
      </c>
      <c r="F3189">
        <v>6136894249</v>
      </c>
      <c r="G3189">
        <v>1500000</v>
      </c>
      <c r="H3189" t="s">
        <v>40293</v>
      </c>
      <c r="I3189">
        <v>20347</v>
      </c>
      <c r="J3189">
        <v>78</v>
      </c>
      <c r="K3189">
        <v>80</v>
      </c>
    </row>
    <row r="3190" spans="1:11">
      <c r="A3190">
        <v>90</v>
      </c>
      <c r="B3190" t="b">
        <v>0</v>
      </c>
      <c r="C3190" t="s">
        <v>44646</v>
      </c>
      <c r="D3190">
        <v>1037022454355</v>
      </c>
      <c r="E3190">
        <v>1</v>
      </c>
      <c r="F3190">
        <v>6138634479</v>
      </c>
      <c r="G3190">
        <v>1500000</v>
      </c>
      <c r="H3190" t="s">
        <v>40293</v>
      </c>
      <c r="I3190">
        <v>20347</v>
      </c>
      <c r="J3190">
        <v>90</v>
      </c>
      <c r="K3190">
        <v>90</v>
      </c>
    </row>
    <row r="3191" spans="1:11">
      <c r="A3191">
        <v>90</v>
      </c>
      <c r="B3191" t="b">
        <v>0</v>
      </c>
      <c r="C3191" t="s">
        <v>45127</v>
      </c>
      <c r="D3191">
        <v>1037022454355</v>
      </c>
      <c r="E3191">
        <v>1</v>
      </c>
      <c r="F3191">
        <v>6149900624</v>
      </c>
      <c r="G3191">
        <v>1499000</v>
      </c>
      <c r="H3191" t="s">
        <v>40293</v>
      </c>
      <c r="I3191">
        <v>20347</v>
      </c>
      <c r="J3191">
        <v>13</v>
      </c>
      <c r="K3191">
        <v>25</v>
      </c>
    </row>
    <row r="3192" spans="1:11">
      <c r="A3192">
        <v>90</v>
      </c>
      <c r="B3192" t="b">
        <v>0</v>
      </c>
      <c r="C3192" t="s">
        <v>45794</v>
      </c>
      <c r="D3192">
        <v>1037022454355</v>
      </c>
      <c r="E3192">
        <v>1</v>
      </c>
      <c r="F3192">
        <v>6156736839</v>
      </c>
      <c r="G3192">
        <v>1475000</v>
      </c>
      <c r="H3192" t="s">
        <v>40293</v>
      </c>
      <c r="I3192">
        <v>20347</v>
      </c>
      <c r="J3192">
        <v>22</v>
      </c>
      <c r="K3192">
        <v>23</v>
      </c>
    </row>
    <row r="3193" spans="1:11">
      <c r="A3193">
        <v>90</v>
      </c>
      <c r="B3193" t="b">
        <v>0</v>
      </c>
      <c r="C3193" t="s">
        <v>41036</v>
      </c>
      <c r="D3193">
        <v>1037022454355</v>
      </c>
      <c r="E3193">
        <v>1</v>
      </c>
      <c r="F3193">
        <v>6114886097</v>
      </c>
      <c r="G3193">
        <v>2250000</v>
      </c>
      <c r="H3193" t="s">
        <v>40293</v>
      </c>
      <c r="I3193">
        <v>20349</v>
      </c>
      <c r="J3193">
        <v>17</v>
      </c>
      <c r="K3193">
        <v>25</v>
      </c>
    </row>
    <row r="3194" spans="1:11">
      <c r="A3194">
        <v>90</v>
      </c>
      <c r="B3194" t="b">
        <v>0</v>
      </c>
      <c r="C3194" t="s">
        <v>42437</v>
      </c>
      <c r="D3194">
        <v>1037022454355</v>
      </c>
      <c r="E3194">
        <v>1</v>
      </c>
      <c r="F3194">
        <v>6132639350</v>
      </c>
      <c r="G3194">
        <v>1999000</v>
      </c>
      <c r="H3194" t="s">
        <v>40293</v>
      </c>
      <c r="I3194">
        <v>20349</v>
      </c>
      <c r="J3194">
        <v>3</v>
      </c>
      <c r="K3194">
        <v>20</v>
      </c>
    </row>
    <row r="3195" spans="1:11">
      <c r="A3195">
        <v>90</v>
      </c>
      <c r="B3195" t="b">
        <v>0</v>
      </c>
      <c r="C3195" t="s">
        <v>42811</v>
      </c>
      <c r="D3195">
        <v>1037022454355</v>
      </c>
      <c r="E3195">
        <v>1</v>
      </c>
      <c r="F3195">
        <v>6136066921</v>
      </c>
      <c r="G3195">
        <v>4500000</v>
      </c>
      <c r="H3195" t="s">
        <v>40293</v>
      </c>
      <c r="I3195">
        <v>20351</v>
      </c>
      <c r="J3195">
        <v>19</v>
      </c>
      <c r="K3195">
        <v>20</v>
      </c>
    </row>
    <row r="3196" spans="1:11">
      <c r="A3196">
        <v>90</v>
      </c>
      <c r="B3196" t="b">
        <v>0</v>
      </c>
      <c r="C3196" t="s">
        <v>43933</v>
      </c>
      <c r="D3196">
        <v>1037022454355</v>
      </c>
      <c r="E3196">
        <v>1</v>
      </c>
      <c r="F3196">
        <v>6126140086</v>
      </c>
      <c r="G3196">
        <v>4473000</v>
      </c>
      <c r="H3196" t="s">
        <v>40293</v>
      </c>
      <c r="I3196">
        <v>20351</v>
      </c>
      <c r="J3196">
        <v>11</v>
      </c>
      <c r="K3196">
        <v>25</v>
      </c>
    </row>
    <row r="3197" spans="1:11">
      <c r="A3197">
        <v>90</v>
      </c>
      <c r="B3197" t="b">
        <v>0</v>
      </c>
      <c r="C3197" t="s">
        <v>41320</v>
      </c>
      <c r="D3197">
        <v>1037022454355</v>
      </c>
      <c r="E3197">
        <v>1</v>
      </c>
      <c r="F3197">
        <v>6077797974</v>
      </c>
      <c r="G3197">
        <v>74480000</v>
      </c>
      <c r="H3197" t="s">
        <v>40293</v>
      </c>
      <c r="I3197">
        <v>20353</v>
      </c>
      <c r="J3197">
        <v>5</v>
      </c>
      <c r="K3197">
        <v>5</v>
      </c>
    </row>
    <row r="3198" spans="1:11">
      <c r="A3198">
        <v>90</v>
      </c>
      <c r="B3198" t="b">
        <v>0</v>
      </c>
      <c r="C3198" t="s">
        <v>40628</v>
      </c>
      <c r="D3198">
        <v>1037022454355</v>
      </c>
      <c r="E3198">
        <v>1</v>
      </c>
      <c r="F3198">
        <v>6089383301</v>
      </c>
      <c r="G3198">
        <v>7500000</v>
      </c>
      <c r="H3198" t="s">
        <v>40293</v>
      </c>
      <c r="I3198">
        <v>20353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40346</v>
      </c>
      <c r="D3199">
        <v>1037022454355</v>
      </c>
      <c r="E3199">
        <v>1</v>
      </c>
      <c r="F3199">
        <v>6094554457</v>
      </c>
      <c r="G3199">
        <v>7485000</v>
      </c>
      <c r="H3199" t="s">
        <v>40293</v>
      </c>
      <c r="I3199">
        <v>20353</v>
      </c>
      <c r="J3199">
        <v>1</v>
      </c>
      <c r="K3199">
        <v>1</v>
      </c>
    </row>
    <row r="3200" spans="1:11">
      <c r="A3200">
        <v>90</v>
      </c>
      <c r="B3200" t="b">
        <v>0</v>
      </c>
      <c r="C3200" t="s">
        <v>41364</v>
      </c>
      <c r="D3200">
        <v>1037022454355</v>
      </c>
      <c r="E3200">
        <v>1</v>
      </c>
      <c r="F3200">
        <v>6081272228</v>
      </c>
      <c r="G3200">
        <v>7482000</v>
      </c>
      <c r="H3200" t="s">
        <v>40293</v>
      </c>
      <c r="I3200">
        <v>20353</v>
      </c>
      <c r="J3200">
        <v>14</v>
      </c>
      <c r="K3200">
        <v>25</v>
      </c>
    </row>
    <row r="3201" spans="1:11">
      <c r="A3201">
        <v>90</v>
      </c>
      <c r="B3201" t="b">
        <v>0</v>
      </c>
      <c r="C3201" t="s">
        <v>41740</v>
      </c>
      <c r="D3201">
        <v>1037022454355</v>
      </c>
      <c r="E3201">
        <v>1</v>
      </c>
      <c r="F3201">
        <v>6116244930</v>
      </c>
      <c r="G3201">
        <v>7480000</v>
      </c>
      <c r="H3201" t="s">
        <v>40293</v>
      </c>
      <c r="I3201">
        <v>20353</v>
      </c>
      <c r="J3201">
        <v>23</v>
      </c>
      <c r="K3201">
        <v>40</v>
      </c>
    </row>
    <row r="3202" spans="1:11">
      <c r="A3202">
        <v>90</v>
      </c>
      <c r="B3202" t="b">
        <v>0</v>
      </c>
      <c r="C3202" t="s">
        <v>41579</v>
      </c>
      <c r="D3202">
        <v>1037022454355</v>
      </c>
      <c r="E3202">
        <v>1</v>
      </c>
      <c r="F3202">
        <v>6122532765</v>
      </c>
      <c r="G3202">
        <v>7456000</v>
      </c>
      <c r="H3202" t="s">
        <v>40293</v>
      </c>
      <c r="I3202">
        <v>20353</v>
      </c>
      <c r="J3202">
        <v>7</v>
      </c>
      <c r="K3202">
        <v>15</v>
      </c>
    </row>
    <row r="3203" spans="1:11">
      <c r="A3203">
        <v>90</v>
      </c>
      <c r="B3203" t="b">
        <v>0</v>
      </c>
      <c r="C3203" t="s">
        <v>42588</v>
      </c>
      <c r="D3203">
        <v>1037022454355</v>
      </c>
      <c r="E3203">
        <v>1</v>
      </c>
      <c r="F3203">
        <v>6134908189</v>
      </c>
      <c r="G3203">
        <v>7000000</v>
      </c>
      <c r="H3203" t="s">
        <v>40293</v>
      </c>
      <c r="I3203">
        <v>20353</v>
      </c>
      <c r="J3203">
        <v>2</v>
      </c>
      <c r="K3203">
        <v>3</v>
      </c>
    </row>
    <row r="3204" spans="1:11">
      <c r="A3204">
        <v>90</v>
      </c>
      <c r="B3204" t="b">
        <v>0</v>
      </c>
      <c r="C3204" t="s">
        <v>43673</v>
      </c>
      <c r="D3204">
        <v>1037022454355</v>
      </c>
      <c r="E3204">
        <v>1</v>
      </c>
      <c r="F3204">
        <v>6138256389</v>
      </c>
      <c r="G3204">
        <v>6500000</v>
      </c>
      <c r="H3204" t="s">
        <v>40293</v>
      </c>
      <c r="I3204">
        <v>20353</v>
      </c>
      <c r="J3204">
        <v>10</v>
      </c>
      <c r="K3204">
        <v>10</v>
      </c>
    </row>
    <row r="3205" spans="1:11">
      <c r="A3205">
        <v>90</v>
      </c>
      <c r="B3205" t="b">
        <v>0</v>
      </c>
      <c r="C3205" t="s">
        <v>42943</v>
      </c>
      <c r="D3205">
        <v>1037022454355</v>
      </c>
      <c r="E3205">
        <v>1</v>
      </c>
      <c r="F3205">
        <v>6138332754</v>
      </c>
      <c r="G3205">
        <v>6450000</v>
      </c>
      <c r="H3205" t="s">
        <v>40293</v>
      </c>
      <c r="I3205">
        <v>20353</v>
      </c>
      <c r="J3205">
        <v>15</v>
      </c>
      <c r="K3205">
        <v>18</v>
      </c>
    </row>
    <row r="3206" spans="1:11">
      <c r="A3206">
        <v>90</v>
      </c>
      <c r="B3206" t="b">
        <v>0</v>
      </c>
      <c r="C3206" t="s">
        <v>43327</v>
      </c>
      <c r="D3206">
        <v>1037022454355</v>
      </c>
      <c r="E3206">
        <v>1</v>
      </c>
      <c r="F3206">
        <v>6142352758</v>
      </c>
      <c r="G3206">
        <v>6445000</v>
      </c>
      <c r="H3206" t="s">
        <v>40293</v>
      </c>
      <c r="I3206">
        <v>20353</v>
      </c>
      <c r="J3206">
        <v>1</v>
      </c>
      <c r="K3206">
        <v>1</v>
      </c>
    </row>
    <row r="3207" spans="1:11">
      <c r="A3207">
        <v>90</v>
      </c>
      <c r="B3207" t="b">
        <v>0</v>
      </c>
      <c r="C3207" t="s">
        <v>43147</v>
      </c>
      <c r="D3207">
        <v>1037022454355</v>
      </c>
      <c r="E3207">
        <v>1</v>
      </c>
      <c r="F3207">
        <v>6146203124</v>
      </c>
      <c r="G3207">
        <v>6424000</v>
      </c>
      <c r="H3207" t="s">
        <v>40293</v>
      </c>
      <c r="I3207">
        <v>20353</v>
      </c>
      <c r="J3207">
        <v>1</v>
      </c>
      <c r="K3207">
        <v>1</v>
      </c>
    </row>
    <row r="3208" spans="1:11">
      <c r="A3208">
        <v>30</v>
      </c>
      <c r="B3208" t="b">
        <v>0</v>
      </c>
      <c r="C3208" t="s">
        <v>43822</v>
      </c>
      <c r="D3208">
        <v>1037022454355</v>
      </c>
      <c r="E3208">
        <v>1</v>
      </c>
      <c r="F3208">
        <v>6146944479</v>
      </c>
      <c r="G3208">
        <v>6423000</v>
      </c>
      <c r="H3208" t="s">
        <v>40293</v>
      </c>
      <c r="I3208">
        <v>20353</v>
      </c>
      <c r="J3208">
        <v>6</v>
      </c>
      <c r="K3208">
        <v>10</v>
      </c>
    </row>
    <row r="3209" spans="1:11">
      <c r="A3209">
        <v>90</v>
      </c>
      <c r="B3209" t="b">
        <v>0</v>
      </c>
      <c r="C3209" t="s">
        <v>46181</v>
      </c>
      <c r="D3209">
        <v>1037022454355</v>
      </c>
      <c r="E3209">
        <v>1</v>
      </c>
      <c r="F3209">
        <v>6155070637</v>
      </c>
      <c r="G3209">
        <v>6400000</v>
      </c>
      <c r="H3209" t="s">
        <v>40293</v>
      </c>
      <c r="I3209">
        <v>20353</v>
      </c>
      <c r="J3209">
        <v>17</v>
      </c>
      <c r="K3209">
        <v>20</v>
      </c>
    </row>
    <row r="3210" spans="1:11">
      <c r="A3210">
        <v>90</v>
      </c>
      <c r="B3210" t="b">
        <v>0</v>
      </c>
      <c r="C3210" t="s">
        <v>43063</v>
      </c>
      <c r="D3210">
        <v>1037022454355</v>
      </c>
      <c r="E3210">
        <v>1</v>
      </c>
      <c r="F3210">
        <v>6067819963</v>
      </c>
      <c r="G3210">
        <v>49000000</v>
      </c>
      <c r="H3210" t="s">
        <v>40293</v>
      </c>
      <c r="I3210">
        <v>20444</v>
      </c>
      <c r="J3210">
        <v>3</v>
      </c>
      <c r="K3210">
        <v>3</v>
      </c>
    </row>
    <row r="3211" spans="1:11">
      <c r="A3211">
        <v>90</v>
      </c>
      <c r="B3211" t="b">
        <v>0</v>
      </c>
      <c r="C3211" t="s">
        <v>40731</v>
      </c>
      <c r="D3211">
        <v>1037022454355</v>
      </c>
      <c r="E3211">
        <v>1</v>
      </c>
      <c r="F3211">
        <v>6070609359</v>
      </c>
      <c r="G3211">
        <v>44900000</v>
      </c>
      <c r="H3211" t="s">
        <v>40293</v>
      </c>
      <c r="I3211">
        <v>20444</v>
      </c>
      <c r="J3211">
        <v>3</v>
      </c>
      <c r="K3211">
        <v>3</v>
      </c>
    </row>
    <row r="3212" spans="1:11">
      <c r="A3212">
        <v>90</v>
      </c>
      <c r="B3212" t="b">
        <v>0</v>
      </c>
      <c r="C3212" t="s">
        <v>45564</v>
      </c>
      <c r="D3212">
        <v>1037022454355</v>
      </c>
      <c r="E3212">
        <v>1</v>
      </c>
      <c r="F3212">
        <v>6152146357</v>
      </c>
      <c r="G3212">
        <v>44800000</v>
      </c>
      <c r="H3212" t="s">
        <v>40293</v>
      </c>
      <c r="I3212">
        <v>20444</v>
      </c>
      <c r="J3212">
        <v>3</v>
      </c>
      <c r="K3212">
        <v>3</v>
      </c>
    </row>
    <row r="3213" spans="1:11">
      <c r="A3213">
        <v>90</v>
      </c>
      <c r="B3213" t="b">
        <v>0</v>
      </c>
      <c r="C3213" t="s">
        <v>40342</v>
      </c>
      <c r="D3213">
        <v>1037022454355</v>
      </c>
      <c r="E3213">
        <v>1</v>
      </c>
      <c r="F3213">
        <v>6098912537</v>
      </c>
      <c r="G3213">
        <v>49290000</v>
      </c>
      <c r="H3213" t="s">
        <v>40293</v>
      </c>
      <c r="I3213">
        <v>20450</v>
      </c>
      <c r="J3213">
        <v>6</v>
      </c>
      <c r="K3213">
        <v>6</v>
      </c>
    </row>
    <row r="3214" spans="1:11">
      <c r="A3214">
        <v>90</v>
      </c>
      <c r="B3214" t="b">
        <v>0</v>
      </c>
      <c r="C3214" t="s">
        <v>41408</v>
      </c>
      <c r="D3214">
        <v>1037022454355</v>
      </c>
      <c r="E3214">
        <v>1</v>
      </c>
      <c r="F3214">
        <v>6090335500</v>
      </c>
      <c r="G3214">
        <v>36260000</v>
      </c>
      <c r="H3214" t="s">
        <v>40293</v>
      </c>
      <c r="I3214">
        <v>20450</v>
      </c>
      <c r="J3214">
        <v>6</v>
      </c>
      <c r="K3214">
        <v>6</v>
      </c>
    </row>
    <row r="3215" spans="1:11">
      <c r="A3215">
        <v>90</v>
      </c>
      <c r="B3215" t="b">
        <v>0</v>
      </c>
      <c r="C3215" t="s">
        <v>42368</v>
      </c>
      <c r="D3215">
        <v>1037022454355</v>
      </c>
      <c r="E3215">
        <v>1</v>
      </c>
      <c r="F3215">
        <v>6136042934</v>
      </c>
      <c r="G3215">
        <v>35000000</v>
      </c>
      <c r="H3215" t="s">
        <v>40293</v>
      </c>
      <c r="I3215">
        <v>20450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44399</v>
      </c>
      <c r="D3216">
        <v>1037022454355</v>
      </c>
      <c r="E3216">
        <v>1</v>
      </c>
      <c r="F3216">
        <v>6156119534</v>
      </c>
      <c r="G3216">
        <v>169900000</v>
      </c>
      <c r="H3216" t="s">
        <v>40293</v>
      </c>
      <c r="I3216">
        <v>20499</v>
      </c>
      <c r="J3216">
        <v>2</v>
      </c>
      <c r="K3216">
        <v>2</v>
      </c>
    </row>
    <row r="3217" spans="1:11">
      <c r="A3217">
        <v>90</v>
      </c>
      <c r="B3217" t="b">
        <v>0</v>
      </c>
      <c r="C3217" t="s">
        <v>44399</v>
      </c>
      <c r="D3217">
        <v>1037022454355</v>
      </c>
      <c r="E3217">
        <v>1</v>
      </c>
      <c r="F3217">
        <v>6156119535</v>
      </c>
      <c r="G3217">
        <v>169900000</v>
      </c>
      <c r="H3217" t="s">
        <v>40293</v>
      </c>
      <c r="I3217">
        <v>20501</v>
      </c>
      <c r="J3217">
        <v>2</v>
      </c>
      <c r="K3217">
        <v>2</v>
      </c>
    </row>
    <row r="3218" spans="1:11">
      <c r="A3218">
        <v>90</v>
      </c>
      <c r="B3218" t="b">
        <v>0</v>
      </c>
      <c r="C3218" t="s">
        <v>44399</v>
      </c>
      <c r="D3218">
        <v>1037022454355</v>
      </c>
      <c r="E3218">
        <v>1</v>
      </c>
      <c r="F3218">
        <v>6156119536</v>
      </c>
      <c r="G3218">
        <v>499900000</v>
      </c>
      <c r="H3218" t="s">
        <v>40293</v>
      </c>
      <c r="I3218">
        <v>20503</v>
      </c>
      <c r="J3218">
        <v>2</v>
      </c>
      <c r="K3218">
        <v>2</v>
      </c>
    </row>
    <row r="3219" spans="1:11">
      <c r="A3219">
        <v>90</v>
      </c>
      <c r="B3219" t="b">
        <v>0</v>
      </c>
      <c r="C3219" t="s">
        <v>44399</v>
      </c>
      <c r="D3219">
        <v>1037022454355</v>
      </c>
      <c r="E3219">
        <v>1</v>
      </c>
      <c r="F3219">
        <v>6156119537</v>
      </c>
      <c r="G3219">
        <v>799900000</v>
      </c>
      <c r="H3219" t="s">
        <v>40293</v>
      </c>
      <c r="I3219">
        <v>20505</v>
      </c>
      <c r="J3219">
        <v>2</v>
      </c>
      <c r="K3219">
        <v>2</v>
      </c>
    </row>
    <row r="3220" spans="1:11">
      <c r="A3220">
        <v>90</v>
      </c>
      <c r="B3220" t="b">
        <v>0</v>
      </c>
      <c r="C3220" t="s">
        <v>44399</v>
      </c>
      <c r="D3220">
        <v>1037022454355</v>
      </c>
      <c r="E3220">
        <v>1</v>
      </c>
      <c r="F3220">
        <v>6156119538</v>
      </c>
      <c r="G3220">
        <v>349900000</v>
      </c>
      <c r="H3220" t="s">
        <v>40293</v>
      </c>
      <c r="I3220">
        <v>20507</v>
      </c>
      <c r="J3220">
        <v>2</v>
      </c>
      <c r="K3220">
        <v>2</v>
      </c>
    </row>
    <row r="3221" spans="1:11">
      <c r="A3221">
        <v>90</v>
      </c>
      <c r="B3221" t="b">
        <v>0</v>
      </c>
      <c r="C3221" t="s">
        <v>46349</v>
      </c>
      <c r="D3221">
        <v>1037022454355</v>
      </c>
      <c r="E3221">
        <v>1</v>
      </c>
      <c r="F3221">
        <v>6156121410</v>
      </c>
      <c r="G3221">
        <v>1599000000</v>
      </c>
      <c r="H3221" t="s">
        <v>40293</v>
      </c>
      <c r="I3221">
        <v>20509</v>
      </c>
      <c r="J3221">
        <v>1</v>
      </c>
      <c r="K3221">
        <v>1</v>
      </c>
    </row>
    <row r="3222" spans="1:11">
      <c r="A3222">
        <v>90</v>
      </c>
      <c r="B3222" t="b">
        <v>0</v>
      </c>
      <c r="C3222" t="s">
        <v>42080</v>
      </c>
      <c r="D3222">
        <v>1037022454355</v>
      </c>
      <c r="E3222">
        <v>1</v>
      </c>
      <c r="F3222">
        <v>6131582501</v>
      </c>
      <c r="G3222">
        <v>18000000</v>
      </c>
      <c r="H3222" t="s">
        <v>40293</v>
      </c>
      <c r="I3222">
        <v>20567</v>
      </c>
      <c r="J3222">
        <v>27</v>
      </c>
      <c r="K3222">
        <v>36</v>
      </c>
    </row>
    <row r="3223" spans="1:11">
      <c r="A3223">
        <v>90</v>
      </c>
      <c r="B3223" t="b">
        <v>0</v>
      </c>
      <c r="C3223" t="s">
        <v>41886</v>
      </c>
      <c r="D3223">
        <v>1037022454355</v>
      </c>
      <c r="E3223">
        <v>1</v>
      </c>
      <c r="F3223">
        <v>6127043587</v>
      </c>
      <c r="G3223">
        <v>20000000</v>
      </c>
      <c r="H3223" t="s">
        <v>40293</v>
      </c>
      <c r="I3223">
        <v>20599</v>
      </c>
      <c r="J3223">
        <v>3</v>
      </c>
      <c r="K3223">
        <v>3</v>
      </c>
    </row>
    <row r="3224" spans="1:11">
      <c r="A3224">
        <v>90</v>
      </c>
      <c r="B3224" t="b">
        <v>0</v>
      </c>
      <c r="C3224" t="s">
        <v>43265</v>
      </c>
      <c r="D3224">
        <v>1037022454355</v>
      </c>
      <c r="E3224">
        <v>1</v>
      </c>
      <c r="F3224">
        <v>6073854639</v>
      </c>
      <c r="G3224">
        <v>20010000</v>
      </c>
      <c r="H3224" t="s">
        <v>40293</v>
      </c>
      <c r="I3224">
        <v>20613</v>
      </c>
      <c r="J3224">
        <v>19</v>
      </c>
      <c r="K3224">
        <v>21</v>
      </c>
    </row>
    <row r="3225" spans="1:11">
      <c r="A3225">
        <v>90</v>
      </c>
      <c r="B3225" t="b">
        <v>0</v>
      </c>
      <c r="C3225" t="s">
        <v>42314</v>
      </c>
      <c r="D3225">
        <v>1037022454355</v>
      </c>
      <c r="E3225">
        <v>1</v>
      </c>
      <c r="F3225">
        <v>6137710112</v>
      </c>
      <c r="G3225">
        <v>69800000</v>
      </c>
      <c r="H3225" t="s">
        <v>40293</v>
      </c>
      <c r="I3225">
        <v>20701</v>
      </c>
      <c r="J3225">
        <v>1</v>
      </c>
      <c r="K3225">
        <v>1</v>
      </c>
    </row>
    <row r="3226" spans="1:11">
      <c r="A3226">
        <v>90</v>
      </c>
      <c r="B3226" t="b">
        <v>0</v>
      </c>
      <c r="C3226" t="s">
        <v>43116</v>
      </c>
      <c r="D3226">
        <v>1037022454355</v>
      </c>
      <c r="E3226">
        <v>1</v>
      </c>
      <c r="F3226">
        <v>6138244899</v>
      </c>
      <c r="G3226">
        <v>67410000</v>
      </c>
      <c r="H3226" t="s">
        <v>40293</v>
      </c>
      <c r="I3226">
        <v>20701</v>
      </c>
      <c r="J3226">
        <v>1</v>
      </c>
      <c r="K3226">
        <v>2</v>
      </c>
    </row>
    <row r="3227" spans="1:11">
      <c r="A3227">
        <v>90</v>
      </c>
      <c r="B3227" t="b">
        <v>0</v>
      </c>
      <c r="C3227" t="s">
        <v>41851</v>
      </c>
      <c r="D3227">
        <v>1037022454355</v>
      </c>
      <c r="E3227">
        <v>1</v>
      </c>
      <c r="F3227">
        <v>6127464141</v>
      </c>
      <c r="G3227">
        <v>88000000</v>
      </c>
      <c r="H3227" t="s">
        <v>40293</v>
      </c>
      <c r="I3227">
        <v>20703</v>
      </c>
      <c r="J3227">
        <v>5</v>
      </c>
      <c r="K3227">
        <v>5</v>
      </c>
    </row>
    <row r="3228" spans="1:11">
      <c r="A3228">
        <v>90</v>
      </c>
      <c r="B3228" t="b">
        <v>0</v>
      </c>
      <c r="C3228" t="s">
        <v>43481</v>
      </c>
      <c r="D3228">
        <v>1037022454355</v>
      </c>
      <c r="E3228">
        <v>1</v>
      </c>
      <c r="F3228">
        <v>6144279072</v>
      </c>
      <c r="G3228">
        <v>80000000</v>
      </c>
      <c r="H3228" t="s">
        <v>40293</v>
      </c>
      <c r="I3228">
        <v>20703</v>
      </c>
      <c r="J3228">
        <v>1</v>
      </c>
      <c r="K3228">
        <v>1</v>
      </c>
    </row>
    <row r="3229" spans="1:11">
      <c r="A3229">
        <v>90</v>
      </c>
      <c r="B3229" t="b">
        <v>0</v>
      </c>
      <c r="C3229" t="s">
        <v>42698</v>
      </c>
      <c r="D3229">
        <v>1037022454355</v>
      </c>
      <c r="E3229">
        <v>1</v>
      </c>
      <c r="F3229">
        <v>6132096073</v>
      </c>
      <c r="G3229">
        <v>890</v>
      </c>
      <c r="H3229" t="s">
        <v>40293</v>
      </c>
      <c r="I3229">
        <v>20721</v>
      </c>
      <c r="J3229">
        <v>8285</v>
      </c>
      <c r="K3229">
        <v>8285</v>
      </c>
    </row>
    <row r="3230" spans="1:11">
      <c r="A3230">
        <v>90</v>
      </c>
      <c r="B3230" t="b">
        <v>0</v>
      </c>
      <c r="C3230" t="s">
        <v>42695</v>
      </c>
      <c r="D3230">
        <v>1037022454355</v>
      </c>
      <c r="E3230">
        <v>1</v>
      </c>
      <c r="F3230">
        <v>6132095904</v>
      </c>
      <c r="G3230">
        <v>1290</v>
      </c>
      <c r="H3230" t="s">
        <v>40293</v>
      </c>
      <c r="I3230">
        <v>20723</v>
      </c>
      <c r="J3230">
        <v>7564</v>
      </c>
      <c r="K3230">
        <v>7564</v>
      </c>
    </row>
    <row r="3231" spans="1:11">
      <c r="A3231">
        <v>90</v>
      </c>
      <c r="B3231" t="b">
        <v>0</v>
      </c>
      <c r="C3231" t="s">
        <v>42694</v>
      </c>
      <c r="D3231">
        <v>1037022454355</v>
      </c>
      <c r="E3231">
        <v>1</v>
      </c>
      <c r="F3231">
        <v>6132095835</v>
      </c>
      <c r="G3231">
        <v>899</v>
      </c>
      <c r="H3231" t="s">
        <v>40293</v>
      </c>
      <c r="I3231">
        <v>20725</v>
      </c>
      <c r="J3231">
        <v>2500</v>
      </c>
      <c r="K3231">
        <v>2500</v>
      </c>
    </row>
    <row r="3232" spans="1:11">
      <c r="A3232">
        <v>90</v>
      </c>
      <c r="B3232" t="b">
        <v>0</v>
      </c>
      <c r="C3232" t="s">
        <v>42441</v>
      </c>
      <c r="D3232">
        <v>1037022454355</v>
      </c>
      <c r="E3232">
        <v>1</v>
      </c>
      <c r="F3232">
        <v>6132095957</v>
      </c>
      <c r="G3232">
        <v>1990</v>
      </c>
      <c r="H3232" t="s">
        <v>40293</v>
      </c>
      <c r="I3232">
        <v>20727</v>
      </c>
      <c r="J3232">
        <v>424</v>
      </c>
      <c r="K3232">
        <v>2500</v>
      </c>
    </row>
    <row r="3233" spans="1:11">
      <c r="A3233">
        <v>90</v>
      </c>
      <c r="B3233" t="b">
        <v>0</v>
      </c>
      <c r="C3233" t="s">
        <v>42421</v>
      </c>
      <c r="D3233">
        <v>1037022454355</v>
      </c>
      <c r="E3233">
        <v>1</v>
      </c>
      <c r="F3233">
        <v>6132095772</v>
      </c>
      <c r="G3233">
        <v>1290</v>
      </c>
      <c r="H3233" t="s">
        <v>40293</v>
      </c>
      <c r="I3233">
        <v>20729</v>
      </c>
      <c r="J3233">
        <v>1000</v>
      </c>
      <c r="K3233">
        <v>1000</v>
      </c>
    </row>
    <row r="3234" spans="1:11">
      <c r="A3234">
        <v>90</v>
      </c>
      <c r="B3234" t="b">
        <v>0</v>
      </c>
      <c r="C3234" t="s">
        <v>42996</v>
      </c>
      <c r="D3234">
        <v>1037022454355</v>
      </c>
      <c r="E3234">
        <v>1</v>
      </c>
      <c r="F3234">
        <v>6074044154</v>
      </c>
      <c r="G3234">
        <v>4050</v>
      </c>
      <c r="H3234" t="s">
        <v>40293</v>
      </c>
      <c r="I3234">
        <v>20737</v>
      </c>
      <c r="J3234">
        <v>115565</v>
      </c>
      <c r="K3234">
        <v>123819</v>
      </c>
    </row>
    <row r="3235" spans="1:11">
      <c r="A3235">
        <v>90</v>
      </c>
      <c r="B3235" t="b">
        <v>0</v>
      </c>
      <c r="C3235" t="s">
        <v>45839</v>
      </c>
      <c r="D3235">
        <v>1037022454355</v>
      </c>
      <c r="E3235">
        <v>1</v>
      </c>
      <c r="F3235">
        <v>6147267347</v>
      </c>
      <c r="G3235">
        <v>8450</v>
      </c>
      <c r="H3235" t="s">
        <v>40293</v>
      </c>
      <c r="I3235">
        <v>20739</v>
      </c>
      <c r="J3235">
        <v>45576</v>
      </c>
      <c r="K3235">
        <v>50084</v>
      </c>
    </row>
    <row r="3236" spans="1:11">
      <c r="A3236">
        <v>90</v>
      </c>
      <c r="B3236" t="b">
        <v>0</v>
      </c>
      <c r="C3236" t="s">
        <v>43965</v>
      </c>
      <c r="D3236">
        <v>1037022454355</v>
      </c>
      <c r="E3236">
        <v>1</v>
      </c>
      <c r="F3236">
        <v>6142426683</v>
      </c>
      <c r="G3236">
        <v>11100</v>
      </c>
      <c r="H3236" t="s">
        <v>40293</v>
      </c>
      <c r="I3236">
        <v>20741</v>
      </c>
      <c r="J3236">
        <v>76854</v>
      </c>
      <c r="K3236">
        <v>80854</v>
      </c>
    </row>
    <row r="3237" spans="1:11">
      <c r="A3237">
        <v>90</v>
      </c>
      <c r="B3237" t="b">
        <v>0</v>
      </c>
      <c r="C3237" t="s">
        <v>43955</v>
      </c>
      <c r="D3237">
        <v>1037022454355</v>
      </c>
      <c r="E3237">
        <v>1</v>
      </c>
      <c r="F3237">
        <v>6074045655</v>
      </c>
      <c r="G3237">
        <v>5001</v>
      </c>
      <c r="H3237" t="s">
        <v>40293</v>
      </c>
      <c r="I3237">
        <v>20743</v>
      </c>
      <c r="J3237">
        <v>32590</v>
      </c>
      <c r="K3237">
        <v>47248</v>
      </c>
    </row>
    <row r="3238" spans="1:11">
      <c r="A3238">
        <v>90</v>
      </c>
      <c r="B3238" t="b">
        <v>0</v>
      </c>
      <c r="C3238" t="s">
        <v>43544</v>
      </c>
      <c r="D3238">
        <v>1037022454355</v>
      </c>
      <c r="E3238">
        <v>1</v>
      </c>
      <c r="F3238">
        <v>6074047874</v>
      </c>
      <c r="G3238">
        <v>5569</v>
      </c>
      <c r="H3238" t="s">
        <v>40293</v>
      </c>
      <c r="I3238">
        <v>20745</v>
      </c>
      <c r="J3238">
        <v>134486</v>
      </c>
      <c r="K3238">
        <v>135486</v>
      </c>
    </row>
    <row r="3239" spans="1:11">
      <c r="A3239">
        <v>90</v>
      </c>
      <c r="B3239" t="b">
        <v>0</v>
      </c>
      <c r="C3239" t="s">
        <v>43077</v>
      </c>
      <c r="D3239">
        <v>1037022454355</v>
      </c>
      <c r="E3239">
        <v>1</v>
      </c>
      <c r="F3239">
        <v>6074046240</v>
      </c>
      <c r="G3239">
        <v>6445</v>
      </c>
      <c r="H3239" t="s">
        <v>40293</v>
      </c>
      <c r="I3239">
        <v>20747</v>
      </c>
      <c r="J3239">
        <v>177003</v>
      </c>
      <c r="K3239">
        <v>186253</v>
      </c>
    </row>
    <row r="3240" spans="1:11">
      <c r="A3240">
        <v>90</v>
      </c>
      <c r="B3240" t="b">
        <v>0</v>
      </c>
      <c r="C3240" t="s">
        <v>43095</v>
      </c>
      <c r="D3240">
        <v>1037022454355</v>
      </c>
      <c r="E3240">
        <v>1</v>
      </c>
      <c r="F3240">
        <v>6074046858</v>
      </c>
      <c r="G3240">
        <v>6373</v>
      </c>
      <c r="H3240" t="s">
        <v>40293</v>
      </c>
      <c r="I3240">
        <v>20749</v>
      </c>
      <c r="J3240">
        <v>23000</v>
      </c>
      <c r="K3240">
        <v>24000</v>
      </c>
    </row>
    <row r="3241" spans="1:11">
      <c r="A3241">
        <v>90</v>
      </c>
      <c r="B3241" t="b">
        <v>0</v>
      </c>
      <c r="C3241" t="s">
        <v>43159</v>
      </c>
      <c r="D3241">
        <v>1037022454355</v>
      </c>
      <c r="E3241">
        <v>1</v>
      </c>
      <c r="F3241">
        <v>6074048353</v>
      </c>
      <c r="G3241">
        <v>7001</v>
      </c>
      <c r="H3241" t="s">
        <v>40293</v>
      </c>
      <c r="I3241">
        <v>20751</v>
      </c>
      <c r="J3241">
        <v>44885</v>
      </c>
      <c r="K3241">
        <v>64680</v>
      </c>
    </row>
    <row r="3242" spans="1:11">
      <c r="A3242">
        <v>90</v>
      </c>
      <c r="B3242" t="b">
        <v>0</v>
      </c>
      <c r="C3242" t="s">
        <v>41900</v>
      </c>
      <c r="D3242">
        <v>1037022454355</v>
      </c>
      <c r="E3242">
        <v>1</v>
      </c>
      <c r="F3242">
        <v>6074451998</v>
      </c>
      <c r="G3242">
        <v>1100000</v>
      </c>
      <c r="H3242" t="s">
        <v>40293</v>
      </c>
      <c r="I3242">
        <v>20827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43891</v>
      </c>
      <c r="D3243">
        <v>1037022454355</v>
      </c>
      <c r="E3243">
        <v>1</v>
      </c>
      <c r="F3243">
        <v>6073841185</v>
      </c>
      <c r="G3243">
        <v>1751000</v>
      </c>
      <c r="H3243" t="s">
        <v>40293</v>
      </c>
      <c r="I3243">
        <v>20841</v>
      </c>
      <c r="J3243">
        <v>87</v>
      </c>
      <c r="K3243">
        <v>106</v>
      </c>
    </row>
    <row r="3244" spans="1:11">
      <c r="A3244">
        <v>90</v>
      </c>
      <c r="B3244" t="b">
        <v>0</v>
      </c>
      <c r="C3244" t="s">
        <v>43908</v>
      </c>
      <c r="D3244">
        <v>1037022454355</v>
      </c>
      <c r="E3244">
        <v>1</v>
      </c>
      <c r="F3244">
        <v>6073841529</v>
      </c>
      <c r="G3244">
        <v>1686000</v>
      </c>
      <c r="H3244" t="s">
        <v>40293</v>
      </c>
      <c r="I3244">
        <v>20843</v>
      </c>
      <c r="J3244">
        <v>92</v>
      </c>
      <c r="K3244">
        <v>101</v>
      </c>
    </row>
    <row r="3245" spans="1:11">
      <c r="A3245">
        <v>90</v>
      </c>
      <c r="B3245" t="b">
        <v>0</v>
      </c>
      <c r="C3245" t="s">
        <v>43083</v>
      </c>
      <c r="D3245">
        <v>1037022454355</v>
      </c>
      <c r="E3245">
        <v>1</v>
      </c>
      <c r="F3245">
        <v>6140106721</v>
      </c>
      <c r="G3245">
        <v>1060000</v>
      </c>
      <c r="H3245" t="s">
        <v>40293</v>
      </c>
      <c r="I3245">
        <v>20845</v>
      </c>
      <c r="J3245">
        <v>20</v>
      </c>
      <c r="K3245">
        <v>20</v>
      </c>
    </row>
    <row r="3246" spans="1:11">
      <c r="A3246">
        <v>90</v>
      </c>
      <c r="B3246" t="b">
        <v>0</v>
      </c>
      <c r="C3246" t="s">
        <v>43114</v>
      </c>
      <c r="D3246">
        <v>1037022454355</v>
      </c>
      <c r="E3246">
        <v>1</v>
      </c>
      <c r="F3246">
        <v>6140107491</v>
      </c>
      <c r="G3246">
        <v>1541000</v>
      </c>
      <c r="H3246" t="s">
        <v>40293</v>
      </c>
      <c r="I3246">
        <v>20847</v>
      </c>
      <c r="J3246">
        <v>35</v>
      </c>
      <c r="K3246">
        <v>61</v>
      </c>
    </row>
    <row r="3247" spans="1:11">
      <c r="A3247">
        <v>90</v>
      </c>
      <c r="B3247" t="b">
        <v>0</v>
      </c>
      <c r="C3247" t="s">
        <v>41887</v>
      </c>
      <c r="D3247">
        <v>1037022454355</v>
      </c>
      <c r="E3247">
        <v>1</v>
      </c>
      <c r="F3247">
        <v>6073852075</v>
      </c>
      <c r="G3247">
        <v>2800000</v>
      </c>
      <c r="H3247" t="s">
        <v>40293</v>
      </c>
      <c r="I3247">
        <v>20855</v>
      </c>
      <c r="J3247">
        <v>1</v>
      </c>
      <c r="K3247">
        <v>1</v>
      </c>
    </row>
    <row r="3248" spans="1:11">
      <c r="A3248">
        <v>90</v>
      </c>
      <c r="B3248" t="b">
        <v>0</v>
      </c>
      <c r="C3248" t="s">
        <v>41866</v>
      </c>
      <c r="D3248">
        <v>1037022454355</v>
      </c>
      <c r="E3248">
        <v>1</v>
      </c>
      <c r="F3248">
        <v>6074452300</v>
      </c>
      <c r="G3248">
        <v>5400000</v>
      </c>
      <c r="H3248" t="s">
        <v>40293</v>
      </c>
      <c r="I3248">
        <v>20893</v>
      </c>
      <c r="J3248">
        <v>1</v>
      </c>
      <c r="K3248">
        <v>2</v>
      </c>
    </row>
    <row r="3249" spans="1:11">
      <c r="A3249">
        <v>90</v>
      </c>
      <c r="B3249" t="b">
        <v>0</v>
      </c>
      <c r="C3249" t="s">
        <v>42536</v>
      </c>
      <c r="D3249">
        <v>1037022454355</v>
      </c>
      <c r="E3249">
        <v>1</v>
      </c>
      <c r="F3249">
        <v>6136216325</v>
      </c>
      <c r="G3249">
        <v>109</v>
      </c>
      <c r="H3249" t="s">
        <v>40293</v>
      </c>
      <c r="I3249">
        <v>20913</v>
      </c>
      <c r="J3249">
        <v>1500</v>
      </c>
      <c r="K3249">
        <v>1500</v>
      </c>
    </row>
    <row r="3250" spans="1:11">
      <c r="A3250">
        <v>90</v>
      </c>
      <c r="B3250" t="b">
        <v>0</v>
      </c>
      <c r="C3250" t="s">
        <v>42527</v>
      </c>
      <c r="D3250">
        <v>1037022454355</v>
      </c>
      <c r="E3250">
        <v>1</v>
      </c>
      <c r="F3250">
        <v>6136216013</v>
      </c>
      <c r="G3250">
        <v>399</v>
      </c>
      <c r="H3250" t="s">
        <v>40293</v>
      </c>
      <c r="I3250">
        <v>20915</v>
      </c>
      <c r="J3250">
        <v>1000</v>
      </c>
      <c r="K3250">
        <v>1000</v>
      </c>
    </row>
    <row r="3251" spans="1:11">
      <c r="A3251">
        <v>90</v>
      </c>
      <c r="B3251" t="b">
        <v>0</v>
      </c>
      <c r="C3251" t="s">
        <v>42573</v>
      </c>
      <c r="D3251">
        <v>1037022454355</v>
      </c>
      <c r="E3251">
        <v>1</v>
      </c>
      <c r="F3251">
        <v>6136218271</v>
      </c>
      <c r="G3251">
        <v>100</v>
      </c>
      <c r="H3251" t="s">
        <v>40293</v>
      </c>
      <c r="I3251">
        <v>20917</v>
      </c>
      <c r="J3251">
        <v>1500</v>
      </c>
      <c r="K3251">
        <v>1500</v>
      </c>
    </row>
    <row r="3252" spans="1:11">
      <c r="A3252">
        <v>90</v>
      </c>
      <c r="B3252" t="b">
        <v>0</v>
      </c>
      <c r="C3252" t="s">
        <v>41332</v>
      </c>
      <c r="D3252">
        <v>1037022454355</v>
      </c>
      <c r="E3252">
        <v>1</v>
      </c>
      <c r="F3252">
        <v>6070884067</v>
      </c>
      <c r="G3252">
        <v>4000</v>
      </c>
      <c r="H3252" t="s">
        <v>40293</v>
      </c>
      <c r="I3252">
        <v>20931</v>
      </c>
      <c r="J3252">
        <v>210</v>
      </c>
      <c r="K3252">
        <v>210</v>
      </c>
    </row>
    <row r="3253" spans="1:11">
      <c r="A3253">
        <v>90</v>
      </c>
      <c r="B3253" t="b">
        <v>0</v>
      </c>
      <c r="C3253" t="s">
        <v>44590</v>
      </c>
      <c r="D3253">
        <v>1037022454355</v>
      </c>
      <c r="E3253">
        <v>1</v>
      </c>
      <c r="F3253">
        <v>6152691328</v>
      </c>
      <c r="G3253">
        <v>300</v>
      </c>
      <c r="H3253" t="s">
        <v>40293</v>
      </c>
      <c r="I3253">
        <v>20967</v>
      </c>
      <c r="J3253">
        <v>1600</v>
      </c>
      <c r="K3253">
        <v>1600</v>
      </c>
    </row>
    <row r="3254" spans="1:11">
      <c r="A3254">
        <v>90</v>
      </c>
      <c r="B3254" t="b">
        <v>0</v>
      </c>
      <c r="C3254" t="s">
        <v>44548</v>
      </c>
      <c r="D3254">
        <v>1037022454355</v>
      </c>
      <c r="E3254">
        <v>1</v>
      </c>
      <c r="F3254">
        <v>6152690697</v>
      </c>
      <c r="G3254">
        <v>200</v>
      </c>
      <c r="H3254" t="s">
        <v>40293</v>
      </c>
      <c r="I3254">
        <v>20971</v>
      </c>
      <c r="J3254">
        <v>691</v>
      </c>
      <c r="K3254">
        <v>691</v>
      </c>
    </row>
    <row r="3255" spans="1:11">
      <c r="A3255">
        <v>90</v>
      </c>
      <c r="B3255" t="b">
        <v>0</v>
      </c>
      <c r="C3255" t="s">
        <v>42302</v>
      </c>
      <c r="D3255">
        <v>1037022454355</v>
      </c>
      <c r="E3255">
        <v>1</v>
      </c>
      <c r="F3255">
        <v>6132073226</v>
      </c>
      <c r="G3255">
        <v>100</v>
      </c>
      <c r="H3255" t="s">
        <v>40293</v>
      </c>
      <c r="I3255">
        <v>20977</v>
      </c>
      <c r="J3255">
        <v>3200</v>
      </c>
      <c r="K3255">
        <v>3200</v>
      </c>
    </row>
    <row r="3256" spans="1:11">
      <c r="A3256">
        <v>90</v>
      </c>
      <c r="B3256" t="b">
        <v>0</v>
      </c>
      <c r="C3256" t="s">
        <v>44621</v>
      </c>
      <c r="D3256">
        <v>1037022454355</v>
      </c>
      <c r="E3256">
        <v>1</v>
      </c>
      <c r="F3256">
        <v>6152691651</v>
      </c>
      <c r="G3256">
        <v>99.99</v>
      </c>
      <c r="H3256" t="s">
        <v>40293</v>
      </c>
      <c r="I3256">
        <v>20977</v>
      </c>
      <c r="J3256">
        <v>1800</v>
      </c>
      <c r="K3256">
        <v>1800</v>
      </c>
    </row>
    <row r="3257" spans="1:11">
      <c r="A3257">
        <v>90</v>
      </c>
      <c r="B3257" t="b">
        <v>0</v>
      </c>
      <c r="C3257" t="s">
        <v>44564</v>
      </c>
      <c r="D3257">
        <v>1037022454355</v>
      </c>
      <c r="E3257">
        <v>1</v>
      </c>
      <c r="F3257">
        <v>6152690884</v>
      </c>
      <c r="G3257">
        <v>190</v>
      </c>
      <c r="H3257" t="s">
        <v>40293</v>
      </c>
      <c r="I3257">
        <v>20979</v>
      </c>
      <c r="J3257">
        <v>2100</v>
      </c>
      <c r="K3257">
        <v>2100</v>
      </c>
    </row>
    <row r="3258" spans="1:11">
      <c r="A3258">
        <v>90</v>
      </c>
      <c r="B3258" t="b">
        <v>0</v>
      </c>
      <c r="C3258" t="s">
        <v>44597</v>
      </c>
      <c r="D3258">
        <v>1037022454355</v>
      </c>
      <c r="E3258">
        <v>1</v>
      </c>
      <c r="F3258">
        <v>6152691398</v>
      </c>
      <c r="G3258">
        <v>1000</v>
      </c>
      <c r="H3258" t="s">
        <v>40293</v>
      </c>
      <c r="I3258">
        <v>20983</v>
      </c>
      <c r="J3258">
        <v>1600</v>
      </c>
      <c r="K3258">
        <v>1600</v>
      </c>
    </row>
    <row r="3259" spans="1:11">
      <c r="A3259">
        <v>90</v>
      </c>
      <c r="B3259" t="b">
        <v>0</v>
      </c>
      <c r="C3259" t="s">
        <v>44570</v>
      </c>
      <c r="D3259">
        <v>1037022454355</v>
      </c>
      <c r="E3259">
        <v>1</v>
      </c>
      <c r="F3259">
        <v>6152691010</v>
      </c>
      <c r="G3259">
        <v>190</v>
      </c>
      <c r="H3259" t="s">
        <v>40293</v>
      </c>
      <c r="I3259">
        <v>20985</v>
      </c>
      <c r="J3259">
        <v>1600</v>
      </c>
      <c r="K3259">
        <v>1600</v>
      </c>
    </row>
    <row r="3260" spans="1:11">
      <c r="A3260">
        <v>90</v>
      </c>
      <c r="B3260" t="b">
        <v>0</v>
      </c>
      <c r="C3260" t="s">
        <v>44583</v>
      </c>
      <c r="D3260">
        <v>1037022454355</v>
      </c>
      <c r="E3260">
        <v>1</v>
      </c>
      <c r="F3260">
        <v>6152691184</v>
      </c>
      <c r="G3260">
        <v>190</v>
      </c>
      <c r="H3260" t="s">
        <v>40293</v>
      </c>
      <c r="I3260">
        <v>20989</v>
      </c>
      <c r="J3260">
        <v>4000</v>
      </c>
      <c r="K3260">
        <v>4000</v>
      </c>
    </row>
    <row r="3261" spans="1:11">
      <c r="A3261">
        <v>90</v>
      </c>
      <c r="B3261" t="b">
        <v>0</v>
      </c>
      <c r="C3261" t="s">
        <v>42167</v>
      </c>
      <c r="D3261">
        <v>1037022454355</v>
      </c>
      <c r="E3261">
        <v>1</v>
      </c>
      <c r="F3261">
        <v>6129112150</v>
      </c>
      <c r="G3261">
        <v>10000000</v>
      </c>
      <c r="H3261" t="s">
        <v>40293</v>
      </c>
      <c r="I3261">
        <v>21011</v>
      </c>
      <c r="J3261">
        <v>2</v>
      </c>
      <c r="K3261">
        <v>2</v>
      </c>
    </row>
    <row r="3262" spans="1:11">
      <c r="A3262">
        <v>90</v>
      </c>
      <c r="B3262" t="b">
        <v>0</v>
      </c>
      <c r="C3262" t="s">
        <v>41556</v>
      </c>
      <c r="D3262">
        <v>1037022454355</v>
      </c>
      <c r="E3262">
        <v>1</v>
      </c>
      <c r="F3262">
        <v>6090517848</v>
      </c>
      <c r="G3262">
        <v>10000000</v>
      </c>
      <c r="H3262" t="s">
        <v>40293</v>
      </c>
      <c r="I3262">
        <v>21017</v>
      </c>
      <c r="J3262">
        <v>4</v>
      </c>
      <c r="K3262">
        <v>9</v>
      </c>
    </row>
    <row r="3263" spans="1:11">
      <c r="A3263">
        <v>90</v>
      </c>
      <c r="B3263" t="b">
        <v>0</v>
      </c>
      <c r="C3263" t="s">
        <v>41572</v>
      </c>
      <c r="D3263">
        <v>1037022454355</v>
      </c>
      <c r="E3263">
        <v>1</v>
      </c>
      <c r="F3263">
        <v>6090518226</v>
      </c>
      <c r="G3263">
        <v>6000000</v>
      </c>
      <c r="H3263" t="s">
        <v>40293</v>
      </c>
      <c r="I3263">
        <v>21039</v>
      </c>
      <c r="J3263">
        <v>6</v>
      </c>
      <c r="K3263">
        <v>6</v>
      </c>
    </row>
    <row r="3264" spans="1:11">
      <c r="A3264">
        <v>90</v>
      </c>
      <c r="B3264" t="b">
        <v>0</v>
      </c>
      <c r="C3264" t="s">
        <v>41659</v>
      </c>
      <c r="D3264">
        <v>1037022454355</v>
      </c>
      <c r="E3264">
        <v>1</v>
      </c>
      <c r="F3264">
        <v>6090454592</v>
      </c>
      <c r="G3264">
        <v>712700</v>
      </c>
      <c r="H3264" t="s">
        <v>40293</v>
      </c>
      <c r="I3264">
        <v>21096</v>
      </c>
      <c r="J3264">
        <v>4</v>
      </c>
      <c r="K3264">
        <v>20</v>
      </c>
    </row>
    <row r="3265" spans="1:11">
      <c r="A3265">
        <v>90</v>
      </c>
      <c r="B3265" t="b">
        <v>0</v>
      </c>
      <c r="C3265" t="s">
        <v>45502</v>
      </c>
      <c r="D3265">
        <v>1037022454355</v>
      </c>
      <c r="E3265">
        <v>1</v>
      </c>
      <c r="F3265">
        <v>6155750192</v>
      </c>
      <c r="G3265">
        <v>710800</v>
      </c>
      <c r="H3265" t="s">
        <v>40293</v>
      </c>
      <c r="I3265">
        <v>21096</v>
      </c>
      <c r="J3265">
        <v>8</v>
      </c>
      <c r="K3265">
        <v>10</v>
      </c>
    </row>
    <row r="3266" spans="1:11">
      <c r="A3266">
        <v>90</v>
      </c>
      <c r="B3266" t="b">
        <v>0</v>
      </c>
      <c r="C3266" t="s">
        <v>40413</v>
      </c>
      <c r="D3266">
        <v>1037022454355</v>
      </c>
      <c r="E3266">
        <v>1</v>
      </c>
      <c r="F3266">
        <v>6108449646</v>
      </c>
      <c r="G3266">
        <v>449700</v>
      </c>
      <c r="H3266" t="s">
        <v>40293</v>
      </c>
      <c r="I3266">
        <v>21210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40397</v>
      </c>
      <c r="D3267">
        <v>1037022454355</v>
      </c>
      <c r="E3267">
        <v>1</v>
      </c>
      <c r="F3267">
        <v>6108449238</v>
      </c>
      <c r="G3267">
        <v>2147000</v>
      </c>
      <c r="H3267" t="s">
        <v>40293</v>
      </c>
      <c r="I3267">
        <v>21228</v>
      </c>
      <c r="J3267">
        <v>1</v>
      </c>
      <c r="K3267">
        <v>1</v>
      </c>
    </row>
    <row r="3268" spans="1:11">
      <c r="A3268">
        <v>90</v>
      </c>
      <c r="B3268" t="b">
        <v>0</v>
      </c>
      <c r="C3268" t="s">
        <v>42964</v>
      </c>
      <c r="D3268">
        <v>1037022454355</v>
      </c>
      <c r="E3268">
        <v>1</v>
      </c>
      <c r="F3268">
        <v>6087116967</v>
      </c>
      <c r="G3268">
        <v>1400000</v>
      </c>
      <c r="H3268" t="s">
        <v>40293</v>
      </c>
      <c r="I3268">
        <v>21274</v>
      </c>
      <c r="J3268">
        <v>1</v>
      </c>
      <c r="K3268">
        <v>1</v>
      </c>
    </row>
    <row r="3269" spans="1:11">
      <c r="A3269">
        <v>90</v>
      </c>
      <c r="B3269" t="b">
        <v>0</v>
      </c>
      <c r="C3269" t="s">
        <v>44493</v>
      </c>
      <c r="D3269">
        <v>1037022454355</v>
      </c>
      <c r="E3269">
        <v>1</v>
      </c>
      <c r="F3269">
        <v>6152689984</v>
      </c>
      <c r="G3269">
        <v>1700</v>
      </c>
      <c r="H3269" t="s">
        <v>40293</v>
      </c>
      <c r="I3269">
        <v>21336</v>
      </c>
      <c r="J3269">
        <v>2500</v>
      </c>
      <c r="K3269">
        <v>2500</v>
      </c>
    </row>
    <row r="3270" spans="1:11">
      <c r="A3270">
        <v>90</v>
      </c>
      <c r="B3270" t="b">
        <v>0</v>
      </c>
      <c r="C3270" t="s">
        <v>42302</v>
      </c>
      <c r="D3270">
        <v>1037022454355</v>
      </c>
      <c r="E3270">
        <v>1</v>
      </c>
      <c r="F3270">
        <v>6132073230</v>
      </c>
      <c r="G3270">
        <v>118</v>
      </c>
      <c r="H3270" t="s">
        <v>40293</v>
      </c>
      <c r="I3270">
        <v>21352</v>
      </c>
      <c r="J3270">
        <v>28956</v>
      </c>
      <c r="K3270">
        <v>28956</v>
      </c>
    </row>
    <row r="3271" spans="1:11">
      <c r="A3271">
        <v>90</v>
      </c>
      <c r="B3271" t="b">
        <v>0</v>
      </c>
      <c r="C3271" t="s">
        <v>42797</v>
      </c>
      <c r="D3271">
        <v>1037022454355</v>
      </c>
      <c r="E3271">
        <v>1</v>
      </c>
      <c r="F3271">
        <v>6107965447</v>
      </c>
      <c r="G3271">
        <v>117</v>
      </c>
      <c r="H3271" t="s">
        <v>40293</v>
      </c>
      <c r="I3271">
        <v>21352</v>
      </c>
      <c r="J3271">
        <v>1000</v>
      </c>
      <c r="K3271">
        <v>1000</v>
      </c>
    </row>
    <row r="3272" spans="1:11">
      <c r="A3272">
        <v>90</v>
      </c>
      <c r="B3272" t="b">
        <v>0</v>
      </c>
      <c r="C3272" t="s">
        <v>44514</v>
      </c>
      <c r="D3272">
        <v>1037022454355</v>
      </c>
      <c r="E3272">
        <v>1</v>
      </c>
      <c r="F3272">
        <v>6152690223</v>
      </c>
      <c r="G3272">
        <v>116</v>
      </c>
      <c r="H3272" t="s">
        <v>40293</v>
      </c>
      <c r="I3272">
        <v>21352</v>
      </c>
      <c r="J3272">
        <v>4000</v>
      </c>
      <c r="K3272">
        <v>4000</v>
      </c>
    </row>
    <row r="3273" spans="1:11">
      <c r="A3273">
        <v>90</v>
      </c>
      <c r="B3273" t="b">
        <v>0</v>
      </c>
      <c r="C3273" t="s">
        <v>44526</v>
      </c>
      <c r="D3273">
        <v>1037022454355</v>
      </c>
      <c r="E3273">
        <v>1</v>
      </c>
      <c r="F3273">
        <v>6152690405</v>
      </c>
      <c r="G3273">
        <v>118</v>
      </c>
      <c r="H3273" t="s">
        <v>40293</v>
      </c>
      <c r="I3273">
        <v>21356</v>
      </c>
      <c r="J3273">
        <v>500</v>
      </c>
      <c r="K3273">
        <v>500</v>
      </c>
    </row>
    <row r="3274" spans="1:11">
      <c r="A3274">
        <v>90</v>
      </c>
      <c r="B3274" t="b">
        <v>0</v>
      </c>
      <c r="C3274" t="s">
        <v>42302</v>
      </c>
      <c r="D3274">
        <v>1037022454355</v>
      </c>
      <c r="E3274">
        <v>1</v>
      </c>
      <c r="F3274">
        <v>6132073229</v>
      </c>
      <c r="G3274">
        <v>119</v>
      </c>
      <c r="H3274" t="s">
        <v>40293</v>
      </c>
      <c r="I3274">
        <v>21358</v>
      </c>
      <c r="J3274">
        <v>6001</v>
      </c>
      <c r="K3274">
        <v>6001</v>
      </c>
    </row>
    <row r="3275" spans="1:11">
      <c r="A3275">
        <v>90</v>
      </c>
      <c r="B3275" t="b">
        <v>0</v>
      </c>
      <c r="C3275" t="s">
        <v>44539</v>
      </c>
      <c r="D3275">
        <v>1037022454355</v>
      </c>
      <c r="E3275">
        <v>1</v>
      </c>
      <c r="F3275">
        <v>6152690549</v>
      </c>
      <c r="G3275">
        <v>200</v>
      </c>
      <c r="H3275" t="s">
        <v>40293</v>
      </c>
      <c r="I3275">
        <v>21366</v>
      </c>
      <c r="J3275">
        <v>500</v>
      </c>
      <c r="K3275">
        <v>500</v>
      </c>
    </row>
    <row r="3276" spans="1:11">
      <c r="A3276">
        <v>90</v>
      </c>
      <c r="B3276" t="b">
        <v>0</v>
      </c>
      <c r="C3276" t="s">
        <v>42893</v>
      </c>
      <c r="D3276">
        <v>1037022454355</v>
      </c>
      <c r="E3276">
        <v>1</v>
      </c>
      <c r="F3276">
        <v>6073844075</v>
      </c>
      <c r="G3276">
        <v>4837</v>
      </c>
      <c r="H3276" t="s">
        <v>40293</v>
      </c>
      <c r="I3276">
        <v>21368</v>
      </c>
      <c r="J3276">
        <v>11179</v>
      </c>
      <c r="K3276">
        <v>16960</v>
      </c>
    </row>
    <row r="3277" spans="1:11">
      <c r="A3277">
        <v>90</v>
      </c>
      <c r="B3277" t="b">
        <v>0</v>
      </c>
      <c r="C3277" t="s">
        <v>42910</v>
      </c>
      <c r="D3277">
        <v>1037022454355</v>
      </c>
      <c r="E3277">
        <v>1</v>
      </c>
      <c r="F3277">
        <v>6073844527</v>
      </c>
      <c r="G3277">
        <v>4415</v>
      </c>
      <c r="H3277" t="s">
        <v>40293</v>
      </c>
      <c r="I3277">
        <v>21372</v>
      </c>
      <c r="J3277">
        <v>11218</v>
      </c>
      <c r="K3277">
        <v>22918</v>
      </c>
    </row>
    <row r="3278" spans="1:11">
      <c r="A3278">
        <v>90</v>
      </c>
      <c r="B3278" t="b">
        <v>0</v>
      </c>
      <c r="C3278" t="s">
        <v>43127</v>
      </c>
      <c r="D3278">
        <v>1037022454355</v>
      </c>
      <c r="E3278">
        <v>1</v>
      </c>
      <c r="F3278">
        <v>6073844914</v>
      </c>
      <c r="G3278">
        <v>11890</v>
      </c>
      <c r="H3278" t="s">
        <v>40293</v>
      </c>
      <c r="I3278">
        <v>21374</v>
      </c>
      <c r="J3278">
        <v>1242</v>
      </c>
      <c r="K3278">
        <v>4442</v>
      </c>
    </row>
    <row r="3279" spans="1:11">
      <c r="A3279">
        <v>90</v>
      </c>
      <c r="B3279" t="b">
        <v>0</v>
      </c>
      <c r="C3279" t="s">
        <v>43398</v>
      </c>
      <c r="D3279">
        <v>1037022454355</v>
      </c>
      <c r="E3279">
        <v>1</v>
      </c>
      <c r="F3279">
        <v>6143916188</v>
      </c>
      <c r="G3279">
        <v>111</v>
      </c>
      <c r="H3279" t="s">
        <v>40293</v>
      </c>
      <c r="I3279">
        <v>21390</v>
      </c>
      <c r="J3279">
        <v>150</v>
      </c>
      <c r="K3279">
        <v>150</v>
      </c>
    </row>
    <row r="3280" spans="1:11">
      <c r="A3280">
        <v>90</v>
      </c>
      <c r="B3280" t="b">
        <v>0</v>
      </c>
      <c r="C3280" t="s">
        <v>44728</v>
      </c>
      <c r="D3280">
        <v>1037022454355</v>
      </c>
      <c r="E3280">
        <v>1</v>
      </c>
      <c r="F3280">
        <v>6152692897</v>
      </c>
      <c r="G3280">
        <v>1200</v>
      </c>
      <c r="H3280" t="s">
        <v>40293</v>
      </c>
      <c r="I3280">
        <v>21416</v>
      </c>
      <c r="J3280">
        <v>500</v>
      </c>
      <c r="K3280">
        <v>500</v>
      </c>
    </row>
    <row r="3281" spans="1:11">
      <c r="A3281">
        <v>30</v>
      </c>
      <c r="B3281" t="b">
        <v>0</v>
      </c>
      <c r="C3281" t="s">
        <v>42633</v>
      </c>
      <c r="D3281">
        <v>1037022454355</v>
      </c>
      <c r="E3281">
        <v>1</v>
      </c>
      <c r="F3281">
        <v>6136614226</v>
      </c>
      <c r="G3281">
        <v>75</v>
      </c>
      <c r="H3281" t="s">
        <v>40293</v>
      </c>
      <c r="I3281">
        <v>21593</v>
      </c>
      <c r="J3281">
        <v>382</v>
      </c>
      <c r="K3281">
        <v>382</v>
      </c>
    </row>
    <row r="3282" spans="1:11">
      <c r="A3282">
        <v>30</v>
      </c>
      <c r="B3282" t="b">
        <v>0</v>
      </c>
      <c r="C3282" t="s">
        <v>46073</v>
      </c>
      <c r="D3282">
        <v>1037022454355</v>
      </c>
      <c r="E3282">
        <v>1</v>
      </c>
      <c r="F3282">
        <v>6153299538</v>
      </c>
      <c r="G3282">
        <v>66</v>
      </c>
      <c r="H3282" t="s">
        <v>40293</v>
      </c>
      <c r="I3282">
        <v>21594</v>
      </c>
      <c r="J3282">
        <v>428</v>
      </c>
      <c r="K3282">
        <v>428</v>
      </c>
    </row>
    <row r="3283" spans="1:11">
      <c r="A3283">
        <v>30</v>
      </c>
      <c r="B3283" t="b">
        <v>0</v>
      </c>
      <c r="C3283" t="s">
        <v>43388</v>
      </c>
      <c r="D3283">
        <v>1037022454355</v>
      </c>
      <c r="E3283">
        <v>1</v>
      </c>
      <c r="F3283">
        <v>6144652233</v>
      </c>
      <c r="G3283">
        <v>20000000</v>
      </c>
      <c r="H3283" t="s">
        <v>40293</v>
      </c>
      <c r="I3283">
        <v>21603</v>
      </c>
      <c r="J3283">
        <v>1</v>
      </c>
      <c r="K3283">
        <v>1</v>
      </c>
    </row>
    <row r="3284" spans="1:11">
      <c r="A3284">
        <v>90</v>
      </c>
      <c r="B3284" t="b">
        <v>0</v>
      </c>
      <c r="C3284" t="s">
        <v>42545</v>
      </c>
      <c r="D3284">
        <v>1037022454355</v>
      </c>
      <c r="E3284">
        <v>1</v>
      </c>
      <c r="F3284">
        <v>6128811252</v>
      </c>
      <c r="G3284">
        <v>1395000</v>
      </c>
      <c r="H3284" t="s">
        <v>40293</v>
      </c>
      <c r="I3284">
        <v>21638</v>
      </c>
      <c r="J3284">
        <v>9</v>
      </c>
      <c r="K3284">
        <v>36</v>
      </c>
    </row>
    <row r="3285" spans="1:11">
      <c r="A3285">
        <v>30</v>
      </c>
      <c r="B3285" t="b">
        <v>0</v>
      </c>
      <c r="C3285" t="s">
        <v>45842</v>
      </c>
      <c r="D3285">
        <v>1037022454355</v>
      </c>
      <c r="E3285">
        <v>1</v>
      </c>
      <c r="F3285">
        <v>6147726105</v>
      </c>
      <c r="G3285">
        <v>1800000</v>
      </c>
      <c r="H3285" t="s">
        <v>40293</v>
      </c>
      <c r="I3285">
        <v>21640</v>
      </c>
      <c r="J3285">
        <v>8</v>
      </c>
      <c r="K3285">
        <v>8</v>
      </c>
    </row>
    <row r="3286" spans="1:11">
      <c r="A3286">
        <v>90</v>
      </c>
      <c r="B3286" t="b">
        <v>0</v>
      </c>
      <c r="C3286" t="s">
        <v>44840</v>
      </c>
      <c r="D3286">
        <v>1037022454355</v>
      </c>
      <c r="E3286">
        <v>1</v>
      </c>
      <c r="F3286">
        <v>6148434409</v>
      </c>
      <c r="G3286">
        <v>1649000</v>
      </c>
      <c r="H3286" t="s">
        <v>40293</v>
      </c>
      <c r="I3286">
        <v>21640</v>
      </c>
      <c r="J3286">
        <v>30</v>
      </c>
      <c r="K3286">
        <v>30</v>
      </c>
    </row>
    <row r="3287" spans="1:11">
      <c r="A3287">
        <v>90</v>
      </c>
      <c r="B3287" t="b">
        <v>0</v>
      </c>
      <c r="C3287" t="s">
        <v>44624</v>
      </c>
      <c r="D3287">
        <v>1037022454355</v>
      </c>
      <c r="E3287">
        <v>1</v>
      </c>
      <c r="F3287">
        <v>6140076026</v>
      </c>
      <c r="G3287">
        <v>1500000</v>
      </c>
      <c r="H3287" t="s">
        <v>40293</v>
      </c>
      <c r="I3287">
        <v>21640</v>
      </c>
      <c r="J3287">
        <v>1</v>
      </c>
      <c r="K3287">
        <v>14</v>
      </c>
    </row>
    <row r="3288" spans="1:11">
      <c r="A3288">
        <v>90</v>
      </c>
      <c r="B3288" t="b">
        <v>0</v>
      </c>
      <c r="C3288" t="s">
        <v>45204</v>
      </c>
      <c r="D3288">
        <v>1037022454355</v>
      </c>
      <c r="E3288">
        <v>1</v>
      </c>
      <c r="F3288">
        <v>6152436862</v>
      </c>
      <c r="G3288">
        <v>1490000</v>
      </c>
      <c r="H3288" t="s">
        <v>40293</v>
      </c>
      <c r="I3288">
        <v>21640</v>
      </c>
      <c r="J3288">
        <v>10</v>
      </c>
      <c r="K3288">
        <v>10</v>
      </c>
    </row>
    <row r="3289" spans="1:11">
      <c r="A3289">
        <v>90</v>
      </c>
      <c r="B3289" t="b">
        <v>0</v>
      </c>
      <c r="C3289" t="s">
        <v>44149</v>
      </c>
      <c r="D3289">
        <v>1037022454355</v>
      </c>
      <c r="E3289">
        <v>1</v>
      </c>
      <c r="F3289">
        <v>6147671488</v>
      </c>
      <c r="G3289">
        <v>1400000</v>
      </c>
      <c r="H3289" t="s">
        <v>40293</v>
      </c>
      <c r="I3289">
        <v>21640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44508</v>
      </c>
      <c r="D3290">
        <v>1037022454355</v>
      </c>
      <c r="E3290">
        <v>1</v>
      </c>
      <c r="F3290">
        <v>6154459607</v>
      </c>
      <c r="G3290">
        <v>1400000</v>
      </c>
      <c r="H3290" t="s">
        <v>40293</v>
      </c>
      <c r="I3290">
        <v>21640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45489</v>
      </c>
      <c r="D3291">
        <v>1037022454355</v>
      </c>
      <c r="E3291">
        <v>1</v>
      </c>
      <c r="F3291">
        <v>6154898108</v>
      </c>
      <c r="G3291">
        <v>1373000</v>
      </c>
      <c r="H3291" t="s">
        <v>40293</v>
      </c>
      <c r="I3291">
        <v>21640</v>
      </c>
      <c r="J3291">
        <v>5</v>
      </c>
      <c r="K3291">
        <v>10</v>
      </c>
    </row>
    <row r="3292" spans="1:11">
      <c r="A3292">
        <v>7</v>
      </c>
      <c r="B3292" t="b">
        <v>0</v>
      </c>
      <c r="C3292" t="s">
        <v>44973</v>
      </c>
      <c r="D3292">
        <v>1037022454355</v>
      </c>
      <c r="E3292">
        <v>1</v>
      </c>
      <c r="F3292">
        <v>6153056367</v>
      </c>
      <c r="G3292">
        <v>1350000</v>
      </c>
      <c r="H3292" t="s">
        <v>40293</v>
      </c>
      <c r="I3292">
        <v>21640</v>
      </c>
      <c r="J3292">
        <v>21</v>
      </c>
      <c r="K3292">
        <v>43</v>
      </c>
    </row>
    <row r="3293" spans="1:11">
      <c r="A3293">
        <v>90</v>
      </c>
      <c r="B3293" t="b">
        <v>0</v>
      </c>
      <c r="C3293" t="s">
        <v>45052</v>
      </c>
      <c r="D3293">
        <v>1037022454355</v>
      </c>
      <c r="E3293">
        <v>1</v>
      </c>
      <c r="F3293">
        <v>6153974942</v>
      </c>
      <c r="G3293">
        <v>1344000</v>
      </c>
      <c r="H3293" t="s">
        <v>40293</v>
      </c>
      <c r="I3293">
        <v>21640</v>
      </c>
      <c r="J3293">
        <v>50</v>
      </c>
      <c r="K3293">
        <v>100</v>
      </c>
    </row>
    <row r="3294" spans="1:11">
      <c r="A3294">
        <v>90</v>
      </c>
      <c r="B3294" t="b">
        <v>0</v>
      </c>
      <c r="C3294" t="s">
        <v>44304</v>
      </c>
      <c r="D3294">
        <v>1037022454355</v>
      </c>
      <c r="E3294">
        <v>1</v>
      </c>
      <c r="F3294">
        <v>6145838805</v>
      </c>
      <c r="G3294">
        <v>1343000</v>
      </c>
      <c r="H3294" t="s">
        <v>40293</v>
      </c>
      <c r="I3294">
        <v>21640</v>
      </c>
      <c r="J3294">
        <v>86</v>
      </c>
      <c r="K3294">
        <v>96</v>
      </c>
    </row>
    <row r="3295" spans="1:11">
      <c r="A3295">
        <v>30</v>
      </c>
      <c r="B3295" t="b">
        <v>0</v>
      </c>
      <c r="C3295" t="s">
        <v>45916</v>
      </c>
      <c r="D3295">
        <v>1037022454355</v>
      </c>
      <c r="E3295">
        <v>1</v>
      </c>
      <c r="F3295">
        <v>6152576521</v>
      </c>
      <c r="G3295">
        <v>1342000</v>
      </c>
      <c r="H3295" t="s">
        <v>40293</v>
      </c>
      <c r="I3295">
        <v>21640</v>
      </c>
      <c r="J3295">
        <v>49</v>
      </c>
      <c r="K3295">
        <v>50</v>
      </c>
    </row>
    <row r="3296" spans="1:11">
      <c r="A3296">
        <v>90</v>
      </c>
      <c r="B3296" t="b">
        <v>0</v>
      </c>
      <c r="C3296" t="s">
        <v>44689</v>
      </c>
      <c r="D3296">
        <v>1037022454355</v>
      </c>
      <c r="E3296">
        <v>1</v>
      </c>
      <c r="F3296">
        <v>6157476602</v>
      </c>
      <c r="G3296">
        <v>1340000</v>
      </c>
      <c r="H3296" t="s">
        <v>40293</v>
      </c>
      <c r="I3296">
        <v>21640</v>
      </c>
      <c r="J3296">
        <v>10</v>
      </c>
      <c r="K3296">
        <v>10</v>
      </c>
    </row>
    <row r="3297" spans="1:11">
      <c r="A3297">
        <v>30</v>
      </c>
      <c r="B3297" t="b">
        <v>0</v>
      </c>
      <c r="C3297" t="s">
        <v>42679</v>
      </c>
      <c r="D3297">
        <v>1037022454355</v>
      </c>
      <c r="E3297">
        <v>1</v>
      </c>
      <c r="F3297">
        <v>6135306242</v>
      </c>
      <c r="G3297">
        <v>3200000</v>
      </c>
      <c r="H3297" t="s">
        <v>40293</v>
      </c>
      <c r="I3297">
        <v>21725</v>
      </c>
      <c r="J3297">
        <v>1</v>
      </c>
      <c r="K3297">
        <v>1</v>
      </c>
    </row>
    <row r="3298" spans="1:11">
      <c r="A3298">
        <v>90</v>
      </c>
      <c r="B3298" t="b">
        <v>0</v>
      </c>
      <c r="C3298" t="s">
        <v>42634</v>
      </c>
      <c r="D3298">
        <v>1037022454355</v>
      </c>
      <c r="E3298">
        <v>1</v>
      </c>
      <c r="F3298">
        <v>6136024409</v>
      </c>
      <c r="G3298">
        <v>1330</v>
      </c>
      <c r="H3298" t="s">
        <v>40293</v>
      </c>
      <c r="I3298">
        <v>21740</v>
      </c>
      <c r="J3298">
        <v>134601</v>
      </c>
      <c r="K3298">
        <v>234601</v>
      </c>
    </row>
    <row r="3299" spans="1:11">
      <c r="A3299">
        <v>30</v>
      </c>
      <c r="B3299" t="b">
        <v>0</v>
      </c>
      <c r="C3299" t="s">
        <v>46184</v>
      </c>
      <c r="D3299">
        <v>1037022454355</v>
      </c>
      <c r="E3299">
        <v>1</v>
      </c>
      <c r="F3299">
        <v>6151302378</v>
      </c>
      <c r="G3299">
        <v>1329</v>
      </c>
      <c r="H3299" t="s">
        <v>40293</v>
      </c>
      <c r="I3299">
        <v>21740</v>
      </c>
      <c r="J3299">
        <v>52486</v>
      </c>
      <c r="K3299">
        <v>52486</v>
      </c>
    </row>
    <row r="3300" spans="1:11">
      <c r="A3300">
        <v>7</v>
      </c>
      <c r="B3300" t="b">
        <v>0</v>
      </c>
      <c r="C3300" t="s">
        <v>46275</v>
      </c>
      <c r="D3300">
        <v>1037022454355</v>
      </c>
      <c r="E3300">
        <v>1</v>
      </c>
      <c r="F3300">
        <v>6152846742</v>
      </c>
      <c r="G3300">
        <v>1321</v>
      </c>
      <c r="H3300" t="s">
        <v>40293</v>
      </c>
      <c r="I3300">
        <v>21740</v>
      </c>
      <c r="J3300">
        <v>13860</v>
      </c>
      <c r="K3300">
        <v>13860</v>
      </c>
    </row>
    <row r="3301" spans="1:11">
      <c r="A3301">
        <v>90</v>
      </c>
      <c r="B3301" t="b">
        <v>0</v>
      </c>
      <c r="C3301" t="s">
        <v>43347</v>
      </c>
      <c r="D3301">
        <v>1037022454355</v>
      </c>
      <c r="E3301">
        <v>1</v>
      </c>
      <c r="F3301">
        <v>6140539641</v>
      </c>
      <c r="G3301">
        <v>2900000</v>
      </c>
      <c r="H3301" t="s">
        <v>40293</v>
      </c>
      <c r="I3301">
        <v>21815</v>
      </c>
      <c r="J3301">
        <v>1</v>
      </c>
      <c r="K3301">
        <v>1</v>
      </c>
    </row>
    <row r="3302" spans="1:11">
      <c r="A3302">
        <v>90</v>
      </c>
      <c r="B3302" t="b">
        <v>0</v>
      </c>
      <c r="C3302" t="s">
        <v>41395</v>
      </c>
      <c r="D3302">
        <v>1037022454355</v>
      </c>
      <c r="E3302">
        <v>1</v>
      </c>
      <c r="F3302">
        <v>6101392511</v>
      </c>
      <c r="G3302">
        <v>2900000</v>
      </c>
      <c r="H3302" t="s">
        <v>40293</v>
      </c>
      <c r="I3302">
        <v>21815</v>
      </c>
      <c r="J3302">
        <v>20</v>
      </c>
      <c r="K3302">
        <v>20</v>
      </c>
    </row>
    <row r="3303" spans="1:11">
      <c r="A3303">
        <v>90</v>
      </c>
      <c r="B3303" t="b">
        <v>0</v>
      </c>
      <c r="C3303" t="s">
        <v>43466</v>
      </c>
      <c r="D3303">
        <v>1037022454355</v>
      </c>
      <c r="E3303">
        <v>1</v>
      </c>
      <c r="F3303">
        <v>6142746616</v>
      </c>
      <c r="G3303">
        <v>2899000</v>
      </c>
      <c r="H3303" t="s">
        <v>40293</v>
      </c>
      <c r="I3303">
        <v>21815</v>
      </c>
      <c r="J3303">
        <v>2</v>
      </c>
      <c r="K3303">
        <v>2</v>
      </c>
    </row>
    <row r="3304" spans="1:11">
      <c r="A3304">
        <v>30</v>
      </c>
      <c r="B3304" t="b">
        <v>0</v>
      </c>
      <c r="C3304" t="s">
        <v>42956</v>
      </c>
      <c r="D3304">
        <v>1037022454355</v>
      </c>
      <c r="E3304">
        <v>1</v>
      </c>
      <c r="F3304">
        <v>6144657279</v>
      </c>
      <c r="G3304">
        <v>2749000</v>
      </c>
      <c r="H3304" t="s">
        <v>40293</v>
      </c>
      <c r="I3304">
        <v>21815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44181</v>
      </c>
      <c r="D3305">
        <v>1037022454355</v>
      </c>
      <c r="E3305">
        <v>1</v>
      </c>
      <c r="F3305">
        <v>6157404094</v>
      </c>
      <c r="G3305">
        <v>2720000</v>
      </c>
      <c r="H3305" t="s">
        <v>40293</v>
      </c>
      <c r="I3305">
        <v>21815</v>
      </c>
      <c r="J3305">
        <v>1</v>
      </c>
      <c r="K3305">
        <v>1</v>
      </c>
    </row>
    <row r="3306" spans="1:11">
      <c r="A3306">
        <v>30</v>
      </c>
      <c r="B3306" t="b">
        <v>0</v>
      </c>
      <c r="C3306" t="s">
        <v>44983</v>
      </c>
      <c r="D3306">
        <v>1037022454355</v>
      </c>
      <c r="E3306">
        <v>1</v>
      </c>
      <c r="F3306">
        <v>6155317462</v>
      </c>
      <c r="G3306">
        <v>2001000</v>
      </c>
      <c r="H3306" t="s">
        <v>40293</v>
      </c>
      <c r="I3306">
        <v>21815</v>
      </c>
      <c r="J3306">
        <v>4</v>
      </c>
      <c r="K3306">
        <v>4</v>
      </c>
    </row>
    <row r="3307" spans="1:11">
      <c r="A3307">
        <v>14</v>
      </c>
      <c r="B3307" t="b">
        <v>0</v>
      </c>
      <c r="C3307" t="s">
        <v>46011</v>
      </c>
      <c r="D3307">
        <v>1037022454355</v>
      </c>
      <c r="E3307">
        <v>1</v>
      </c>
      <c r="F3307">
        <v>6154347205</v>
      </c>
      <c r="G3307">
        <v>2001000</v>
      </c>
      <c r="H3307" t="s">
        <v>40293</v>
      </c>
      <c r="I3307">
        <v>21815</v>
      </c>
      <c r="J3307">
        <v>1</v>
      </c>
      <c r="K3307">
        <v>4</v>
      </c>
    </row>
    <row r="3308" spans="1:11">
      <c r="A3308">
        <v>90</v>
      </c>
      <c r="B3308" t="b">
        <v>0</v>
      </c>
      <c r="C3308" t="s">
        <v>41825</v>
      </c>
      <c r="D3308">
        <v>1037022454355</v>
      </c>
      <c r="E3308">
        <v>1</v>
      </c>
      <c r="F3308">
        <v>6127043672</v>
      </c>
      <c r="G3308">
        <v>1250000</v>
      </c>
      <c r="H3308" t="s">
        <v>40293</v>
      </c>
      <c r="I3308">
        <v>21841</v>
      </c>
      <c r="J3308">
        <v>50</v>
      </c>
      <c r="K3308">
        <v>50</v>
      </c>
    </row>
    <row r="3309" spans="1:11">
      <c r="A3309">
        <v>90</v>
      </c>
      <c r="B3309" t="b">
        <v>0</v>
      </c>
      <c r="C3309" t="s">
        <v>42157</v>
      </c>
      <c r="D3309">
        <v>1037022454355</v>
      </c>
      <c r="E3309">
        <v>1</v>
      </c>
      <c r="F3309">
        <v>6070161320</v>
      </c>
      <c r="G3309">
        <v>74880000</v>
      </c>
      <c r="H3309" t="s">
        <v>40293</v>
      </c>
      <c r="I3309">
        <v>21888</v>
      </c>
      <c r="J3309">
        <v>5</v>
      </c>
      <c r="K3309">
        <v>8</v>
      </c>
    </row>
    <row r="3310" spans="1:11">
      <c r="A3310">
        <v>90</v>
      </c>
      <c r="B3310" t="b">
        <v>0</v>
      </c>
      <c r="C3310" t="s">
        <v>41952</v>
      </c>
      <c r="D3310">
        <v>1037022454355</v>
      </c>
      <c r="E3310">
        <v>1</v>
      </c>
      <c r="F3310">
        <v>6126003398</v>
      </c>
      <c r="G3310">
        <v>52800000</v>
      </c>
      <c r="H3310" t="s">
        <v>40293</v>
      </c>
      <c r="I3310">
        <v>21888</v>
      </c>
      <c r="J3310">
        <v>3</v>
      </c>
      <c r="K3310">
        <v>11</v>
      </c>
    </row>
    <row r="3311" spans="1:11">
      <c r="A3311">
        <v>90</v>
      </c>
      <c r="B3311" t="b">
        <v>0</v>
      </c>
      <c r="C3311" t="s">
        <v>42889</v>
      </c>
      <c r="D3311">
        <v>1037022454355</v>
      </c>
      <c r="E3311">
        <v>1</v>
      </c>
      <c r="F3311">
        <v>6140100773</v>
      </c>
      <c r="G3311">
        <v>45600000</v>
      </c>
      <c r="H3311" t="s">
        <v>40293</v>
      </c>
      <c r="I3311">
        <v>21889</v>
      </c>
      <c r="J3311">
        <v>9</v>
      </c>
      <c r="K3311">
        <v>10</v>
      </c>
    </row>
    <row r="3312" spans="1:11">
      <c r="A3312">
        <v>90</v>
      </c>
      <c r="B3312" t="b">
        <v>0</v>
      </c>
      <c r="C3312" t="s">
        <v>42073</v>
      </c>
      <c r="D3312">
        <v>1037022454355</v>
      </c>
      <c r="E3312">
        <v>1</v>
      </c>
      <c r="F3312">
        <v>6130670637</v>
      </c>
      <c r="G3312">
        <v>60230000</v>
      </c>
      <c r="H3312" t="s">
        <v>40293</v>
      </c>
      <c r="I3312">
        <v>21890</v>
      </c>
      <c r="J3312">
        <v>10</v>
      </c>
      <c r="K3312">
        <v>10</v>
      </c>
    </row>
    <row r="3313" spans="1:11">
      <c r="A3313">
        <v>90</v>
      </c>
      <c r="B3313" t="b">
        <v>0</v>
      </c>
      <c r="C3313" t="s">
        <v>42264</v>
      </c>
      <c r="D3313">
        <v>1037022454355</v>
      </c>
      <c r="E3313">
        <v>1</v>
      </c>
      <c r="F3313">
        <v>6131579077</v>
      </c>
      <c r="G3313">
        <v>48240000</v>
      </c>
      <c r="H3313" t="s">
        <v>40293</v>
      </c>
      <c r="I3313">
        <v>21890</v>
      </c>
      <c r="J3313">
        <v>3</v>
      </c>
      <c r="K3313">
        <v>5</v>
      </c>
    </row>
    <row r="3314" spans="1:11">
      <c r="A3314">
        <v>90</v>
      </c>
      <c r="B3314" t="b">
        <v>0</v>
      </c>
      <c r="C3314" t="s">
        <v>42773</v>
      </c>
      <c r="D3314">
        <v>1037022454355</v>
      </c>
      <c r="E3314">
        <v>1</v>
      </c>
      <c r="F3314">
        <v>6134360861</v>
      </c>
      <c r="G3314">
        <v>48210000</v>
      </c>
      <c r="H3314" t="s">
        <v>40293</v>
      </c>
      <c r="I3314">
        <v>21890</v>
      </c>
      <c r="J3314">
        <v>2</v>
      </c>
      <c r="K3314">
        <v>2</v>
      </c>
    </row>
    <row r="3315" spans="1:11">
      <c r="A3315">
        <v>90</v>
      </c>
      <c r="B3315" t="b">
        <v>0</v>
      </c>
      <c r="C3315" t="s">
        <v>44923</v>
      </c>
      <c r="D3315">
        <v>1037022454355</v>
      </c>
      <c r="E3315">
        <v>1</v>
      </c>
      <c r="F3315">
        <v>6155711078</v>
      </c>
      <c r="G3315">
        <v>48200000</v>
      </c>
      <c r="H3315" t="s">
        <v>40293</v>
      </c>
      <c r="I3315">
        <v>21890</v>
      </c>
      <c r="J3315">
        <v>4</v>
      </c>
      <c r="K3315">
        <v>5</v>
      </c>
    </row>
    <row r="3316" spans="1:11">
      <c r="A3316">
        <v>90</v>
      </c>
      <c r="B3316" t="b">
        <v>0</v>
      </c>
      <c r="C3316" t="s">
        <v>44578</v>
      </c>
      <c r="D3316">
        <v>1037022454355</v>
      </c>
      <c r="E3316">
        <v>1</v>
      </c>
      <c r="F3316">
        <v>6156623258</v>
      </c>
      <c r="G3316">
        <v>1590</v>
      </c>
      <c r="H3316" t="s">
        <v>40293</v>
      </c>
      <c r="I3316">
        <v>21894</v>
      </c>
      <c r="J3316">
        <v>260426</v>
      </c>
      <c r="K3316">
        <v>294426</v>
      </c>
    </row>
    <row r="3317" spans="1:11">
      <c r="A3317">
        <v>90</v>
      </c>
      <c r="B3317" t="b">
        <v>0</v>
      </c>
      <c r="C3317" t="s">
        <v>44620</v>
      </c>
      <c r="D3317">
        <v>1037022454355</v>
      </c>
      <c r="E3317">
        <v>1</v>
      </c>
      <c r="F3317">
        <v>6156623779</v>
      </c>
      <c r="G3317">
        <v>1375</v>
      </c>
      <c r="H3317" t="s">
        <v>40293</v>
      </c>
      <c r="I3317">
        <v>21896</v>
      </c>
      <c r="J3317">
        <v>89139</v>
      </c>
      <c r="K3317">
        <v>109846</v>
      </c>
    </row>
    <row r="3318" spans="1:11">
      <c r="A3318">
        <v>90</v>
      </c>
      <c r="B3318" t="b">
        <v>0</v>
      </c>
      <c r="C3318" t="s">
        <v>44161</v>
      </c>
      <c r="D3318">
        <v>1037022454355</v>
      </c>
      <c r="E3318">
        <v>1</v>
      </c>
      <c r="F3318">
        <v>6157534858</v>
      </c>
      <c r="G3318">
        <v>1374</v>
      </c>
      <c r="H3318" t="s">
        <v>40293</v>
      </c>
      <c r="I3318">
        <v>21896</v>
      </c>
      <c r="J3318">
        <v>240</v>
      </c>
      <c r="K3318">
        <v>240</v>
      </c>
    </row>
    <row r="3319" spans="1:11">
      <c r="A3319">
        <v>90</v>
      </c>
      <c r="B3319" t="b">
        <v>0</v>
      </c>
      <c r="C3319" t="s">
        <v>43948</v>
      </c>
      <c r="D3319">
        <v>1037022454355</v>
      </c>
      <c r="E3319">
        <v>1</v>
      </c>
      <c r="F3319">
        <v>6140099693</v>
      </c>
      <c r="G3319">
        <v>667</v>
      </c>
      <c r="H3319" t="s">
        <v>40293</v>
      </c>
      <c r="I3319">
        <v>21898</v>
      </c>
      <c r="J3319">
        <v>307566</v>
      </c>
      <c r="K3319">
        <v>489949</v>
      </c>
    </row>
    <row r="3320" spans="1:11">
      <c r="A3320">
        <v>90</v>
      </c>
      <c r="B3320" t="b">
        <v>0</v>
      </c>
      <c r="C3320" t="s">
        <v>43323</v>
      </c>
      <c r="D3320">
        <v>1037022454355</v>
      </c>
      <c r="E3320">
        <v>1</v>
      </c>
      <c r="F3320">
        <v>6074052716</v>
      </c>
      <c r="G3320">
        <v>1417</v>
      </c>
      <c r="H3320" t="s">
        <v>40293</v>
      </c>
      <c r="I3320">
        <v>21902</v>
      </c>
      <c r="J3320">
        <v>129254</v>
      </c>
      <c r="K3320">
        <v>137034</v>
      </c>
    </row>
    <row r="3321" spans="1:11">
      <c r="A3321">
        <v>90</v>
      </c>
      <c r="B3321" t="b">
        <v>0</v>
      </c>
      <c r="C3321" t="s">
        <v>40427</v>
      </c>
      <c r="D3321">
        <v>1037022454355</v>
      </c>
      <c r="E3321">
        <v>1</v>
      </c>
      <c r="F3321">
        <v>6067784988</v>
      </c>
      <c r="G3321">
        <v>1399</v>
      </c>
      <c r="H3321" t="s">
        <v>40293</v>
      </c>
      <c r="I3321">
        <v>21902</v>
      </c>
      <c r="J3321">
        <v>3085</v>
      </c>
      <c r="K3321">
        <v>6063</v>
      </c>
    </row>
    <row r="3322" spans="1:11">
      <c r="A3322">
        <v>90</v>
      </c>
      <c r="B3322" t="b">
        <v>0</v>
      </c>
      <c r="C3322" t="s">
        <v>42302</v>
      </c>
      <c r="D3322">
        <v>1037022454355</v>
      </c>
      <c r="E3322">
        <v>1</v>
      </c>
      <c r="F3322">
        <v>6132073237</v>
      </c>
      <c r="G3322">
        <v>1380</v>
      </c>
      <c r="H3322" t="s">
        <v>40293</v>
      </c>
      <c r="I3322">
        <v>21902</v>
      </c>
      <c r="J3322">
        <v>1120</v>
      </c>
      <c r="K3322">
        <v>1120</v>
      </c>
    </row>
    <row r="3323" spans="1:11">
      <c r="A3323">
        <v>90</v>
      </c>
      <c r="B3323" t="b">
        <v>0</v>
      </c>
      <c r="C3323" t="s">
        <v>42672</v>
      </c>
      <c r="D3323">
        <v>1037022454355</v>
      </c>
      <c r="E3323">
        <v>1</v>
      </c>
      <c r="F3323">
        <v>6132094012</v>
      </c>
      <c r="G3323">
        <v>1379</v>
      </c>
      <c r="H3323" t="s">
        <v>40293</v>
      </c>
      <c r="I3323">
        <v>21902</v>
      </c>
      <c r="J3323">
        <v>2479</v>
      </c>
      <c r="K3323">
        <v>4116</v>
      </c>
    </row>
    <row r="3324" spans="1:11">
      <c r="A3324">
        <v>90</v>
      </c>
      <c r="B3324" t="b">
        <v>0</v>
      </c>
      <c r="C3324" t="s">
        <v>44663</v>
      </c>
      <c r="D3324">
        <v>1037022454355</v>
      </c>
      <c r="E3324">
        <v>1</v>
      </c>
      <c r="F3324">
        <v>6156624366</v>
      </c>
      <c r="G3324">
        <v>957</v>
      </c>
      <c r="H3324" t="s">
        <v>40293</v>
      </c>
      <c r="I3324">
        <v>21904</v>
      </c>
      <c r="J3324">
        <v>105591</v>
      </c>
      <c r="K3324">
        <v>110091</v>
      </c>
    </row>
    <row r="3325" spans="1:11">
      <c r="A3325">
        <v>90</v>
      </c>
      <c r="B3325" t="b">
        <v>0</v>
      </c>
      <c r="C3325" t="s">
        <v>44169</v>
      </c>
      <c r="D3325">
        <v>1037022454355</v>
      </c>
      <c r="E3325">
        <v>1</v>
      </c>
      <c r="F3325">
        <v>6157534985</v>
      </c>
      <c r="G3325">
        <v>956.9</v>
      </c>
      <c r="H3325" t="s">
        <v>40293</v>
      </c>
      <c r="I3325">
        <v>21904</v>
      </c>
      <c r="J3325">
        <v>1200</v>
      </c>
      <c r="K3325">
        <v>1200</v>
      </c>
    </row>
    <row r="3326" spans="1:11">
      <c r="A3326">
        <v>90</v>
      </c>
      <c r="B3326" t="b">
        <v>0</v>
      </c>
      <c r="C3326" t="s">
        <v>43339</v>
      </c>
      <c r="D3326">
        <v>1037022454355</v>
      </c>
      <c r="E3326">
        <v>1</v>
      </c>
      <c r="F3326">
        <v>6074053202</v>
      </c>
      <c r="G3326">
        <v>600.1</v>
      </c>
      <c r="H3326" t="s">
        <v>40293</v>
      </c>
      <c r="I3326">
        <v>21906</v>
      </c>
      <c r="J3326">
        <v>127057</v>
      </c>
      <c r="K3326">
        <v>206505</v>
      </c>
    </row>
    <row r="3327" spans="1:11">
      <c r="A3327">
        <v>90</v>
      </c>
      <c r="B3327" t="b">
        <v>0</v>
      </c>
      <c r="C3327" t="s">
        <v>45848</v>
      </c>
      <c r="D3327">
        <v>1037022454355</v>
      </c>
      <c r="E3327">
        <v>1</v>
      </c>
      <c r="F3327">
        <v>6152346430</v>
      </c>
      <c r="G3327">
        <v>600.1</v>
      </c>
      <c r="H3327" t="s">
        <v>40293</v>
      </c>
      <c r="I3327">
        <v>21906</v>
      </c>
      <c r="J3327">
        <v>2592</v>
      </c>
      <c r="K3327">
        <v>2592</v>
      </c>
    </row>
    <row r="3328" spans="1:11">
      <c r="A3328">
        <v>90</v>
      </c>
      <c r="B3328" t="b">
        <v>0</v>
      </c>
      <c r="C3328" t="s">
        <v>43357</v>
      </c>
      <c r="D3328">
        <v>1037022454355</v>
      </c>
      <c r="E3328">
        <v>1</v>
      </c>
      <c r="F3328">
        <v>6074053566</v>
      </c>
      <c r="G3328">
        <v>1185</v>
      </c>
      <c r="H3328" t="s">
        <v>40293</v>
      </c>
      <c r="I3328">
        <v>21910</v>
      </c>
      <c r="J3328">
        <v>82655</v>
      </c>
      <c r="K3328">
        <v>88143</v>
      </c>
    </row>
    <row r="3329" spans="1:11">
      <c r="A3329">
        <v>90</v>
      </c>
      <c r="B3329" t="b">
        <v>0</v>
      </c>
      <c r="C3329" t="s">
        <v>42302</v>
      </c>
      <c r="D3329">
        <v>1037022454355</v>
      </c>
      <c r="E3329">
        <v>1</v>
      </c>
      <c r="F3329">
        <v>6132073239</v>
      </c>
      <c r="G3329">
        <v>1180</v>
      </c>
      <c r="H3329" t="s">
        <v>40293</v>
      </c>
      <c r="I3329">
        <v>21910</v>
      </c>
      <c r="J3329">
        <v>1120</v>
      </c>
      <c r="K3329">
        <v>1120</v>
      </c>
    </row>
    <row r="3330" spans="1:11">
      <c r="A3330">
        <v>90</v>
      </c>
      <c r="B3330" t="b">
        <v>0</v>
      </c>
      <c r="C3330" t="s">
        <v>42668</v>
      </c>
      <c r="D3330">
        <v>1037022454355</v>
      </c>
      <c r="E3330">
        <v>1</v>
      </c>
      <c r="F3330">
        <v>6132093861</v>
      </c>
      <c r="G3330">
        <v>1179</v>
      </c>
      <c r="H3330" t="s">
        <v>40293</v>
      </c>
      <c r="I3330">
        <v>21910</v>
      </c>
      <c r="J3330">
        <v>308</v>
      </c>
      <c r="K3330">
        <v>320</v>
      </c>
    </row>
    <row r="3331" spans="1:11">
      <c r="A3331">
        <v>90</v>
      </c>
      <c r="B3331" t="b">
        <v>0</v>
      </c>
      <c r="C3331" t="s">
        <v>40978</v>
      </c>
      <c r="D3331">
        <v>1037022454355</v>
      </c>
      <c r="E3331">
        <v>1</v>
      </c>
      <c r="F3331">
        <v>6114852182</v>
      </c>
      <c r="G3331">
        <v>780</v>
      </c>
      <c r="H3331" t="s">
        <v>40293</v>
      </c>
      <c r="I3331">
        <v>21912</v>
      </c>
      <c r="J3331">
        <v>177212</v>
      </c>
      <c r="K3331">
        <v>310333</v>
      </c>
    </row>
    <row r="3332" spans="1:11">
      <c r="A3332">
        <v>90</v>
      </c>
      <c r="B3332" t="b">
        <v>0</v>
      </c>
      <c r="C3332" t="s">
        <v>43378</v>
      </c>
      <c r="D3332">
        <v>1037022454355</v>
      </c>
      <c r="E3332">
        <v>1</v>
      </c>
      <c r="F3332">
        <v>6074054071</v>
      </c>
      <c r="G3332">
        <v>792.1</v>
      </c>
      <c r="H3332" t="s">
        <v>40293</v>
      </c>
      <c r="I3332">
        <v>21914</v>
      </c>
      <c r="J3332">
        <v>8192</v>
      </c>
      <c r="K3332">
        <v>21789</v>
      </c>
    </row>
    <row r="3333" spans="1:11">
      <c r="A3333">
        <v>90</v>
      </c>
      <c r="B3333" t="b">
        <v>0</v>
      </c>
      <c r="C3333" t="s">
        <v>43579</v>
      </c>
      <c r="D3333">
        <v>1037022454355</v>
      </c>
      <c r="E3333">
        <v>1</v>
      </c>
      <c r="F3333">
        <v>6074054591</v>
      </c>
      <c r="G3333">
        <v>1500</v>
      </c>
      <c r="H3333" t="s">
        <v>40293</v>
      </c>
      <c r="I3333">
        <v>21918</v>
      </c>
      <c r="J3333">
        <v>881946</v>
      </c>
      <c r="K3333">
        <v>923592</v>
      </c>
    </row>
    <row r="3334" spans="1:11">
      <c r="A3334">
        <v>90</v>
      </c>
      <c r="B3334" t="b">
        <v>0</v>
      </c>
      <c r="C3334" t="s">
        <v>41492</v>
      </c>
      <c r="D3334">
        <v>1037022454355</v>
      </c>
      <c r="E3334">
        <v>1</v>
      </c>
      <c r="F3334">
        <v>6110635772</v>
      </c>
      <c r="G3334">
        <v>840</v>
      </c>
      <c r="H3334" t="s">
        <v>40293</v>
      </c>
      <c r="I3334">
        <v>21922</v>
      </c>
      <c r="J3334">
        <v>49636</v>
      </c>
      <c r="K3334">
        <v>443295</v>
      </c>
    </row>
    <row r="3335" spans="1:11">
      <c r="A3335">
        <v>90</v>
      </c>
      <c r="B3335" t="b">
        <v>0</v>
      </c>
      <c r="C3335" t="s">
        <v>45855</v>
      </c>
      <c r="D3335">
        <v>1037022454355</v>
      </c>
      <c r="E3335">
        <v>1</v>
      </c>
      <c r="F3335">
        <v>6152346499</v>
      </c>
      <c r="G3335">
        <v>807.2</v>
      </c>
      <c r="H3335" t="s">
        <v>40293</v>
      </c>
      <c r="I3335">
        <v>21924</v>
      </c>
      <c r="J3335">
        <v>4600</v>
      </c>
      <c r="K3335">
        <v>4600</v>
      </c>
    </row>
    <row r="3336" spans="1:11">
      <c r="A3336">
        <v>90</v>
      </c>
      <c r="B3336" t="b">
        <v>0</v>
      </c>
      <c r="C3336" t="s">
        <v>43426</v>
      </c>
      <c r="D3336">
        <v>1037022454355</v>
      </c>
      <c r="E3336">
        <v>1</v>
      </c>
      <c r="F3336">
        <v>6074055469</v>
      </c>
      <c r="G3336">
        <v>807.1</v>
      </c>
      <c r="H3336" t="s">
        <v>40293</v>
      </c>
      <c r="I3336">
        <v>21924</v>
      </c>
      <c r="J3336">
        <v>27617</v>
      </c>
      <c r="K3336">
        <v>135836</v>
      </c>
    </row>
    <row r="3337" spans="1:11">
      <c r="A3337">
        <v>90</v>
      </c>
      <c r="B3337" t="b">
        <v>0</v>
      </c>
      <c r="C3337" t="s">
        <v>43058</v>
      </c>
      <c r="D3337">
        <v>1037022454355</v>
      </c>
      <c r="E3337">
        <v>1</v>
      </c>
      <c r="F3337">
        <v>6077355318</v>
      </c>
      <c r="G3337">
        <v>1561</v>
      </c>
      <c r="H3337" t="s">
        <v>40293</v>
      </c>
      <c r="I3337">
        <v>21926</v>
      </c>
      <c r="J3337">
        <v>15110</v>
      </c>
      <c r="K3337">
        <v>50580</v>
      </c>
    </row>
    <row r="3338" spans="1:11">
      <c r="A3338">
        <v>90</v>
      </c>
      <c r="B3338" t="b">
        <v>0</v>
      </c>
      <c r="C3338" t="s">
        <v>42226</v>
      </c>
      <c r="D3338">
        <v>1037022454355</v>
      </c>
      <c r="E3338">
        <v>1</v>
      </c>
      <c r="F3338">
        <v>6130462082</v>
      </c>
      <c r="G3338">
        <v>1550</v>
      </c>
      <c r="H3338" t="s">
        <v>40293</v>
      </c>
      <c r="I3338">
        <v>21926</v>
      </c>
      <c r="J3338">
        <v>320</v>
      </c>
      <c r="K3338">
        <v>320</v>
      </c>
    </row>
    <row r="3339" spans="1:11">
      <c r="A3339">
        <v>90</v>
      </c>
      <c r="B3339" t="b">
        <v>0</v>
      </c>
      <c r="C3339" t="s">
        <v>42302</v>
      </c>
      <c r="D3339">
        <v>1037022454355</v>
      </c>
      <c r="E3339">
        <v>1</v>
      </c>
      <c r="F3339">
        <v>6132073235</v>
      </c>
      <c r="G3339">
        <v>1540</v>
      </c>
      <c r="H3339" t="s">
        <v>40293</v>
      </c>
      <c r="I3339">
        <v>21926</v>
      </c>
      <c r="J3339">
        <v>120</v>
      </c>
      <c r="K3339">
        <v>1120</v>
      </c>
    </row>
    <row r="3340" spans="1:11">
      <c r="A3340">
        <v>30</v>
      </c>
      <c r="B3340" t="b">
        <v>0</v>
      </c>
      <c r="C3340" t="s">
        <v>43887</v>
      </c>
      <c r="D3340">
        <v>1037022454355</v>
      </c>
      <c r="E3340">
        <v>1</v>
      </c>
      <c r="F3340">
        <v>6144718212</v>
      </c>
      <c r="G3340">
        <v>1539</v>
      </c>
      <c r="H3340" t="s">
        <v>40293</v>
      </c>
      <c r="I3340">
        <v>21926</v>
      </c>
      <c r="J3340">
        <v>1000</v>
      </c>
      <c r="K3340">
        <v>1000</v>
      </c>
    </row>
    <row r="3341" spans="1:11">
      <c r="A3341">
        <v>90</v>
      </c>
      <c r="B3341" t="b">
        <v>0</v>
      </c>
      <c r="C3341" t="s">
        <v>40326</v>
      </c>
      <c r="D3341">
        <v>1037022454355</v>
      </c>
      <c r="E3341">
        <v>1</v>
      </c>
      <c r="F3341">
        <v>6123848665</v>
      </c>
      <c r="G3341">
        <v>1500</v>
      </c>
      <c r="H3341" t="s">
        <v>40293</v>
      </c>
      <c r="I3341">
        <v>21928</v>
      </c>
      <c r="J3341">
        <v>38882</v>
      </c>
      <c r="K3341">
        <v>50000</v>
      </c>
    </row>
    <row r="3342" spans="1:11">
      <c r="A3342">
        <v>90</v>
      </c>
      <c r="B3342" t="b">
        <v>0</v>
      </c>
      <c r="C3342" t="s">
        <v>43957</v>
      </c>
      <c r="D3342">
        <v>1037022454355</v>
      </c>
      <c r="E3342">
        <v>1</v>
      </c>
      <c r="F3342">
        <v>6140099913</v>
      </c>
      <c r="G3342">
        <v>1188</v>
      </c>
      <c r="H3342" t="s">
        <v>40293</v>
      </c>
      <c r="I3342">
        <v>21928</v>
      </c>
      <c r="J3342">
        <v>195279</v>
      </c>
      <c r="K3342">
        <v>250000</v>
      </c>
    </row>
    <row r="3343" spans="1:11">
      <c r="A3343">
        <v>90</v>
      </c>
      <c r="B3343" t="b">
        <v>0</v>
      </c>
      <c r="C3343" t="s">
        <v>45229</v>
      </c>
      <c r="D3343">
        <v>1037022454355</v>
      </c>
      <c r="E3343">
        <v>1</v>
      </c>
      <c r="F3343">
        <v>6152029741</v>
      </c>
      <c r="G3343">
        <v>1000</v>
      </c>
      <c r="H3343" t="s">
        <v>40293</v>
      </c>
      <c r="I3343">
        <v>21928</v>
      </c>
      <c r="J3343">
        <v>76464</v>
      </c>
      <c r="K3343">
        <v>100000</v>
      </c>
    </row>
    <row r="3344" spans="1:11">
      <c r="A3344">
        <v>90</v>
      </c>
      <c r="B3344" t="b">
        <v>0</v>
      </c>
      <c r="C3344" t="s">
        <v>43459</v>
      </c>
      <c r="D3344">
        <v>1037022454355</v>
      </c>
      <c r="E3344">
        <v>1</v>
      </c>
      <c r="F3344">
        <v>6074056309</v>
      </c>
      <c r="G3344">
        <v>618.1</v>
      </c>
      <c r="H3344" t="s">
        <v>40293</v>
      </c>
      <c r="I3344">
        <v>21931</v>
      </c>
      <c r="J3344">
        <v>27237</v>
      </c>
      <c r="K3344">
        <v>58459</v>
      </c>
    </row>
    <row r="3345" spans="1:11">
      <c r="A3345">
        <v>90</v>
      </c>
      <c r="B3345" t="b">
        <v>0</v>
      </c>
      <c r="C3345" t="s">
        <v>42920</v>
      </c>
      <c r="D3345">
        <v>1037022454355</v>
      </c>
      <c r="E3345">
        <v>1</v>
      </c>
      <c r="F3345">
        <v>6074056893</v>
      </c>
      <c r="G3345">
        <v>1833</v>
      </c>
      <c r="H3345" t="s">
        <v>40293</v>
      </c>
      <c r="I3345">
        <v>21935</v>
      </c>
      <c r="J3345">
        <v>201943</v>
      </c>
      <c r="K3345">
        <v>203848</v>
      </c>
    </row>
    <row r="3346" spans="1:11">
      <c r="A3346">
        <v>90</v>
      </c>
      <c r="B3346" t="b">
        <v>0</v>
      </c>
      <c r="C3346" t="s">
        <v>45618</v>
      </c>
      <c r="D3346">
        <v>1037022454355</v>
      </c>
      <c r="E3346">
        <v>1</v>
      </c>
      <c r="F3346">
        <v>6157390017</v>
      </c>
      <c r="G3346">
        <v>1832</v>
      </c>
      <c r="H3346" t="s">
        <v>40293</v>
      </c>
      <c r="I3346">
        <v>21935</v>
      </c>
      <c r="J3346">
        <v>744</v>
      </c>
      <c r="K3346">
        <v>744</v>
      </c>
    </row>
    <row r="3347" spans="1:11">
      <c r="A3347">
        <v>90</v>
      </c>
      <c r="B3347" t="b">
        <v>0</v>
      </c>
      <c r="C3347" t="s">
        <v>41758</v>
      </c>
      <c r="D3347">
        <v>1037022454355</v>
      </c>
      <c r="E3347">
        <v>1</v>
      </c>
      <c r="F3347">
        <v>6108512108</v>
      </c>
      <c r="G3347">
        <v>831</v>
      </c>
      <c r="H3347" t="s">
        <v>40293</v>
      </c>
      <c r="I3347">
        <v>21937</v>
      </c>
      <c r="J3347">
        <v>73806</v>
      </c>
      <c r="K3347">
        <v>142484</v>
      </c>
    </row>
    <row r="3348" spans="1:11">
      <c r="A3348">
        <v>90</v>
      </c>
      <c r="B3348" t="b">
        <v>0</v>
      </c>
      <c r="C3348" t="s">
        <v>44736</v>
      </c>
      <c r="D3348">
        <v>1037022454355</v>
      </c>
      <c r="E3348">
        <v>1</v>
      </c>
      <c r="F3348">
        <v>6156625149</v>
      </c>
      <c r="G3348">
        <v>739</v>
      </c>
      <c r="H3348" t="s">
        <v>40293</v>
      </c>
      <c r="I3348">
        <v>21939</v>
      </c>
      <c r="J3348">
        <v>11320</v>
      </c>
      <c r="K3348">
        <v>11320</v>
      </c>
    </row>
    <row r="3349" spans="1:11">
      <c r="A3349">
        <v>90</v>
      </c>
      <c r="B3349" t="b">
        <v>0</v>
      </c>
      <c r="C3349" t="s">
        <v>43496</v>
      </c>
      <c r="D3349">
        <v>1037022454355</v>
      </c>
      <c r="E3349">
        <v>1</v>
      </c>
      <c r="F3349">
        <v>6074057746</v>
      </c>
      <c r="G3349">
        <v>738.1</v>
      </c>
      <c r="H3349" t="s">
        <v>40293</v>
      </c>
      <c r="I3349">
        <v>21939</v>
      </c>
      <c r="J3349">
        <v>9945</v>
      </c>
      <c r="K3349">
        <v>17475</v>
      </c>
    </row>
    <row r="3350" spans="1:11">
      <c r="A3350">
        <v>90</v>
      </c>
      <c r="B3350" t="b">
        <v>0</v>
      </c>
      <c r="C3350" t="s">
        <v>40701</v>
      </c>
      <c r="D3350">
        <v>1037022454355</v>
      </c>
      <c r="E3350">
        <v>1</v>
      </c>
      <c r="F3350">
        <v>6068642617</v>
      </c>
      <c r="G3350">
        <v>395300</v>
      </c>
      <c r="H3350" t="s">
        <v>40293</v>
      </c>
      <c r="I3350">
        <v>22175</v>
      </c>
      <c r="J3350">
        <v>46</v>
      </c>
      <c r="K3350">
        <v>50</v>
      </c>
    </row>
    <row r="3351" spans="1:11">
      <c r="A3351">
        <v>90</v>
      </c>
      <c r="B3351" t="b">
        <v>0</v>
      </c>
      <c r="C3351" t="s">
        <v>41442</v>
      </c>
      <c r="D3351">
        <v>1037022454355</v>
      </c>
      <c r="E3351">
        <v>1</v>
      </c>
      <c r="F3351">
        <v>6106538442</v>
      </c>
      <c r="G3351">
        <v>389000</v>
      </c>
      <c r="H3351" t="s">
        <v>40293</v>
      </c>
      <c r="I3351">
        <v>22175</v>
      </c>
      <c r="J3351">
        <v>2</v>
      </c>
      <c r="K3351">
        <v>2</v>
      </c>
    </row>
    <row r="3352" spans="1:11">
      <c r="A3352">
        <v>90</v>
      </c>
      <c r="B3352" t="b">
        <v>0</v>
      </c>
      <c r="C3352" t="s">
        <v>41253</v>
      </c>
      <c r="D3352">
        <v>1037022454355</v>
      </c>
      <c r="E3352">
        <v>1</v>
      </c>
      <c r="F3352">
        <v>6106829357</v>
      </c>
      <c r="G3352">
        <v>90000</v>
      </c>
      <c r="H3352" t="s">
        <v>40293</v>
      </c>
      <c r="I3352">
        <v>22175</v>
      </c>
      <c r="J3352">
        <v>26</v>
      </c>
      <c r="K3352">
        <v>50</v>
      </c>
    </row>
    <row r="3353" spans="1:11">
      <c r="A3353">
        <v>90</v>
      </c>
      <c r="B3353" t="b">
        <v>0</v>
      </c>
      <c r="C3353" t="s">
        <v>43329</v>
      </c>
      <c r="D3353">
        <v>1037022454355</v>
      </c>
      <c r="E3353">
        <v>1</v>
      </c>
      <c r="F3353">
        <v>6145028374</v>
      </c>
      <c r="G3353">
        <v>89990</v>
      </c>
      <c r="H3353" t="s">
        <v>40293</v>
      </c>
      <c r="I3353">
        <v>22175</v>
      </c>
      <c r="J3353">
        <v>8</v>
      </c>
      <c r="K3353">
        <v>50</v>
      </c>
    </row>
    <row r="3354" spans="1:11">
      <c r="A3354">
        <v>90</v>
      </c>
      <c r="B3354" t="b">
        <v>0</v>
      </c>
      <c r="C3354" t="s">
        <v>40698</v>
      </c>
      <c r="D3354">
        <v>1037022454355</v>
      </c>
      <c r="E3354">
        <v>1</v>
      </c>
      <c r="F3354">
        <v>6068642561</v>
      </c>
      <c r="G3354">
        <v>499300</v>
      </c>
      <c r="H3354" t="s">
        <v>40293</v>
      </c>
      <c r="I3354">
        <v>22177</v>
      </c>
      <c r="J3354">
        <v>30</v>
      </c>
      <c r="K3354">
        <v>50</v>
      </c>
    </row>
    <row r="3355" spans="1:11">
      <c r="A3355">
        <v>90</v>
      </c>
      <c r="B3355" t="b">
        <v>0</v>
      </c>
      <c r="C3355" t="s">
        <v>41474</v>
      </c>
      <c r="D3355">
        <v>1037022454355</v>
      </c>
      <c r="E3355">
        <v>1</v>
      </c>
      <c r="F3355">
        <v>6106834169</v>
      </c>
      <c r="G3355">
        <v>80000</v>
      </c>
      <c r="H3355" t="s">
        <v>40293</v>
      </c>
      <c r="I3355">
        <v>22177</v>
      </c>
      <c r="J3355">
        <v>31</v>
      </c>
      <c r="K3355">
        <v>50</v>
      </c>
    </row>
    <row r="3356" spans="1:11">
      <c r="A3356">
        <v>90</v>
      </c>
      <c r="B3356" t="b">
        <v>0</v>
      </c>
      <c r="C3356" t="s">
        <v>46547</v>
      </c>
      <c r="D3356">
        <v>1037022454355</v>
      </c>
      <c r="E3356">
        <v>1</v>
      </c>
      <c r="F3356">
        <v>6150553326</v>
      </c>
      <c r="G3356">
        <v>79000</v>
      </c>
      <c r="H3356" t="s">
        <v>40293</v>
      </c>
      <c r="I3356">
        <v>22177</v>
      </c>
      <c r="J3356">
        <v>10</v>
      </c>
      <c r="K3356">
        <v>11</v>
      </c>
    </row>
    <row r="3357" spans="1:11">
      <c r="A3357">
        <v>90</v>
      </c>
      <c r="B3357" t="b">
        <v>0</v>
      </c>
      <c r="C3357" t="s">
        <v>44551</v>
      </c>
      <c r="D3357">
        <v>1037022454355</v>
      </c>
      <c r="E3357">
        <v>1</v>
      </c>
      <c r="F3357">
        <v>6151084551</v>
      </c>
      <c r="G3357">
        <v>78990</v>
      </c>
      <c r="H3357" t="s">
        <v>40293</v>
      </c>
      <c r="I3357">
        <v>22177</v>
      </c>
      <c r="J3357">
        <v>17</v>
      </c>
      <c r="K3357">
        <v>25</v>
      </c>
    </row>
    <row r="3358" spans="1:11">
      <c r="A3358">
        <v>90</v>
      </c>
      <c r="B3358" t="b">
        <v>0</v>
      </c>
      <c r="C3358" t="s">
        <v>45169</v>
      </c>
      <c r="D3358">
        <v>1037022454355</v>
      </c>
      <c r="E3358">
        <v>1</v>
      </c>
      <c r="F3358">
        <v>6149520019</v>
      </c>
      <c r="G3358">
        <v>7430000</v>
      </c>
      <c r="H3358" t="s">
        <v>40293</v>
      </c>
      <c r="I3358">
        <v>22229</v>
      </c>
      <c r="J3358">
        <v>1</v>
      </c>
      <c r="K3358">
        <v>6</v>
      </c>
    </row>
    <row r="3359" spans="1:11">
      <c r="A3359">
        <v>90</v>
      </c>
      <c r="B3359" t="b">
        <v>0</v>
      </c>
      <c r="C3359" t="s">
        <v>44410</v>
      </c>
      <c r="D3359">
        <v>1037022454355</v>
      </c>
      <c r="E3359">
        <v>1</v>
      </c>
      <c r="F3359">
        <v>6153737314</v>
      </c>
      <c r="G3359">
        <v>7429000</v>
      </c>
      <c r="H3359" t="s">
        <v>40293</v>
      </c>
      <c r="I3359">
        <v>22229</v>
      </c>
      <c r="J3359">
        <v>10</v>
      </c>
      <c r="K3359">
        <v>21</v>
      </c>
    </row>
    <row r="3360" spans="1:11">
      <c r="A3360">
        <v>90</v>
      </c>
      <c r="B3360" t="b">
        <v>0</v>
      </c>
      <c r="C3360" t="s">
        <v>44683</v>
      </c>
      <c r="D3360">
        <v>1037022454355</v>
      </c>
      <c r="E3360">
        <v>1</v>
      </c>
      <c r="F3360">
        <v>6156264105</v>
      </c>
      <c r="G3360">
        <v>7428000</v>
      </c>
      <c r="H3360" t="s">
        <v>40293</v>
      </c>
      <c r="I3360">
        <v>22229</v>
      </c>
      <c r="J3360">
        <v>9</v>
      </c>
      <c r="K3360">
        <v>15</v>
      </c>
    </row>
    <row r="3361" spans="1:11">
      <c r="A3361">
        <v>30</v>
      </c>
      <c r="B3361" t="b">
        <v>0</v>
      </c>
      <c r="C3361" t="s">
        <v>43094</v>
      </c>
      <c r="D3361">
        <v>1037022454355</v>
      </c>
      <c r="E3361">
        <v>1</v>
      </c>
      <c r="F3361">
        <v>6144399727</v>
      </c>
      <c r="G3361">
        <v>150000000</v>
      </c>
      <c r="H3361" t="s">
        <v>40293</v>
      </c>
      <c r="I3361">
        <v>22242</v>
      </c>
      <c r="J3361">
        <v>1</v>
      </c>
      <c r="K3361">
        <v>1</v>
      </c>
    </row>
    <row r="3362" spans="1:11">
      <c r="A3362">
        <v>90</v>
      </c>
      <c r="B3362" t="b">
        <v>0</v>
      </c>
      <c r="C3362" t="s">
        <v>46164</v>
      </c>
      <c r="D3362">
        <v>1037022454355</v>
      </c>
      <c r="E3362">
        <v>1</v>
      </c>
      <c r="F3362">
        <v>6155353249</v>
      </c>
      <c r="G3362">
        <v>2724000</v>
      </c>
      <c r="H3362" t="s">
        <v>40293</v>
      </c>
      <c r="I3362">
        <v>22291</v>
      </c>
      <c r="J3362">
        <v>5</v>
      </c>
      <c r="K3362">
        <v>5</v>
      </c>
    </row>
    <row r="3363" spans="1:11">
      <c r="A3363">
        <v>90</v>
      </c>
      <c r="B3363" t="b">
        <v>0</v>
      </c>
      <c r="C3363" t="s">
        <v>41748</v>
      </c>
      <c r="D3363">
        <v>1037022454355</v>
      </c>
      <c r="E3363">
        <v>1</v>
      </c>
      <c r="F3363">
        <v>6116245113</v>
      </c>
      <c r="G3363">
        <v>2700000</v>
      </c>
      <c r="H3363" t="s">
        <v>40293</v>
      </c>
      <c r="I3363">
        <v>22291</v>
      </c>
      <c r="J3363">
        <v>1</v>
      </c>
      <c r="K3363">
        <v>45</v>
      </c>
    </row>
    <row r="3364" spans="1:11">
      <c r="A3364">
        <v>90</v>
      </c>
      <c r="B3364" t="b">
        <v>0</v>
      </c>
      <c r="C3364" t="s">
        <v>44410</v>
      </c>
      <c r="D3364">
        <v>1037022454355</v>
      </c>
      <c r="E3364">
        <v>1</v>
      </c>
      <c r="F3364">
        <v>6153737315</v>
      </c>
      <c r="G3364">
        <v>2299000</v>
      </c>
      <c r="H3364" t="s">
        <v>40293</v>
      </c>
      <c r="I3364">
        <v>22291</v>
      </c>
      <c r="J3364">
        <v>34</v>
      </c>
      <c r="K3364">
        <v>53</v>
      </c>
    </row>
    <row r="3365" spans="1:11">
      <c r="A3365">
        <v>90</v>
      </c>
      <c r="B3365" t="b">
        <v>0</v>
      </c>
      <c r="C3365" t="s">
        <v>46259</v>
      </c>
      <c r="D3365">
        <v>1037022454355</v>
      </c>
      <c r="E3365">
        <v>1</v>
      </c>
      <c r="F3365">
        <v>6155071769</v>
      </c>
      <c r="G3365">
        <v>2275000</v>
      </c>
      <c r="H3365" t="s">
        <v>40293</v>
      </c>
      <c r="I3365">
        <v>22291</v>
      </c>
      <c r="J3365">
        <v>16</v>
      </c>
      <c r="K3365">
        <v>20</v>
      </c>
    </row>
    <row r="3366" spans="1:11">
      <c r="A3366">
        <v>90</v>
      </c>
      <c r="B3366" t="b">
        <v>0</v>
      </c>
      <c r="C3366" t="s">
        <v>45896</v>
      </c>
      <c r="D3366">
        <v>1037022454355</v>
      </c>
      <c r="E3366">
        <v>1</v>
      </c>
      <c r="F3366">
        <v>6155525411</v>
      </c>
      <c r="G3366">
        <v>2250000</v>
      </c>
      <c r="H3366" t="s">
        <v>40293</v>
      </c>
      <c r="I3366">
        <v>22291</v>
      </c>
      <c r="J3366">
        <v>7</v>
      </c>
      <c r="K3366">
        <v>30</v>
      </c>
    </row>
    <row r="3367" spans="1:11">
      <c r="A3367">
        <v>90</v>
      </c>
      <c r="B3367" t="b">
        <v>0</v>
      </c>
      <c r="C3367" t="s">
        <v>43900</v>
      </c>
      <c r="D3367">
        <v>1037022454355</v>
      </c>
      <c r="E3367">
        <v>1</v>
      </c>
      <c r="F3367">
        <v>6142850730</v>
      </c>
      <c r="G3367">
        <v>1500000000</v>
      </c>
      <c r="H3367" t="s">
        <v>40293</v>
      </c>
      <c r="I3367">
        <v>22428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45655</v>
      </c>
      <c r="D3368">
        <v>1037022454355</v>
      </c>
      <c r="E3368">
        <v>1</v>
      </c>
      <c r="F3368">
        <v>6152114849</v>
      </c>
      <c r="G3368">
        <v>1450000000</v>
      </c>
      <c r="H3368" t="s">
        <v>40293</v>
      </c>
      <c r="I3368">
        <v>22428</v>
      </c>
      <c r="J3368">
        <v>1</v>
      </c>
      <c r="K3368">
        <v>1</v>
      </c>
    </row>
    <row r="3369" spans="1:11">
      <c r="A3369">
        <v>90</v>
      </c>
      <c r="B3369" t="b">
        <v>0</v>
      </c>
      <c r="C3369" t="s">
        <v>40858</v>
      </c>
      <c r="D3369">
        <v>1037022454355</v>
      </c>
      <c r="E3369">
        <v>1</v>
      </c>
      <c r="F3369">
        <v>6099415767</v>
      </c>
      <c r="G3369">
        <v>1100000000</v>
      </c>
      <c r="H3369" t="s">
        <v>40293</v>
      </c>
      <c r="I3369">
        <v>22430</v>
      </c>
      <c r="J3369">
        <v>1</v>
      </c>
      <c r="K3369">
        <v>1</v>
      </c>
    </row>
    <row r="3370" spans="1:11">
      <c r="A3370">
        <v>90</v>
      </c>
      <c r="B3370" t="b">
        <v>0</v>
      </c>
      <c r="C3370" t="s">
        <v>41065</v>
      </c>
      <c r="D3370">
        <v>1037022454355</v>
      </c>
      <c r="E3370">
        <v>1</v>
      </c>
      <c r="F3370">
        <v>6091883635</v>
      </c>
      <c r="G3370">
        <v>399900000</v>
      </c>
      <c r="H3370" t="s">
        <v>40293</v>
      </c>
      <c r="I3370">
        <v>22446</v>
      </c>
      <c r="J3370">
        <v>2</v>
      </c>
      <c r="K3370">
        <v>3</v>
      </c>
    </row>
    <row r="3371" spans="1:11">
      <c r="A3371">
        <v>90</v>
      </c>
      <c r="B3371" t="b">
        <v>0</v>
      </c>
      <c r="C3371" t="s">
        <v>40835</v>
      </c>
      <c r="D3371">
        <v>1037022454355</v>
      </c>
      <c r="E3371">
        <v>1</v>
      </c>
      <c r="F3371">
        <v>6106853503</v>
      </c>
      <c r="G3371">
        <v>375000000</v>
      </c>
      <c r="H3371" t="s">
        <v>40293</v>
      </c>
      <c r="I3371">
        <v>22446</v>
      </c>
      <c r="J3371">
        <v>1</v>
      </c>
      <c r="K3371">
        <v>1</v>
      </c>
    </row>
    <row r="3372" spans="1:11">
      <c r="A3372">
        <v>90</v>
      </c>
      <c r="B3372" t="b">
        <v>0</v>
      </c>
      <c r="C3372" t="s">
        <v>41937</v>
      </c>
      <c r="D3372">
        <v>1037022454355</v>
      </c>
      <c r="E3372">
        <v>1</v>
      </c>
      <c r="F3372">
        <v>6128819271</v>
      </c>
      <c r="G3372">
        <v>68500000</v>
      </c>
      <c r="H3372" t="s">
        <v>40293</v>
      </c>
      <c r="I3372">
        <v>22452</v>
      </c>
      <c r="J3372">
        <v>1</v>
      </c>
      <c r="K3372">
        <v>5</v>
      </c>
    </row>
    <row r="3373" spans="1:11">
      <c r="A3373">
        <v>90</v>
      </c>
      <c r="B3373" t="b">
        <v>0</v>
      </c>
      <c r="C3373" t="s">
        <v>44798</v>
      </c>
      <c r="D3373">
        <v>1037022454355</v>
      </c>
      <c r="E3373">
        <v>1</v>
      </c>
      <c r="F3373">
        <v>6151612742</v>
      </c>
      <c r="G3373">
        <v>61000000</v>
      </c>
      <c r="H3373" t="s">
        <v>40293</v>
      </c>
      <c r="I3373">
        <v>22456</v>
      </c>
      <c r="J3373">
        <v>10</v>
      </c>
      <c r="K3373">
        <v>10</v>
      </c>
    </row>
    <row r="3374" spans="1:11">
      <c r="A3374">
        <v>90</v>
      </c>
      <c r="B3374" t="b">
        <v>0</v>
      </c>
      <c r="C3374" t="s">
        <v>42207</v>
      </c>
      <c r="D3374">
        <v>1037022454355</v>
      </c>
      <c r="E3374">
        <v>1</v>
      </c>
      <c r="F3374">
        <v>6130198063</v>
      </c>
      <c r="G3374">
        <v>60960000</v>
      </c>
      <c r="H3374" t="s">
        <v>40293</v>
      </c>
      <c r="I3374">
        <v>22456</v>
      </c>
      <c r="J3374">
        <v>14</v>
      </c>
      <c r="K3374">
        <v>14</v>
      </c>
    </row>
    <row r="3375" spans="1:11">
      <c r="A3375">
        <v>90</v>
      </c>
      <c r="B3375" t="b">
        <v>0</v>
      </c>
      <c r="C3375" t="s">
        <v>42243</v>
      </c>
      <c r="D3375">
        <v>1037022454355</v>
      </c>
      <c r="E3375">
        <v>1</v>
      </c>
      <c r="F3375">
        <v>6069351244</v>
      </c>
      <c r="G3375">
        <v>60950000</v>
      </c>
      <c r="H3375" t="s">
        <v>40293</v>
      </c>
      <c r="I3375">
        <v>22456</v>
      </c>
      <c r="J3375">
        <v>2</v>
      </c>
      <c r="K3375">
        <v>6</v>
      </c>
    </row>
    <row r="3376" spans="1:11">
      <c r="A3376">
        <v>90</v>
      </c>
      <c r="B3376" t="b">
        <v>0</v>
      </c>
      <c r="C3376" t="s">
        <v>42363</v>
      </c>
      <c r="D3376">
        <v>1037022454355</v>
      </c>
      <c r="E3376">
        <v>1</v>
      </c>
      <c r="F3376">
        <v>6136239328</v>
      </c>
      <c r="G3376">
        <v>60940000</v>
      </c>
      <c r="H3376" t="s">
        <v>40293</v>
      </c>
      <c r="I3376">
        <v>22456</v>
      </c>
      <c r="J3376">
        <v>9</v>
      </c>
      <c r="K3376">
        <v>10</v>
      </c>
    </row>
    <row r="3377" spans="1:11">
      <c r="A3377">
        <v>90</v>
      </c>
      <c r="B3377" t="b">
        <v>0</v>
      </c>
      <c r="C3377" t="s">
        <v>43173</v>
      </c>
      <c r="D3377">
        <v>1037022454355</v>
      </c>
      <c r="E3377">
        <v>1</v>
      </c>
      <c r="F3377">
        <v>6138634484</v>
      </c>
      <c r="G3377">
        <v>60930000</v>
      </c>
      <c r="H3377" t="s">
        <v>40293</v>
      </c>
      <c r="I3377">
        <v>22456</v>
      </c>
      <c r="J3377">
        <v>34</v>
      </c>
      <c r="K3377">
        <v>45</v>
      </c>
    </row>
    <row r="3378" spans="1:11">
      <c r="A3378">
        <v>90</v>
      </c>
      <c r="B3378" t="b">
        <v>0</v>
      </c>
      <c r="C3378" t="s">
        <v>45586</v>
      </c>
      <c r="D3378">
        <v>1037022454355</v>
      </c>
      <c r="E3378">
        <v>1</v>
      </c>
      <c r="F3378">
        <v>6153391928</v>
      </c>
      <c r="G3378">
        <v>60800000</v>
      </c>
      <c r="H3378" t="s">
        <v>40293</v>
      </c>
      <c r="I3378">
        <v>22456</v>
      </c>
      <c r="J3378">
        <v>2</v>
      </c>
      <c r="K3378">
        <v>4</v>
      </c>
    </row>
    <row r="3379" spans="1:11">
      <c r="A3379">
        <v>90</v>
      </c>
      <c r="B3379" t="b">
        <v>0</v>
      </c>
      <c r="C3379" t="s">
        <v>45404</v>
      </c>
      <c r="D3379">
        <v>1037022454355</v>
      </c>
      <c r="E3379">
        <v>1</v>
      </c>
      <c r="F3379">
        <v>6156994271</v>
      </c>
      <c r="G3379">
        <v>60790000</v>
      </c>
      <c r="H3379" t="s">
        <v>40293</v>
      </c>
      <c r="I3379">
        <v>22456</v>
      </c>
      <c r="J3379">
        <v>5</v>
      </c>
      <c r="K3379">
        <v>5</v>
      </c>
    </row>
    <row r="3380" spans="1:11">
      <c r="A3380">
        <v>90</v>
      </c>
      <c r="B3380" t="b">
        <v>0</v>
      </c>
      <c r="C3380" t="s">
        <v>41967</v>
      </c>
      <c r="D3380">
        <v>1037022454355</v>
      </c>
      <c r="E3380">
        <v>1</v>
      </c>
      <c r="F3380">
        <v>6127971948</v>
      </c>
      <c r="G3380">
        <v>72000000</v>
      </c>
      <c r="H3380" t="s">
        <v>40293</v>
      </c>
      <c r="I3380">
        <v>22460</v>
      </c>
      <c r="J3380">
        <v>1</v>
      </c>
      <c r="K3380">
        <v>1</v>
      </c>
    </row>
    <row r="3381" spans="1:11">
      <c r="A3381">
        <v>90</v>
      </c>
      <c r="B3381" t="b">
        <v>0</v>
      </c>
      <c r="C3381" t="s">
        <v>42355</v>
      </c>
      <c r="D3381">
        <v>1037022454355</v>
      </c>
      <c r="E3381">
        <v>1</v>
      </c>
      <c r="F3381">
        <v>6134192264</v>
      </c>
      <c r="G3381">
        <v>69000000</v>
      </c>
      <c r="H3381" t="s">
        <v>40293</v>
      </c>
      <c r="I3381">
        <v>22460</v>
      </c>
      <c r="J3381">
        <v>8</v>
      </c>
      <c r="K3381">
        <v>8</v>
      </c>
    </row>
    <row r="3382" spans="1:11">
      <c r="A3382">
        <v>90</v>
      </c>
      <c r="B3382" t="b">
        <v>0</v>
      </c>
      <c r="C3382" t="s">
        <v>45834</v>
      </c>
      <c r="D3382">
        <v>1037022454355</v>
      </c>
      <c r="E3382">
        <v>1</v>
      </c>
      <c r="F3382">
        <v>6150642393</v>
      </c>
      <c r="G3382">
        <v>67490000</v>
      </c>
      <c r="H3382" t="s">
        <v>40293</v>
      </c>
      <c r="I3382">
        <v>22460</v>
      </c>
      <c r="J3382">
        <v>2</v>
      </c>
      <c r="K3382">
        <v>2</v>
      </c>
    </row>
    <row r="3383" spans="1:11">
      <c r="A3383">
        <v>90</v>
      </c>
      <c r="B3383" t="b">
        <v>0</v>
      </c>
      <c r="C3383" t="s">
        <v>45742</v>
      </c>
      <c r="D3383">
        <v>1037022454355</v>
      </c>
      <c r="E3383">
        <v>1</v>
      </c>
      <c r="F3383">
        <v>6156441324</v>
      </c>
      <c r="G3383">
        <v>66210000</v>
      </c>
      <c r="H3383" t="s">
        <v>40293</v>
      </c>
      <c r="I3383">
        <v>22460</v>
      </c>
      <c r="J3383">
        <v>9</v>
      </c>
      <c r="K3383">
        <v>9</v>
      </c>
    </row>
    <row r="3384" spans="1:11">
      <c r="A3384">
        <v>90</v>
      </c>
      <c r="B3384" t="b">
        <v>0</v>
      </c>
      <c r="C3384" t="s">
        <v>42228</v>
      </c>
      <c r="D3384">
        <v>1037022454355</v>
      </c>
      <c r="E3384">
        <v>1</v>
      </c>
      <c r="F3384">
        <v>6119190265</v>
      </c>
      <c r="G3384">
        <v>79000000</v>
      </c>
      <c r="H3384" t="s">
        <v>40293</v>
      </c>
      <c r="I3384">
        <v>22464</v>
      </c>
      <c r="J3384">
        <v>4</v>
      </c>
      <c r="K3384">
        <v>15</v>
      </c>
    </row>
    <row r="3385" spans="1:11">
      <c r="A3385">
        <v>90</v>
      </c>
      <c r="B3385" t="b">
        <v>0</v>
      </c>
      <c r="C3385" t="s">
        <v>42363</v>
      </c>
      <c r="D3385">
        <v>1037022454355</v>
      </c>
      <c r="E3385">
        <v>1</v>
      </c>
      <c r="F3385">
        <v>6136239327</v>
      </c>
      <c r="G3385">
        <v>78980000</v>
      </c>
      <c r="H3385" t="s">
        <v>40293</v>
      </c>
      <c r="I3385">
        <v>22464</v>
      </c>
      <c r="J3385">
        <v>5</v>
      </c>
      <c r="K3385">
        <v>5</v>
      </c>
    </row>
    <row r="3386" spans="1:11">
      <c r="A3386">
        <v>90</v>
      </c>
      <c r="B3386" t="b">
        <v>0</v>
      </c>
      <c r="C3386" t="s">
        <v>43514</v>
      </c>
      <c r="D3386">
        <v>1037022454355</v>
      </c>
      <c r="E3386">
        <v>1</v>
      </c>
      <c r="F3386">
        <v>6123636228</v>
      </c>
      <c r="G3386">
        <v>78000000</v>
      </c>
      <c r="H3386" t="s">
        <v>40293</v>
      </c>
      <c r="I3386">
        <v>22464</v>
      </c>
      <c r="J3386">
        <v>1</v>
      </c>
      <c r="K3386">
        <v>10</v>
      </c>
    </row>
    <row r="3387" spans="1:11">
      <c r="A3387">
        <v>30</v>
      </c>
      <c r="B3387" t="b">
        <v>0</v>
      </c>
      <c r="C3387" t="s">
        <v>45224</v>
      </c>
      <c r="D3387">
        <v>1037022454355</v>
      </c>
      <c r="E3387">
        <v>1</v>
      </c>
      <c r="F3387">
        <v>6149469415</v>
      </c>
      <c r="G3387">
        <v>77980000</v>
      </c>
      <c r="H3387" t="s">
        <v>40293</v>
      </c>
      <c r="I3387">
        <v>22464</v>
      </c>
      <c r="J3387">
        <v>1</v>
      </c>
      <c r="K3387">
        <v>1</v>
      </c>
    </row>
    <row r="3388" spans="1:11">
      <c r="A3388">
        <v>90</v>
      </c>
      <c r="B3388" t="b">
        <v>0</v>
      </c>
      <c r="C3388" t="s">
        <v>44504</v>
      </c>
      <c r="D3388">
        <v>1037022454355</v>
      </c>
      <c r="E3388">
        <v>1</v>
      </c>
      <c r="F3388">
        <v>6152427938</v>
      </c>
      <c r="G3388">
        <v>77950000</v>
      </c>
      <c r="H3388" t="s">
        <v>40293</v>
      </c>
      <c r="I3388">
        <v>22464</v>
      </c>
      <c r="J3388">
        <v>1</v>
      </c>
      <c r="K3388">
        <v>1</v>
      </c>
    </row>
    <row r="3389" spans="1:11">
      <c r="A3389">
        <v>90</v>
      </c>
      <c r="B3389" t="b">
        <v>0</v>
      </c>
      <c r="C3389" t="s">
        <v>46515</v>
      </c>
      <c r="D3389">
        <v>1037022454355</v>
      </c>
      <c r="E3389">
        <v>1</v>
      </c>
      <c r="F3389">
        <v>6138634483</v>
      </c>
      <c r="G3389">
        <v>77470000</v>
      </c>
      <c r="H3389" t="s">
        <v>40293</v>
      </c>
      <c r="I3389">
        <v>22464</v>
      </c>
      <c r="J3389">
        <v>5</v>
      </c>
      <c r="K3389">
        <v>5</v>
      </c>
    </row>
    <row r="3390" spans="1:11">
      <c r="A3390">
        <v>90</v>
      </c>
      <c r="B3390" t="b">
        <v>0</v>
      </c>
      <c r="C3390" t="s">
        <v>44567</v>
      </c>
      <c r="D3390">
        <v>1037022454355</v>
      </c>
      <c r="E3390">
        <v>1</v>
      </c>
      <c r="F3390">
        <v>6154716370</v>
      </c>
      <c r="G3390">
        <v>77460000</v>
      </c>
      <c r="H3390" t="s">
        <v>40293</v>
      </c>
      <c r="I3390">
        <v>22464</v>
      </c>
      <c r="J3390">
        <v>24</v>
      </c>
      <c r="K3390">
        <v>26</v>
      </c>
    </row>
    <row r="3391" spans="1:11">
      <c r="A3391">
        <v>90</v>
      </c>
      <c r="B3391" t="b">
        <v>0</v>
      </c>
      <c r="C3391" t="s">
        <v>40754</v>
      </c>
      <c r="D3391">
        <v>1037022454355</v>
      </c>
      <c r="E3391">
        <v>1</v>
      </c>
      <c r="F3391">
        <v>6100363415</v>
      </c>
      <c r="G3391">
        <v>427900000</v>
      </c>
      <c r="H3391" t="s">
        <v>40293</v>
      </c>
      <c r="I3391">
        <v>22468</v>
      </c>
      <c r="J3391">
        <v>3</v>
      </c>
      <c r="K3391">
        <v>5</v>
      </c>
    </row>
    <row r="3392" spans="1:11">
      <c r="A3392">
        <v>90</v>
      </c>
      <c r="B3392" t="b">
        <v>0</v>
      </c>
      <c r="C3392" t="s">
        <v>43056</v>
      </c>
      <c r="D3392">
        <v>1037022454355</v>
      </c>
      <c r="E3392">
        <v>1</v>
      </c>
      <c r="F3392">
        <v>6138696993</v>
      </c>
      <c r="G3392">
        <v>425200000</v>
      </c>
      <c r="H3392" t="s">
        <v>40293</v>
      </c>
      <c r="I3392">
        <v>22468</v>
      </c>
      <c r="J3392">
        <v>8</v>
      </c>
      <c r="K3392">
        <v>8</v>
      </c>
    </row>
    <row r="3393" spans="1:11">
      <c r="A3393">
        <v>90</v>
      </c>
      <c r="B3393" t="b">
        <v>0</v>
      </c>
      <c r="C3393" t="s">
        <v>42032</v>
      </c>
      <c r="D3393">
        <v>1037022454355</v>
      </c>
      <c r="E3393">
        <v>1</v>
      </c>
      <c r="F3393">
        <v>6131302848</v>
      </c>
      <c r="G3393">
        <v>425100000</v>
      </c>
      <c r="H3393" t="s">
        <v>40293</v>
      </c>
      <c r="I3393">
        <v>22468</v>
      </c>
      <c r="J3393">
        <v>1</v>
      </c>
      <c r="K3393">
        <v>4</v>
      </c>
    </row>
    <row r="3394" spans="1:11">
      <c r="A3394">
        <v>90</v>
      </c>
      <c r="B3394" t="b">
        <v>0</v>
      </c>
      <c r="C3394" t="s">
        <v>44529</v>
      </c>
      <c r="D3394">
        <v>1037022454355</v>
      </c>
      <c r="E3394">
        <v>1</v>
      </c>
      <c r="F3394">
        <v>6154689333</v>
      </c>
      <c r="G3394">
        <v>425100000</v>
      </c>
      <c r="H3394" t="s">
        <v>40293</v>
      </c>
      <c r="I3394">
        <v>22474</v>
      </c>
      <c r="J3394">
        <v>1</v>
      </c>
      <c r="K3394">
        <v>2</v>
      </c>
    </row>
    <row r="3395" spans="1:11">
      <c r="A3395">
        <v>90</v>
      </c>
      <c r="B3395" t="b">
        <v>0</v>
      </c>
      <c r="C3395" t="s">
        <v>43755</v>
      </c>
      <c r="D3395">
        <v>1037022454355</v>
      </c>
      <c r="E3395">
        <v>1</v>
      </c>
      <c r="F3395">
        <v>6111537159</v>
      </c>
      <c r="G3395">
        <v>29910000</v>
      </c>
      <c r="H3395" t="s">
        <v>40293</v>
      </c>
      <c r="I3395">
        <v>22534</v>
      </c>
      <c r="J3395">
        <v>2</v>
      </c>
      <c r="K3395">
        <v>7</v>
      </c>
    </row>
    <row r="3396" spans="1:11">
      <c r="A3396">
        <v>90</v>
      </c>
      <c r="B3396" t="b">
        <v>0</v>
      </c>
      <c r="C3396" t="s">
        <v>44876</v>
      </c>
      <c r="D3396">
        <v>1037022454355</v>
      </c>
      <c r="E3396">
        <v>1</v>
      </c>
      <c r="F3396">
        <v>6148431015</v>
      </c>
      <c r="G3396">
        <v>29900000</v>
      </c>
      <c r="H3396" t="s">
        <v>40293</v>
      </c>
      <c r="I3396">
        <v>22534</v>
      </c>
      <c r="J3396">
        <v>6</v>
      </c>
      <c r="K3396">
        <v>10</v>
      </c>
    </row>
    <row r="3397" spans="1:11">
      <c r="A3397">
        <v>90</v>
      </c>
      <c r="B3397" t="b">
        <v>0</v>
      </c>
      <c r="C3397" t="s">
        <v>42053</v>
      </c>
      <c r="D3397">
        <v>1037022454355</v>
      </c>
      <c r="E3397">
        <v>1</v>
      </c>
      <c r="F3397">
        <v>6130636810</v>
      </c>
      <c r="G3397">
        <v>175000000</v>
      </c>
      <c r="H3397" t="s">
        <v>40293</v>
      </c>
      <c r="I3397">
        <v>22535</v>
      </c>
      <c r="J3397">
        <v>1</v>
      </c>
      <c r="K3397">
        <v>5</v>
      </c>
    </row>
    <row r="3398" spans="1:11">
      <c r="A3398">
        <v>90</v>
      </c>
      <c r="B3398" t="b">
        <v>0</v>
      </c>
      <c r="C3398" t="s">
        <v>41090</v>
      </c>
      <c r="D3398">
        <v>1037022454355</v>
      </c>
      <c r="E3398">
        <v>1</v>
      </c>
      <c r="F3398">
        <v>6093686428</v>
      </c>
      <c r="G3398">
        <v>98100</v>
      </c>
      <c r="H3398" t="s">
        <v>40293</v>
      </c>
      <c r="I3398">
        <v>22542</v>
      </c>
      <c r="J3398">
        <v>4</v>
      </c>
      <c r="K3398">
        <v>4</v>
      </c>
    </row>
    <row r="3399" spans="1:11">
      <c r="A3399">
        <v>90</v>
      </c>
      <c r="B3399" t="b">
        <v>0</v>
      </c>
      <c r="C3399" t="s">
        <v>40389</v>
      </c>
      <c r="D3399">
        <v>1037022454355</v>
      </c>
      <c r="E3399">
        <v>1</v>
      </c>
      <c r="F3399">
        <v>6108711231</v>
      </c>
      <c r="G3399">
        <v>97910</v>
      </c>
      <c r="H3399" t="s">
        <v>40293</v>
      </c>
      <c r="I3399">
        <v>22542</v>
      </c>
      <c r="J3399">
        <v>12</v>
      </c>
      <c r="K3399">
        <v>12</v>
      </c>
    </row>
    <row r="3400" spans="1:11">
      <c r="A3400">
        <v>90</v>
      </c>
      <c r="B3400" t="b">
        <v>0</v>
      </c>
      <c r="C3400" t="s">
        <v>45656</v>
      </c>
      <c r="D3400">
        <v>1037022454355</v>
      </c>
      <c r="E3400">
        <v>1</v>
      </c>
      <c r="F3400">
        <v>6154811514</v>
      </c>
      <c r="G3400">
        <v>97900</v>
      </c>
      <c r="H3400" t="s">
        <v>40293</v>
      </c>
      <c r="I3400">
        <v>22542</v>
      </c>
      <c r="J3400">
        <v>50</v>
      </c>
      <c r="K3400">
        <v>50</v>
      </c>
    </row>
    <row r="3401" spans="1:11">
      <c r="A3401">
        <v>90</v>
      </c>
      <c r="B3401" t="b">
        <v>0</v>
      </c>
      <c r="C3401" t="s">
        <v>45364</v>
      </c>
      <c r="D3401">
        <v>1037022454355</v>
      </c>
      <c r="E3401">
        <v>1</v>
      </c>
      <c r="F3401">
        <v>6155125981</v>
      </c>
      <c r="G3401">
        <v>95100</v>
      </c>
      <c r="H3401" t="s">
        <v>40293</v>
      </c>
      <c r="I3401">
        <v>22542</v>
      </c>
      <c r="J3401">
        <v>1</v>
      </c>
      <c r="K3401">
        <v>1</v>
      </c>
    </row>
    <row r="3402" spans="1:11">
      <c r="A3402">
        <v>90</v>
      </c>
      <c r="B3402" t="b">
        <v>0</v>
      </c>
      <c r="C3402" t="s">
        <v>45373</v>
      </c>
      <c r="D3402">
        <v>1037022454355</v>
      </c>
      <c r="E3402">
        <v>1</v>
      </c>
      <c r="F3402">
        <v>6155126121</v>
      </c>
      <c r="G3402">
        <v>95100</v>
      </c>
      <c r="H3402" t="s">
        <v>40293</v>
      </c>
      <c r="I3402">
        <v>22542</v>
      </c>
      <c r="J3402">
        <v>1</v>
      </c>
      <c r="K3402">
        <v>1</v>
      </c>
    </row>
    <row r="3403" spans="1:11">
      <c r="A3403">
        <v>90</v>
      </c>
      <c r="B3403" t="b">
        <v>0</v>
      </c>
      <c r="C3403" t="s">
        <v>45373</v>
      </c>
      <c r="D3403">
        <v>1037022454355</v>
      </c>
      <c r="E3403">
        <v>1</v>
      </c>
      <c r="F3403">
        <v>6155126122</v>
      </c>
      <c r="G3403">
        <v>95100</v>
      </c>
      <c r="H3403" t="s">
        <v>40293</v>
      </c>
      <c r="I3403">
        <v>22542</v>
      </c>
      <c r="J3403">
        <v>1</v>
      </c>
      <c r="K3403">
        <v>1</v>
      </c>
    </row>
    <row r="3404" spans="1:11">
      <c r="A3404">
        <v>90</v>
      </c>
      <c r="B3404" t="b">
        <v>0</v>
      </c>
      <c r="C3404" t="s">
        <v>44655</v>
      </c>
      <c r="D3404">
        <v>1037022454355</v>
      </c>
      <c r="E3404">
        <v>1</v>
      </c>
      <c r="F3404">
        <v>6152947080</v>
      </c>
      <c r="G3404">
        <v>440000000</v>
      </c>
      <c r="H3404" t="s">
        <v>40293</v>
      </c>
      <c r="I3404">
        <v>22544</v>
      </c>
      <c r="J3404">
        <v>2</v>
      </c>
      <c r="K3404">
        <v>2</v>
      </c>
    </row>
    <row r="3405" spans="1:11">
      <c r="A3405">
        <v>90</v>
      </c>
      <c r="B3405" t="b">
        <v>0</v>
      </c>
      <c r="C3405" t="s">
        <v>46093</v>
      </c>
      <c r="D3405">
        <v>1037022454355</v>
      </c>
      <c r="E3405">
        <v>1</v>
      </c>
      <c r="F3405">
        <v>6152677254</v>
      </c>
      <c r="G3405">
        <v>340500000</v>
      </c>
      <c r="H3405" t="s">
        <v>40293</v>
      </c>
      <c r="I3405">
        <v>22544</v>
      </c>
      <c r="J3405">
        <v>2</v>
      </c>
      <c r="K3405">
        <v>12</v>
      </c>
    </row>
    <row r="3406" spans="1:11">
      <c r="A3406">
        <v>90</v>
      </c>
      <c r="B3406" t="b">
        <v>0</v>
      </c>
      <c r="C3406" t="s">
        <v>41482</v>
      </c>
      <c r="D3406">
        <v>1037022454355</v>
      </c>
      <c r="E3406">
        <v>1</v>
      </c>
      <c r="F3406">
        <v>6081603163</v>
      </c>
      <c r="G3406">
        <v>312000000</v>
      </c>
      <c r="H3406" t="s">
        <v>40293</v>
      </c>
      <c r="I3406">
        <v>22546</v>
      </c>
      <c r="J3406">
        <v>2</v>
      </c>
      <c r="K3406">
        <v>2</v>
      </c>
    </row>
    <row r="3407" spans="1:11">
      <c r="A3407">
        <v>90</v>
      </c>
      <c r="B3407" t="b">
        <v>0</v>
      </c>
      <c r="C3407" t="s">
        <v>40631</v>
      </c>
      <c r="D3407">
        <v>1037022454355</v>
      </c>
      <c r="E3407">
        <v>1</v>
      </c>
      <c r="F3407">
        <v>6078307757</v>
      </c>
      <c r="G3407">
        <v>300000000</v>
      </c>
      <c r="H3407" t="s">
        <v>40293</v>
      </c>
      <c r="I3407">
        <v>22546</v>
      </c>
      <c r="J3407">
        <v>1</v>
      </c>
      <c r="K3407">
        <v>1</v>
      </c>
    </row>
    <row r="3408" spans="1:11">
      <c r="A3408">
        <v>90</v>
      </c>
      <c r="B3408" t="b">
        <v>0</v>
      </c>
      <c r="C3408" t="s">
        <v>41240</v>
      </c>
      <c r="D3408">
        <v>1037022454355</v>
      </c>
      <c r="E3408">
        <v>1</v>
      </c>
      <c r="F3408">
        <v>6109024583</v>
      </c>
      <c r="G3408">
        <v>289000000</v>
      </c>
      <c r="H3408" t="s">
        <v>40293</v>
      </c>
      <c r="I3408">
        <v>22546</v>
      </c>
      <c r="J3408">
        <v>1</v>
      </c>
      <c r="K3408">
        <v>1</v>
      </c>
    </row>
    <row r="3409" spans="1:11">
      <c r="A3409">
        <v>90</v>
      </c>
      <c r="B3409" t="b">
        <v>0</v>
      </c>
      <c r="C3409" t="s">
        <v>40712</v>
      </c>
      <c r="D3409">
        <v>1037022454355</v>
      </c>
      <c r="E3409">
        <v>1</v>
      </c>
      <c r="F3409">
        <v>6113731620</v>
      </c>
      <c r="G3409">
        <v>286000000</v>
      </c>
      <c r="H3409" t="s">
        <v>40293</v>
      </c>
      <c r="I3409">
        <v>22546</v>
      </c>
      <c r="J3409">
        <v>4</v>
      </c>
      <c r="K3409">
        <v>4</v>
      </c>
    </row>
    <row r="3410" spans="1:11">
      <c r="A3410">
        <v>90</v>
      </c>
      <c r="B3410" t="b">
        <v>0</v>
      </c>
      <c r="C3410" t="s">
        <v>42084</v>
      </c>
      <c r="D3410">
        <v>1037022454355</v>
      </c>
      <c r="E3410">
        <v>1</v>
      </c>
      <c r="F3410">
        <v>6116812444</v>
      </c>
      <c r="G3410">
        <v>279000000</v>
      </c>
      <c r="H3410" t="s">
        <v>40293</v>
      </c>
      <c r="I3410">
        <v>22546</v>
      </c>
      <c r="J3410">
        <v>9</v>
      </c>
      <c r="K3410">
        <v>10</v>
      </c>
    </row>
    <row r="3411" spans="1:11">
      <c r="A3411">
        <v>90</v>
      </c>
      <c r="B3411" t="b">
        <v>0</v>
      </c>
      <c r="C3411" t="s">
        <v>45014</v>
      </c>
      <c r="D3411">
        <v>1037022454355</v>
      </c>
      <c r="E3411">
        <v>1</v>
      </c>
      <c r="F3411">
        <v>6148698672</v>
      </c>
      <c r="G3411">
        <v>277000000</v>
      </c>
      <c r="H3411" t="s">
        <v>40293</v>
      </c>
      <c r="I3411">
        <v>22546</v>
      </c>
      <c r="J3411">
        <v>4</v>
      </c>
      <c r="K3411">
        <v>6</v>
      </c>
    </row>
    <row r="3412" spans="1:11">
      <c r="A3412">
        <v>90</v>
      </c>
      <c r="B3412" t="b">
        <v>0</v>
      </c>
      <c r="C3412" t="s">
        <v>44850</v>
      </c>
      <c r="D3412">
        <v>1037022454355</v>
      </c>
      <c r="E3412">
        <v>1</v>
      </c>
      <c r="F3412">
        <v>6152006251</v>
      </c>
      <c r="G3412">
        <v>276000000</v>
      </c>
      <c r="H3412" t="s">
        <v>40293</v>
      </c>
      <c r="I3412">
        <v>22546</v>
      </c>
      <c r="J3412">
        <v>1</v>
      </c>
      <c r="K3412">
        <v>1</v>
      </c>
    </row>
    <row r="3413" spans="1:11">
      <c r="A3413">
        <v>90</v>
      </c>
      <c r="B3413" t="b">
        <v>0</v>
      </c>
      <c r="C3413" t="s">
        <v>44606</v>
      </c>
      <c r="D3413">
        <v>1037022454355</v>
      </c>
      <c r="E3413">
        <v>1</v>
      </c>
      <c r="F3413">
        <v>6156263210</v>
      </c>
      <c r="G3413">
        <v>275900000</v>
      </c>
      <c r="H3413" t="s">
        <v>40293</v>
      </c>
      <c r="I3413">
        <v>22546</v>
      </c>
      <c r="J3413">
        <v>2</v>
      </c>
      <c r="K3413">
        <v>2</v>
      </c>
    </row>
    <row r="3414" spans="1:11">
      <c r="A3414">
        <v>90</v>
      </c>
      <c r="B3414" t="b">
        <v>0</v>
      </c>
      <c r="C3414" t="s">
        <v>46292</v>
      </c>
      <c r="D3414">
        <v>1037022454355</v>
      </c>
      <c r="E3414">
        <v>1</v>
      </c>
      <c r="F3414">
        <v>6151860802</v>
      </c>
      <c r="G3414">
        <v>275900000</v>
      </c>
      <c r="H3414" t="s">
        <v>40293</v>
      </c>
      <c r="I3414">
        <v>22546</v>
      </c>
      <c r="J3414">
        <v>3</v>
      </c>
      <c r="K3414">
        <v>3</v>
      </c>
    </row>
    <row r="3415" spans="1:11">
      <c r="A3415">
        <v>90</v>
      </c>
      <c r="B3415" t="b">
        <v>0</v>
      </c>
      <c r="C3415" t="s">
        <v>44107</v>
      </c>
      <c r="D3415">
        <v>1037022454355</v>
      </c>
      <c r="E3415">
        <v>1</v>
      </c>
      <c r="F3415">
        <v>6149374849</v>
      </c>
      <c r="G3415">
        <v>63940000</v>
      </c>
      <c r="H3415" t="s">
        <v>40293</v>
      </c>
      <c r="I3415">
        <v>22559</v>
      </c>
      <c r="J3415">
        <v>13</v>
      </c>
      <c r="K3415">
        <v>20</v>
      </c>
    </row>
    <row r="3416" spans="1:11">
      <c r="A3416">
        <v>90</v>
      </c>
      <c r="B3416" t="b">
        <v>0</v>
      </c>
      <c r="C3416" t="s">
        <v>45035</v>
      </c>
      <c r="D3416">
        <v>1037022454355</v>
      </c>
      <c r="E3416">
        <v>1</v>
      </c>
      <c r="F3416">
        <v>6156628860</v>
      </c>
      <c r="G3416">
        <v>58800000</v>
      </c>
      <c r="H3416" t="s">
        <v>40293</v>
      </c>
      <c r="I3416">
        <v>22559</v>
      </c>
      <c r="J3416">
        <v>17</v>
      </c>
      <c r="K3416">
        <v>17</v>
      </c>
    </row>
    <row r="3417" spans="1:11">
      <c r="A3417">
        <v>90</v>
      </c>
      <c r="B3417" t="b">
        <v>0</v>
      </c>
      <c r="C3417" t="s">
        <v>41534</v>
      </c>
      <c r="D3417">
        <v>1037022454355</v>
      </c>
      <c r="E3417">
        <v>1</v>
      </c>
      <c r="F3417">
        <v>6121679604</v>
      </c>
      <c r="G3417">
        <v>44000000</v>
      </c>
      <c r="H3417" t="s">
        <v>40293</v>
      </c>
      <c r="I3417">
        <v>22570</v>
      </c>
      <c r="J3417">
        <v>1</v>
      </c>
      <c r="K3417">
        <v>2</v>
      </c>
    </row>
    <row r="3418" spans="1:11">
      <c r="A3418">
        <v>30</v>
      </c>
      <c r="B3418" t="b">
        <v>0</v>
      </c>
      <c r="C3418" t="s">
        <v>43243</v>
      </c>
      <c r="D3418">
        <v>1037022454355</v>
      </c>
      <c r="E3418">
        <v>1</v>
      </c>
      <c r="F3418">
        <v>6143158611</v>
      </c>
      <c r="G3418">
        <v>350000000</v>
      </c>
      <c r="H3418" t="s">
        <v>40293</v>
      </c>
      <c r="I3418">
        <v>22571</v>
      </c>
      <c r="J3418">
        <v>2</v>
      </c>
      <c r="K3418">
        <v>2</v>
      </c>
    </row>
    <row r="3419" spans="1:11">
      <c r="A3419">
        <v>90</v>
      </c>
      <c r="B3419" t="b">
        <v>0</v>
      </c>
      <c r="C3419" t="s">
        <v>42378</v>
      </c>
      <c r="D3419">
        <v>1037022454355</v>
      </c>
      <c r="E3419">
        <v>1</v>
      </c>
      <c r="F3419">
        <v>6070933590</v>
      </c>
      <c r="G3419">
        <v>147000</v>
      </c>
      <c r="H3419" t="s">
        <v>40293</v>
      </c>
      <c r="I3419">
        <v>22576</v>
      </c>
      <c r="J3419">
        <v>71</v>
      </c>
      <c r="K3419">
        <v>250</v>
      </c>
    </row>
    <row r="3420" spans="1:11">
      <c r="A3420">
        <v>90</v>
      </c>
      <c r="B3420" t="b">
        <v>0</v>
      </c>
      <c r="C3420" t="s">
        <v>42837</v>
      </c>
      <c r="D3420">
        <v>1037022454355</v>
      </c>
      <c r="E3420">
        <v>1</v>
      </c>
      <c r="F3420">
        <v>6137412022</v>
      </c>
      <c r="G3420">
        <v>145000</v>
      </c>
      <c r="H3420" t="s">
        <v>40293</v>
      </c>
      <c r="I3420">
        <v>22576</v>
      </c>
      <c r="J3420">
        <v>10</v>
      </c>
      <c r="K3420">
        <v>12</v>
      </c>
    </row>
    <row r="3421" spans="1:11">
      <c r="A3421">
        <v>90</v>
      </c>
      <c r="B3421" t="b">
        <v>0</v>
      </c>
      <c r="C3421" t="s">
        <v>43017</v>
      </c>
      <c r="D3421">
        <v>1037022454355</v>
      </c>
      <c r="E3421">
        <v>1</v>
      </c>
      <c r="F3421">
        <v>6134632792</v>
      </c>
      <c r="G3421">
        <v>144700</v>
      </c>
      <c r="H3421" t="s">
        <v>40293</v>
      </c>
      <c r="I3421">
        <v>22576</v>
      </c>
      <c r="J3421">
        <v>3</v>
      </c>
      <c r="K3421">
        <v>10</v>
      </c>
    </row>
    <row r="3422" spans="1:11">
      <c r="A3422">
        <v>90</v>
      </c>
      <c r="B3422" t="b">
        <v>0</v>
      </c>
      <c r="C3422" t="s">
        <v>45800</v>
      </c>
      <c r="D3422">
        <v>1037022454355</v>
      </c>
      <c r="E3422">
        <v>1</v>
      </c>
      <c r="F3422">
        <v>6149986669</v>
      </c>
      <c r="G3422">
        <v>144600</v>
      </c>
      <c r="H3422" t="s">
        <v>40293</v>
      </c>
      <c r="I3422">
        <v>22576</v>
      </c>
      <c r="J3422">
        <v>5</v>
      </c>
      <c r="K3422">
        <v>40</v>
      </c>
    </row>
    <row r="3423" spans="1:11">
      <c r="A3423">
        <v>90</v>
      </c>
      <c r="B3423" t="b">
        <v>0</v>
      </c>
      <c r="C3423" t="s">
        <v>41709</v>
      </c>
      <c r="D3423">
        <v>1037022454355</v>
      </c>
      <c r="E3423">
        <v>1</v>
      </c>
      <c r="F3423">
        <v>6119254501</v>
      </c>
      <c r="G3423">
        <v>20000000</v>
      </c>
      <c r="H3423" t="s">
        <v>40293</v>
      </c>
      <c r="I3423">
        <v>22619</v>
      </c>
      <c r="J3423">
        <v>1</v>
      </c>
      <c r="K3423">
        <v>1</v>
      </c>
    </row>
    <row r="3424" spans="1:11">
      <c r="A3424">
        <v>90</v>
      </c>
      <c r="B3424" t="b">
        <v>0</v>
      </c>
      <c r="C3424" t="s">
        <v>44386</v>
      </c>
      <c r="D3424">
        <v>1037022454355</v>
      </c>
      <c r="E3424">
        <v>1</v>
      </c>
      <c r="F3424">
        <v>6151705367</v>
      </c>
      <c r="G3424">
        <v>150000</v>
      </c>
      <c r="H3424" t="s">
        <v>40293</v>
      </c>
      <c r="I3424">
        <v>22765</v>
      </c>
      <c r="J3424">
        <v>37</v>
      </c>
      <c r="K3424">
        <v>42</v>
      </c>
    </row>
    <row r="3425" spans="1:11">
      <c r="A3425">
        <v>90</v>
      </c>
      <c r="B3425" t="b">
        <v>0</v>
      </c>
      <c r="C3425" t="s">
        <v>40923</v>
      </c>
      <c r="D3425">
        <v>1037022454355</v>
      </c>
      <c r="E3425">
        <v>1</v>
      </c>
      <c r="F3425">
        <v>6107969588</v>
      </c>
      <c r="G3425">
        <v>159900</v>
      </c>
      <c r="H3425" t="s">
        <v>40293</v>
      </c>
      <c r="I3425">
        <v>22778</v>
      </c>
      <c r="J3425">
        <v>150</v>
      </c>
      <c r="K3425">
        <v>200</v>
      </c>
    </row>
    <row r="3426" spans="1:11">
      <c r="A3426">
        <v>90</v>
      </c>
      <c r="B3426" t="b">
        <v>0</v>
      </c>
      <c r="C3426" t="s">
        <v>40920</v>
      </c>
      <c r="D3426">
        <v>1037022454355</v>
      </c>
      <c r="E3426">
        <v>1</v>
      </c>
      <c r="F3426">
        <v>6119923356</v>
      </c>
      <c r="G3426">
        <v>159500</v>
      </c>
      <c r="H3426" t="s">
        <v>40293</v>
      </c>
      <c r="I3426">
        <v>22778</v>
      </c>
      <c r="J3426">
        <v>27</v>
      </c>
      <c r="K3426">
        <v>300</v>
      </c>
    </row>
    <row r="3427" spans="1:11">
      <c r="A3427">
        <v>90</v>
      </c>
      <c r="B3427" t="b">
        <v>0</v>
      </c>
      <c r="C3427" t="s">
        <v>41041</v>
      </c>
      <c r="D3427">
        <v>1037022454355</v>
      </c>
      <c r="E3427">
        <v>1</v>
      </c>
      <c r="F3427">
        <v>6122619455</v>
      </c>
      <c r="G3427">
        <v>156000</v>
      </c>
      <c r="H3427" t="s">
        <v>40293</v>
      </c>
      <c r="I3427">
        <v>22778</v>
      </c>
      <c r="J3427">
        <v>21</v>
      </c>
      <c r="K3427">
        <v>21</v>
      </c>
    </row>
    <row r="3428" spans="1:11">
      <c r="A3428">
        <v>90</v>
      </c>
      <c r="B3428" t="b">
        <v>0</v>
      </c>
      <c r="C3428" t="s">
        <v>41136</v>
      </c>
      <c r="D3428">
        <v>1037022454355</v>
      </c>
      <c r="E3428">
        <v>1</v>
      </c>
      <c r="F3428">
        <v>6123276764</v>
      </c>
      <c r="G3428">
        <v>153000</v>
      </c>
      <c r="H3428" t="s">
        <v>40293</v>
      </c>
      <c r="I3428">
        <v>22778</v>
      </c>
      <c r="J3428">
        <v>6</v>
      </c>
      <c r="K3428">
        <v>6</v>
      </c>
    </row>
    <row r="3429" spans="1:11">
      <c r="A3429">
        <v>90</v>
      </c>
      <c r="B3429" t="b">
        <v>0</v>
      </c>
      <c r="C3429" t="s">
        <v>40961</v>
      </c>
      <c r="D3429">
        <v>1037022454355</v>
      </c>
      <c r="E3429">
        <v>1</v>
      </c>
      <c r="F3429">
        <v>6117604288</v>
      </c>
      <c r="G3429">
        <v>142000</v>
      </c>
      <c r="H3429" t="s">
        <v>40293</v>
      </c>
      <c r="I3429">
        <v>22778</v>
      </c>
      <c r="J3429">
        <v>130</v>
      </c>
      <c r="K3429">
        <v>200</v>
      </c>
    </row>
    <row r="3430" spans="1:11">
      <c r="A3430">
        <v>90</v>
      </c>
      <c r="B3430" t="b">
        <v>0</v>
      </c>
      <c r="C3430" t="s">
        <v>41000</v>
      </c>
      <c r="D3430">
        <v>1037022454355</v>
      </c>
      <c r="E3430">
        <v>1</v>
      </c>
      <c r="F3430">
        <v>6118263439</v>
      </c>
      <c r="G3430">
        <v>141800</v>
      </c>
      <c r="H3430" t="s">
        <v>40293</v>
      </c>
      <c r="I3430">
        <v>22778</v>
      </c>
      <c r="J3430">
        <v>353</v>
      </c>
      <c r="K3430">
        <v>500</v>
      </c>
    </row>
    <row r="3431" spans="1:11">
      <c r="A3431">
        <v>90</v>
      </c>
      <c r="B3431" t="b">
        <v>0</v>
      </c>
      <c r="C3431" t="s">
        <v>41972</v>
      </c>
      <c r="D3431">
        <v>1037022454355</v>
      </c>
      <c r="E3431">
        <v>1</v>
      </c>
      <c r="F3431">
        <v>6128549209</v>
      </c>
      <c r="G3431">
        <v>139400</v>
      </c>
      <c r="H3431" t="s">
        <v>40293</v>
      </c>
      <c r="I3431">
        <v>22778</v>
      </c>
      <c r="J3431">
        <v>254</v>
      </c>
      <c r="K3431">
        <v>407</v>
      </c>
    </row>
    <row r="3432" spans="1:11">
      <c r="A3432">
        <v>90</v>
      </c>
      <c r="B3432" t="b">
        <v>0</v>
      </c>
      <c r="C3432" t="s">
        <v>42026</v>
      </c>
      <c r="D3432">
        <v>1037022454355</v>
      </c>
      <c r="E3432">
        <v>1</v>
      </c>
      <c r="F3432">
        <v>6130696742</v>
      </c>
      <c r="G3432">
        <v>123400</v>
      </c>
      <c r="H3432" t="s">
        <v>40293</v>
      </c>
      <c r="I3432">
        <v>22778</v>
      </c>
      <c r="J3432">
        <v>100</v>
      </c>
      <c r="K3432">
        <v>100</v>
      </c>
    </row>
    <row r="3433" spans="1:11">
      <c r="A3433">
        <v>90</v>
      </c>
      <c r="B3433" t="b">
        <v>0</v>
      </c>
      <c r="C3433" t="s">
        <v>42233</v>
      </c>
      <c r="D3433">
        <v>1037022454355</v>
      </c>
      <c r="E3433">
        <v>1</v>
      </c>
      <c r="F3433">
        <v>6106869795</v>
      </c>
      <c r="G3433">
        <v>120000</v>
      </c>
      <c r="H3433" t="s">
        <v>40293</v>
      </c>
      <c r="I3433">
        <v>22778</v>
      </c>
      <c r="J3433">
        <v>13</v>
      </c>
      <c r="K3433">
        <v>14</v>
      </c>
    </row>
    <row r="3434" spans="1:11">
      <c r="A3434">
        <v>90</v>
      </c>
      <c r="B3434" t="b">
        <v>0</v>
      </c>
      <c r="C3434" t="s">
        <v>42867</v>
      </c>
      <c r="D3434">
        <v>1037022454355</v>
      </c>
      <c r="E3434">
        <v>1</v>
      </c>
      <c r="F3434">
        <v>6134922975</v>
      </c>
      <c r="G3434">
        <v>112000</v>
      </c>
      <c r="H3434" t="s">
        <v>40293</v>
      </c>
      <c r="I3434">
        <v>22778</v>
      </c>
      <c r="J3434">
        <v>25</v>
      </c>
      <c r="K3434">
        <v>25</v>
      </c>
    </row>
    <row r="3435" spans="1:11">
      <c r="A3435">
        <v>90</v>
      </c>
      <c r="B3435" t="b">
        <v>0</v>
      </c>
      <c r="C3435" t="s">
        <v>42530</v>
      </c>
      <c r="D3435">
        <v>1037022454355</v>
      </c>
      <c r="E3435">
        <v>1</v>
      </c>
      <c r="F3435">
        <v>6134938093</v>
      </c>
      <c r="G3435">
        <v>98400</v>
      </c>
      <c r="H3435" t="s">
        <v>40293</v>
      </c>
      <c r="I3435">
        <v>22778</v>
      </c>
      <c r="J3435">
        <v>212</v>
      </c>
      <c r="K3435">
        <v>212</v>
      </c>
    </row>
    <row r="3436" spans="1:11">
      <c r="A3436">
        <v>90</v>
      </c>
      <c r="B3436" t="b">
        <v>0</v>
      </c>
      <c r="C3436" t="s">
        <v>42551</v>
      </c>
      <c r="D3436">
        <v>1037022454355</v>
      </c>
      <c r="E3436">
        <v>1</v>
      </c>
      <c r="F3436">
        <v>6135135788</v>
      </c>
      <c r="G3436">
        <v>89500</v>
      </c>
      <c r="H3436" t="s">
        <v>40293</v>
      </c>
      <c r="I3436">
        <v>22778</v>
      </c>
      <c r="J3436">
        <v>7</v>
      </c>
      <c r="K3436">
        <v>25</v>
      </c>
    </row>
    <row r="3437" spans="1:11">
      <c r="A3437">
        <v>90</v>
      </c>
      <c r="B3437" t="b">
        <v>0</v>
      </c>
      <c r="C3437" t="s">
        <v>42865</v>
      </c>
      <c r="D3437">
        <v>1037022454355</v>
      </c>
      <c r="E3437">
        <v>1</v>
      </c>
      <c r="F3437">
        <v>6136331913</v>
      </c>
      <c r="G3437">
        <v>79990</v>
      </c>
      <c r="H3437" t="s">
        <v>40293</v>
      </c>
      <c r="I3437">
        <v>22778</v>
      </c>
      <c r="J3437">
        <v>556</v>
      </c>
      <c r="K3437">
        <v>556</v>
      </c>
    </row>
    <row r="3438" spans="1:11">
      <c r="A3438">
        <v>30</v>
      </c>
      <c r="B3438" t="b">
        <v>0</v>
      </c>
      <c r="C3438" t="s">
        <v>42359</v>
      </c>
      <c r="D3438">
        <v>1037022454355</v>
      </c>
      <c r="E3438">
        <v>1</v>
      </c>
      <c r="F3438">
        <v>6137680869</v>
      </c>
      <c r="G3438">
        <v>75000</v>
      </c>
      <c r="H3438" t="s">
        <v>40293</v>
      </c>
      <c r="I3438">
        <v>22778</v>
      </c>
      <c r="J3438">
        <v>385</v>
      </c>
      <c r="K3438">
        <v>385</v>
      </c>
    </row>
    <row r="3439" spans="1:11">
      <c r="A3439">
        <v>90</v>
      </c>
      <c r="B3439" t="b">
        <v>0</v>
      </c>
      <c r="C3439" t="s">
        <v>42735</v>
      </c>
      <c r="D3439">
        <v>1037022454355</v>
      </c>
      <c r="E3439">
        <v>1</v>
      </c>
      <c r="F3439">
        <v>6137176913</v>
      </c>
      <c r="G3439">
        <v>75000</v>
      </c>
      <c r="H3439" t="s">
        <v>40293</v>
      </c>
      <c r="I3439">
        <v>22778</v>
      </c>
      <c r="J3439">
        <v>972</v>
      </c>
      <c r="K3439">
        <v>1000</v>
      </c>
    </row>
    <row r="3440" spans="1:11">
      <c r="A3440">
        <v>90</v>
      </c>
      <c r="B3440" t="b">
        <v>0</v>
      </c>
      <c r="C3440" t="s">
        <v>42303</v>
      </c>
      <c r="D3440">
        <v>1037022454355</v>
      </c>
      <c r="E3440">
        <v>1</v>
      </c>
      <c r="F3440">
        <v>6137447161</v>
      </c>
      <c r="G3440">
        <v>74500</v>
      </c>
      <c r="H3440" t="s">
        <v>40293</v>
      </c>
      <c r="I3440">
        <v>22778</v>
      </c>
      <c r="J3440">
        <v>25</v>
      </c>
      <c r="K3440">
        <v>25</v>
      </c>
    </row>
    <row r="3441" spans="1:11">
      <c r="A3441">
        <v>90</v>
      </c>
      <c r="B3441" t="b">
        <v>0</v>
      </c>
      <c r="C3441" t="s">
        <v>43167</v>
      </c>
      <c r="D3441">
        <v>1037022454355</v>
      </c>
      <c r="E3441">
        <v>1</v>
      </c>
      <c r="F3441">
        <v>6143549526</v>
      </c>
      <c r="G3441">
        <v>69420</v>
      </c>
      <c r="H3441" t="s">
        <v>40293</v>
      </c>
      <c r="I3441">
        <v>22778</v>
      </c>
      <c r="J3441">
        <v>332</v>
      </c>
      <c r="K3441">
        <v>1791</v>
      </c>
    </row>
    <row r="3442" spans="1:11">
      <c r="A3442">
        <v>90</v>
      </c>
      <c r="B3442" t="b">
        <v>0</v>
      </c>
      <c r="C3442" t="s">
        <v>46187</v>
      </c>
      <c r="D3442">
        <v>1037022454355</v>
      </c>
      <c r="E3442">
        <v>1</v>
      </c>
      <c r="F3442">
        <v>6156086520</v>
      </c>
      <c r="G3442">
        <v>69410</v>
      </c>
      <c r="H3442" t="s">
        <v>40293</v>
      </c>
      <c r="I3442">
        <v>22778</v>
      </c>
      <c r="J3442">
        <v>250</v>
      </c>
      <c r="K3442">
        <v>300</v>
      </c>
    </row>
    <row r="3443" spans="1:11">
      <c r="A3443">
        <v>90</v>
      </c>
      <c r="B3443" t="b">
        <v>0</v>
      </c>
      <c r="C3443" t="s">
        <v>44301</v>
      </c>
      <c r="D3443">
        <v>1037022454355</v>
      </c>
      <c r="E3443">
        <v>1</v>
      </c>
      <c r="F3443">
        <v>6156291745</v>
      </c>
      <c r="G3443">
        <v>69390</v>
      </c>
      <c r="H3443" t="s">
        <v>40293</v>
      </c>
      <c r="I3443">
        <v>22778</v>
      </c>
      <c r="J3443">
        <v>916</v>
      </c>
      <c r="K3443">
        <v>1000</v>
      </c>
    </row>
    <row r="3444" spans="1:11">
      <c r="A3444">
        <v>90</v>
      </c>
      <c r="B3444" t="b">
        <v>0</v>
      </c>
      <c r="C3444" t="s">
        <v>42417</v>
      </c>
      <c r="D3444">
        <v>1037022454355</v>
      </c>
      <c r="E3444">
        <v>1</v>
      </c>
      <c r="F3444">
        <v>6132801965</v>
      </c>
      <c r="G3444">
        <v>1899000</v>
      </c>
      <c r="H3444" t="s">
        <v>40293</v>
      </c>
      <c r="I3444">
        <v>22782</v>
      </c>
      <c r="J3444">
        <v>38</v>
      </c>
      <c r="K3444">
        <v>39</v>
      </c>
    </row>
    <row r="3445" spans="1:11">
      <c r="A3445">
        <v>90</v>
      </c>
      <c r="B3445" t="b">
        <v>0</v>
      </c>
      <c r="C3445" t="s">
        <v>43115</v>
      </c>
      <c r="D3445">
        <v>1037022454355</v>
      </c>
      <c r="E3445">
        <v>1</v>
      </c>
      <c r="F3445">
        <v>6097246955</v>
      </c>
      <c r="G3445">
        <v>1838000</v>
      </c>
      <c r="H3445" t="s">
        <v>40293</v>
      </c>
      <c r="I3445">
        <v>22782</v>
      </c>
      <c r="J3445">
        <v>5</v>
      </c>
      <c r="K3445">
        <v>7</v>
      </c>
    </row>
    <row r="3446" spans="1:11">
      <c r="A3446">
        <v>90</v>
      </c>
      <c r="B3446" t="b">
        <v>0</v>
      </c>
      <c r="C3446" t="s">
        <v>43801</v>
      </c>
      <c r="D3446">
        <v>1037022454355</v>
      </c>
      <c r="E3446">
        <v>1</v>
      </c>
      <c r="F3446">
        <v>6134918157</v>
      </c>
      <c r="G3446">
        <v>1836000</v>
      </c>
      <c r="H3446" t="s">
        <v>40293</v>
      </c>
      <c r="I3446">
        <v>22782</v>
      </c>
      <c r="J3446">
        <v>87</v>
      </c>
      <c r="K3446">
        <v>100</v>
      </c>
    </row>
    <row r="3447" spans="1:11">
      <c r="A3447">
        <v>90</v>
      </c>
      <c r="B3447" t="b">
        <v>0</v>
      </c>
      <c r="C3447" t="s">
        <v>45707</v>
      </c>
      <c r="D3447">
        <v>1037022454355</v>
      </c>
      <c r="E3447">
        <v>1</v>
      </c>
      <c r="F3447">
        <v>6151165316</v>
      </c>
      <c r="G3447">
        <v>1825000</v>
      </c>
      <c r="H3447" t="s">
        <v>40293</v>
      </c>
      <c r="I3447">
        <v>22782</v>
      </c>
      <c r="J3447">
        <v>2</v>
      </c>
      <c r="K3447">
        <v>2</v>
      </c>
    </row>
    <row r="3448" spans="1:11">
      <c r="A3448">
        <v>90</v>
      </c>
      <c r="B3448" t="b">
        <v>0</v>
      </c>
      <c r="C3448" t="s">
        <v>44453</v>
      </c>
      <c r="D3448">
        <v>1037022454355</v>
      </c>
      <c r="E3448">
        <v>1</v>
      </c>
      <c r="F3448">
        <v>6151772993</v>
      </c>
      <c r="G3448">
        <v>1824000</v>
      </c>
      <c r="H3448" t="s">
        <v>40293</v>
      </c>
      <c r="I3448">
        <v>22782</v>
      </c>
      <c r="J3448">
        <v>25</v>
      </c>
      <c r="K3448">
        <v>25</v>
      </c>
    </row>
    <row r="3449" spans="1:11">
      <c r="A3449">
        <v>90</v>
      </c>
      <c r="B3449" t="b">
        <v>0</v>
      </c>
      <c r="C3449" t="s">
        <v>46480</v>
      </c>
      <c r="D3449">
        <v>1037022454355</v>
      </c>
      <c r="E3449">
        <v>1</v>
      </c>
      <c r="F3449">
        <v>6153420650</v>
      </c>
      <c r="G3449">
        <v>1600000</v>
      </c>
      <c r="H3449" t="s">
        <v>40293</v>
      </c>
      <c r="I3449">
        <v>22782</v>
      </c>
      <c r="J3449">
        <v>1</v>
      </c>
      <c r="K3449">
        <v>5</v>
      </c>
    </row>
    <row r="3450" spans="1:11">
      <c r="A3450">
        <v>90</v>
      </c>
      <c r="B3450" t="b">
        <v>0</v>
      </c>
      <c r="C3450" t="s">
        <v>44701</v>
      </c>
      <c r="D3450">
        <v>1037022454355</v>
      </c>
      <c r="E3450">
        <v>1</v>
      </c>
      <c r="F3450">
        <v>6152692643</v>
      </c>
      <c r="G3450">
        <v>350</v>
      </c>
      <c r="H3450" t="s">
        <v>40293</v>
      </c>
      <c r="I3450">
        <v>22961</v>
      </c>
      <c r="J3450">
        <v>5112</v>
      </c>
      <c r="K3450">
        <v>11907</v>
      </c>
    </row>
    <row r="3451" spans="1:11">
      <c r="A3451">
        <v>90</v>
      </c>
      <c r="B3451" t="b">
        <v>0</v>
      </c>
      <c r="C3451" t="s">
        <v>44656</v>
      </c>
      <c r="D3451">
        <v>1037022454355</v>
      </c>
      <c r="E3451">
        <v>1</v>
      </c>
      <c r="F3451">
        <v>6152692058</v>
      </c>
      <c r="G3451">
        <v>350</v>
      </c>
      <c r="H3451" t="s">
        <v>40293</v>
      </c>
      <c r="I3451">
        <v>22963</v>
      </c>
      <c r="J3451">
        <v>2400</v>
      </c>
      <c r="K3451">
        <v>2400</v>
      </c>
    </row>
    <row r="3452" spans="1:11">
      <c r="A3452">
        <v>90</v>
      </c>
      <c r="B3452" t="b">
        <v>0</v>
      </c>
      <c r="C3452" t="s">
        <v>45727</v>
      </c>
      <c r="D3452">
        <v>1037022454355</v>
      </c>
      <c r="E3452">
        <v>1</v>
      </c>
      <c r="F3452">
        <v>6157391405</v>
      </c>
      <c r="G3452">
        <v>200</v>
      </c>
      <c r="H3452" t="s">
        <v>40293</v>
      </c>
      <c r="I3452">
        <v>22965</v>
      </c>
      <c r="J3452">
        <v>2901</v>
      </c>
      <c r="K3452">
        <v>2901</v>
      </c>
    </row>
    <row r="3453" spans="1:11">
      <c r="A3453">
        <v>90</v>
      </c>
      <c r="B3453" t="b">
        <v>0</v>
      </c>
      <c r="C3453" t="s">
        <v>44642</v>
      </c>
      <c r="D3453">
        <v>1037022454355</v>
      </c>
      <c r="E3453">
        <v>1</v>
      </c>
      <c r="F3453">
        <v>6152691913</v>
      </c>
      <c r="G3453">
        <v>346</v>
      </c>
      <c r="H3453" t="s">
        <v>40293</v>
      </c>
      <c r="I3453">
        <v>22967</v>
      </c>
      <c r="J3453">
        <v>2692</v>
      </c>
      <c r="K3453">
        <v>3892</v>
      </c>
    </row>
    <row r="3454" spans="1:11">
      <c r="A3454">
        <v>90</v>
      </c>
      <c r="B3454" t="b">
        <v>0</v>
      </c>
      <c r="C3454" t="s">
        <v>44662</v>
      </c>
      <c r="D3454">
        <v>1037022454355</v>
      </c>
      <c r="E3454">
        <v>1</v>
      </c>
      <c r="F3454">
        <v>6152692193</v>
      </c>
      <c r="G3454">
        <v>350</v>
      </c>
      <c r="H3454" t="s">
        <v>40293</v>
      </c>
      <c r="I3454">
        <v>22969</v>
      </c>
      <c r="J3454">
        <v>2400</v>
      </c>
      <c r="K3454">
        <v>2400</v>
      </c>
    </row>
    <row r="3455" spans="1:11">
      <c r="A3455">
        <v>90</v>
      </c>
      <c r="B3455" t="b">
        <v>0</v>
      </c>
      <c r="C3455" t="s">
        <v>45608</v>
      </c>
      <c r="D3455">
        <v>1037022454355</v>
      </c>
      <c r="E3455">
        <v>1</v>
      </c>
      <c r="F3455">
        <v>6152692410</v>
      </c>
      <c r="G3455">
        <v>350</v>
      </c>
      <c r="H3455" t="s">
        <v>40293</v>
      </c>
      <c r="I3455">
        <v>22971</v>
      </c>
      <c r="J3455">
        <v>800</v>
      </c>
      <c r="K3455">
        <v>800</v>
      </c>
    </row>
    <row r="3456" spans="1:11">
      <c r="A3456">
        <v>90</v>
      </c>
      <c r="B3456" t="b">
        <v>0</v>
      </c>
      <c r="C3456" t="s">
        <v>44627</v>
      </c>
      <c r="D3456">
        <v>1037022454355</v>
      </c>
      <c r="E3456">
        <v>1</v>
      </c>
      <c r="F3456">
        <v>6152691782</v>
      </c>
      <c r="G3456">
        <v>100</v>
      </c>
      <c r="H3456" t="s">
        <v>40293</v>
      </c>
      <c r="I3456">
        <v>22973</v>
      </c>
      <c r="J3456">
        <v>2400</v>
      </c>
      <c r="K3456">
        <v>2400</v>
      </c>
    </row>
    <row r="3457" spans="1:11">
      <c r="A3457">
        <v>90</v>
      </c>
      <c r="B3457" t="b">
        <v>0</v>
      </c>
      <c r="C3457" t="s">
        <v>45788</v>
      </c>
      <c r="D3457">
        <v>1037022454355</v>
      </c>
      <c r="E3457">
        <v>1</v>
      </c>
      <c r="F3457">
        <v>6152692291</v>
      </c>
      <c r="G3457">
        <v>350</v>
      </c>
      <c r="H3457" t="s">
        <v>40293</v>
      </c>
      <c r="I3457">
        <v>22975</v>
      </c>
      <c r="J3457">
        <v>800</v>
      </c>
      <c r="K3457">
        <v>800</v>
      </c>
    </row>
    <row r="3458" spans="1:11">
      <c r="A3458">
        <v>30</v>
      </c>
      <c r="B3458" t="b">
        <v>0</v>
      </c>
      <c r="C3458" t="s">
        <v>43483</v>
      </c>
      <c r="D3458">
        <v>1037022454355</v>
      </c>
      <c r="E3458">
        <v>1</v>
      </c>
      <c r="F3458">
        <v>6144737868</v>
      </c>
      <c r="G3458">
        <v>1099</v>
      </c>
      <c r="H3458" t="s">
        <v>40293</v>
      </c>
      <c r="I3458">
        <v>22977</v>
      </c>
      <c r="J3458">
        <v>1500</v>
      </c>
      <c r="K3458">
        <v>1500</v>
      </c>
    </row>
    <row r="3459" spans="1:11">
      <c r="A3459">
        <v>90</v>
      </c>
      <c r="B3459" t="b">
        <v>0</v>
      </c>
      <c r="C3459" t="s">
        <v>43658</v>
      </c>
      <c r="D3459">
        <v>1037022454355</v>
      </c>
      <c r="E3459">
        <v>1</v>
      </c>
      <c r="F3459">
        <v>6147168744</v>
      </c>
      <c r="G3459">
        <v>845</v>
      </c>
      <c r="H3459" t="s">
        <v>40293</v>
      </c>
      <c r="I3459">
        <v>22977</v>
      </c>
      <c r="J3459">
        <v>296553</v>
      </c>
      <c r="K3459">
        <v>298553</v>
      </c>
    </row>
    <row r="3460" spans="1:11">
      <c r="A3460">
        <v>90</v>
      </c>
      <c r="B3460" t="b">
        <v>0</v>
      </c>
      <c r="C3460" t="s">
        <v>44716</v>
      </c>
      <c r="D3460">
        <v>1037022454355</v>
      </c>
      <c r="E3460">
        <v>1</v>
      </c>
      <c r="F3460">
        <v>6152692800</v>
      </c>
      <c r="G3460">
        <v>844.9</v>
      </c>
      <c r="H3460" t="s">
        <v>40293</v>
      </c>
      <c r="I3460">
        <v>22977</v>
      </c>
      <c r="J3460">
        <v>2788</v>
      </c>
      <c r="K3460">
        <v>2788</v>
      </c>
    </row>
    <row r="3461" spans="1:11">
      <c r="A3461">
        <v>90</v>
      </c>
      <c r="B3461" t="b">
        <v>0</v>
      </c>
      <c r="C3461" t="s">
        <v>44113</v>
      </c>
      <c r="D3461">
        <v>1037022454355</v>
      </c>
      <c r="E3461">
        <v>1</v>
      </c>
      <c r="F3461">
        <v>6152913873</v>
      </c>
      <c r="G3461">
        <v>844</v>
      </c>
      <c r="H3461" t="s">
        <v>40293</v>
      </c>
      <c r="I3461">
        <v>22977</v>
      </c>
      <c r="J3461">
        <v>335</v>
      </c>
      <c r="K3461">
        <v>335</v>
      </c>
    </row>
    <row r="3462" spans="1:11">
      <c r="A3462">
        <v>30</v>
      </c>
      <c r="B3462" t="b">
        <v>0</v>
      </c>
      <c r="C3462" t="s">
        <v>43483</v>
      </c>
      <c r="D3462">
        <v>1037022454355</v>
      </c>
      <c r="E3462">
        <v>1</v>
      </c>
      <c r="F3462">
        <v>6144737869</v>
      </c>
      <c r="G3462">
        <v>1099</v>
      </c>
      <c r="H3462" t="s">
        <v>40293</v>
      </c>
      <c r="I3462">
        <v>22983</v>
      </c>
      <c r="J3462">
        <v>500</v>
      </c>
      <c r="K3462">
        <v>500</v>
      </c>
    </row>
    <row r="3463" spans="1:11">
      <c r="A3463">
        <v>90</v>
      </c>
      <c r="B3463" t="b">
        <v>0</v>
      </c>
      <c r="C3463" t="s">
        <v>42891</v>
      </c>
      <c r="D3463">
        <v>1037022454355</v>
      </c>
      <c r="E3463">
        <v>1</v>
      </c>
      <c r="F3463">
        <v>6073974977</v>
      </c>
      <c r="G3463">
        <v>800.1</v>
      </c>
      <c r="H3463" t="s">
        <v>40293</v>
      </c>
      <c r="I3463">
        <v>22985</v>
      </c>
      <c r="J3463">
        <v>191805</v>
      </c>
      <c r="K3463">
        <v>202705</v>
      </c>
    </row>
    <row r="3464" spans="1:11">
      <c r="A3464">
        <v>90</v>
      </c>
      <c r="B3464" t="b">
        <v>0</v>
      </c>
      <c r="C3464" t="s">
        <v>42641</v>
      </c>
      <c r="D3464">
        <v>1037022454355</v>
      </c>
      <c r="E3464">
        <v>1</v>
      </c>
      <c r="F3464">
        <v>6136024623</v>
      </c>
      <c r="G3464">
        <v>576</v>
      </c>
      <c r="H3464" t="s">
        <v>40293</v>
      </c>
      <c r="I3464">
        <v>23009</v>
      </c>
      <c r="J3464">
        <v>611951</v>
      </c>
      <c r="K3464">
        <v>624058</v>
      </c>
    </row>
    <row r="3465" spans="1:11">
      <c r="A3465">
        <v>90</v>
      </c>
      <c r="B3465" t="b">
        <v>0</v>
      </c>
      <c r="C3465" t="s">
        <v>46018</v>
      </c>
      <c r="D3465">
        <v>1037022454355</v>
      </c>
      <c r="E3465">
        <v>1</v>
      </c>
      <c r="F3465">
        <v>6153429748</v>
      </c>
      <c r="G3465">
        <v>575.9</v>
      </c>
      <c r="H3465" t="s">
        <v>40293</v>
      </c>
      <c r="I3465">
        <v>23009</v>
      </c>
      <c r="J3465">
        <v>18652</v>
      </c>
      <c r="K3465">
        <v>30000</v>
      </c>
    </row>
    <row r="3466" spans="1:11">
      <c r="A3466">
        <v>90</v>
      </c>
      <c r="B3466" t="b">
        <v>0</v>
      </c>
      <c r="C3466" t="s">
        <v>45835</v>
      </c>
      <c r="D3466">
        <v>1037022454355</v>
      </c>
      <c r="E3466">
        <v>1</v>
      </c>
      <c r="F3466">
        <v>6156291878</v>
      </c>
      <c r="G3466">
        <v>575.79999999999995</v>
      </c>
      <c r="H3466" t="s">
        <v>40293</v>
      </c>
      <c r="I3466">
        <v>23009</v>
      </c>
      <c r="J3466">
        <v>1320</v>
      </c>
      <c r="K3466">
        <v>1320</v>
      </c>
    </row>
    <row r="3467" spans="1:11">
      <c r="A3467">
        <v>90</v>
      </c>
      <c r="B3467" t="b">
        <v>0</v>
      </c>
      <c r="C3467" t="s">
        <v>44032</v>
      </c>
      <c r="D3467">
        <v>1037022454355</v>
      </c>
      <c r="E3467">
        <v>1</v>
      </c>
      <c r="F3467">
        <v>6156599301</v>
      </c>
      <c r="G3467">
        <v>550</v>
      </c>
      <c r="H3467" t="s">
        <v>40293</v>
      </c>
      <c r="I3467">
        <v>23009</v>
      </c>
      <c r="J3467">
        <v>32</v>
      </c>
      <c r="K3467">
        <v>32</v>
      </c>
    </row>
    <row r="3468" spans="1:11">
      <c r="A3468">
        <v>90</v>
      </c>
      <c r="B3468" t="b">
        <v>0</v>
      </c>
      <c r="C3468" t="s">
        <v>46133</v>
      </c>
      <c r="D3468">
        <v>1037022454355</v>
      </c>
      <c r="E3468">
        <v>1</v>
      </c>
      <c r="F3468">
        <v>6157396478</v>
      </c>
      <c r="G3468">
        <v>549</v>
      </c>
      <c r="H3468" t="s">
        <v>40293</v>
      </c>
      <c r="I3468">
        <v>23009</v>
      </c>
      <c r="J3468">
        <v>1614</v>
      </c>
      <c r="K3468">
        <v>1614</v>
      </c>
    </row>
    <row r="3469" spans="1:11">
      <c r="A3469">
        <v>90</v>
      </c>
      <c r="B3469" t="b">
        <v>0</v>
      </c>
      <c r="C3469" t="s">
        <v>42995</v>
      </c>
      <c r="D3469">
        <v>1037022454355</v>
      </c>
      <c r="E3469">
        <v>1</v>
      </c>
      <c r="F3469">
        <v>6077353673</v>
      </c>
      <c r="G3469">
        <v>470.1</v>
      </c>
      <c r="H3469" t="s">
        <v>40293</v>
      </c>
      <c r="I3469">
        <v>23011</v>
      </c>
      <c r="J3469">
        <v>50422</v>
      </c>
      <c r="K3469">
        <v>50922</v>
      </c>
    </row>
    <row r="3470" spans="1:11">
      <c r="A3470">
        <v>90</v>
      </c>
      <c r="B3470" t="b">
        <v>0</v>
      </c>
      <c r="C3470" t="s">
        <v>45927</v>
      </c>
      <c r="D3470">
        <v>1037022454355</v>
      </c>
      <c r="E3470">
        <v>1</v>
      </c>
      <c r="F3470">
        <v>6152693004</v>
      </c>
      <c r="G3470">
        <v>495</v>
      </c>
      <c r="H3470" t="s">
        <v>40293</v>
      </c>
      <c r="I3470">
        <v>23013</v>
      </c>
      <c r="J3470">
        <v>34254</v>
      </c>
      <c r="K3470">
        <v>34254</v>
      </c>
    </row>
    <row r="3471" spans="1:11">
      <c r="A3471">
        <v>90</v>
      </c>
      <c r="B3471" t="b">
        <v>0</v>
      </c>
      <c r="C3471" t="s">
        <v>43909</v>
      </c>
      <c r="D3471">
        <v>1037022454355</v>
      </c>
      <c r="E3471">
        <v>1</v>
      </c>
      <c r="F3471">
        <v>6073972617</v>
      </c>
      <c r="G3471">
        <v>585.1</v>
      </c>
      <c r="H3471" t="s">
        <v>40293</v>
      </c>
      <c r="I3471">
        <v>23015</v>
      </c>
      <c r="J3471">
        <v>482580</v>
      </c>
      <c r="K3471">
        <v>482580</v>
      </c>
    </row>
    <row r="3472" spans="1:11">
      <c r="A3472">
        <v>90</v>
      </c>
      <c r="B3472" t="b">
        <v>0</v>
      </c>
      <c r="C3472" t="s">
        <v>44770</v>
      </c>
      <c r="D3472">
        <v>1037022454355</v>
      </c>
      <c r="E3472">
        <v>1</v>
      </c>
      <c r="F3472">
        <v>6152693322</v>
      </c>
      <c r="G3472">
        <v>244.4</v>
      </c>
      <c r="H3472" t="s">
        <v>40293</v>
      </c>
      <c r="I3472">
        <v>23015</v>
      </c>
      <c r="J3472">
        <v>2763</v>
      </c>
      <c r="K3472">
        <v>2763</v>
      </c>
    </row>
    <row r="3473" spans="1:11">
      <c r="A3473">
        <v>90</v>
      </c>
      <c r="B3473" t="b">
        <v>0</v>
      </c>
      <c r="C3473" t="s">
        <v>46337</v>
      </c>
      <c r="D3473">
        <v>1037022454355</v>
      </c>
      <c r="E3473">
        <v>1</v>
      </c>
      <c r="F3473">
        <v>6152910001</v>
      </c>
      <c r="G3473">
        <v>244</v>
      </c>
      <c r="H3473" t="s">
        <v>40293</v>
      </c>
      <c r="I3473">
        <v>23015</v>
      </c>
      <c r="J3473">
        <v>173</v>
      </c>
      <c r="K3473">
        <v>842</v>
      </c>
    </row>
    <row r="3474" spans="1:11">
      <c r="A3474">
        <v>90</v>
      </c>
      <c r="B3474" t="b">
        <v>0</v>
      </c>
      <c r="C3474" t="s">
        <v>45611</v>
      </c>
      <c r="D3474">
        <v>1037022454355</v>
      </c>
      <c r="E3474">
        <v>1</v>
      </c>
      <c r="F3474">
        <v>6157389938</v>
      </c>
      <c r="G3474">
        <v>243.5</v>
      </c>
      <c r="H3474" t="s">
        <v>40293</v>
      </c>
      <c r="I3474">
        <v>23015</v>
      </c>
      <c r="J3474">
        <v>2000</v>
      </c>
      <c r="K3474">
        <v>2000</v>
      </c>
    </row>
    <row r="3475" spans="1:11">
      <c r="A3475">
        <v>90</v>
      </c>
      <c r="B3475" t="b">
        <v>0</v>
      </c>
      <c r="C3475" t="s">
        <v>43840</v>
      </c>
      <c r="D3475">
        <v>1037022454355</v>
      </c>
      <c r="E3475">
        <v>1</v>
      </c>
      <c r="F3475">
        <v>6073970774</v>
      </c>
      <c r="G3475">
        <v>582.1</v>
      </c>
      <c r="H3475" t="s">
        <v>40293</v>
      </c>
      <c r="I3475">
        <v>23017</v>
      </c>
      <c r="J3475">
        <v>35639</v>
      </c>
      <c r="K3475">
        <v>37315</v>
      </c>
    </row>
    <row r="3476" spans="1:11">
      <c r="A3476">
        <v>90</v>
      </c>
      <c r="B3476" t="b">
        <v>0</v>
      </c>
      <c r="C3476" t="s">
        <v>42978</v>
      </c>
      <c r="D3476">
        <v>1037022454355</v>
      </c>
      <c r="E3476">
        <v>1</v>
      </c>
      <c r="F3476">
        <v>6077353018</v>
      </c>
      <c r="G3476">
        <v>564.1</v>
      </c>
      <c r="H3476" t="s">
        <v>40293</v>
      </c>
      <c r="I3476">
        <v>23019</v>
      </c>
      <c r="J3476">
        <v>49840</v>
      </c>
      <c r="K3476">
        <v>50340</v>
      </c>
    </row>
    <row r="3477" spans="1:11">
      <c r="A3477">
        <v>30</v>
      </c>
      <c r="B3477" t="b">
        <v>0</v>
      </c>
      <c r="C3477" t="s">
        <v>43483</v>
      </c>
      <c r="D3477">
        <v>1037022454355</v>
      </c>
      <c r="E3477">
        <v>1</v>
      </c>
      <c r="F3477">
        <v>6144737865</v>
      </c>
      <c r="G3477">
        <v>564</v>
      </c>
      <c r="H3477" t="s">
        <v>40293</v>
      </c>
      <c r="I3477">
        <v>23019</v>
      </c>
      <c r="J3477">
        <v>1486</v>
      </c>
      <c r="K3477">
        <v>1486</v>
      </c>
    </row>
    <row r="3478" spans="1:11">
      <c r="A3478">
        <v>90</v>
      </c>
      <c r="B3478" t="b">
        <v>0</v>
      </c>
      <c r="C3478" t="s">
        <v>43842</v>
      </c>
      <c r="D3478">
        <v>1037022454355</v>
      </c>
      <c r="E3478">
        <v>1</v>
      </c>
      <c r="F3478">
        <v>6073974126</v>
      </c>
      <c r="G3478">
        <v>576.1</v>
      </c>
      <c r="H3478" t="s">
        <v>40293</v>
      </c>
      <c r="I3478">
        <v>23021</v>
      </c>
      <c r="J3478">
        <v>278689</v>
      </c>
      <c r="K3478">
        <v>278689</v>
      </c>
    </row>
    <row r="3479" spans="1:11">
      <c r="A3479">
        <v>90</v>
      </c>
      <c r="B3479" t="b">
        <v>0</v>
      </c>
      <c r="C3479" t="s">
        <v>44746</v>
      </c>
      <c r="D3479">
        <v>1037022454355</v>
      </c>
      <c r="E3479">
        <v>1</v>
      </c>
      <c r="F3479">
        <v>6152693075</v>
      </c>
      <c r="G3479">
        <v>575</v>
      </c>
      <c r="H3479" t="s">
        <v>40293</v>
      </c>
      <c r="I3479">
        <v>23021</v>
      </c>
      <c r="J3479">
        <v>3114</v>
      </c>
      <c r="K3479">
        <v>3114</v>
      </c>
    </row>
    <row r="3480" spans="1:11">
      <c r="A3480">
        <v>90</v>
      </c>
      <c r="B3480" t="b">
        <v>0</v>
      </c>
      <c r="C3480" t="s">
        <v>43939</v>
      </c>
      <c r="D3480">
        <v>1037022454355</v>
      </c>
      <c r="E3480">
        <v>1</v>
      </c>
      <c r="F3480">
        <v>6140099400</v>
      </c>
      <c r="G3480">
        <v>600.1</v>
      </c>
      <c r="H3480" t="s">
        <v>40293</v>
      </c>
      <c r="I3480">
        <v>23023</v>
      </c>
      <c r="J3480">
        <v>50042</v>
      </c>
      <c r="K3480">
        <v>50542</v>
      </c>
    </row>
    <row r="3481" spans="1:11">
      <c r="A3481">
        <v>90</v>
      </c>
      <c r="B3481" t="b">
        <v>0</v>
      </c>
      <c r="C3481" t="s">
        <v>44257</v>
      </c>
      <c r="D3481">
        <v>1037022454355</v>
      </c>
      <c r="E3481">
        <v>1</v>
      </c>
      <c r="F3481">
        <v>6148361004</v>
      </c>
      <c r="G3481">
        <v>590</v>
      </c>
      <c r="H3481" t="s">
        <v>40293</v>
      </c>
      <c r="I3481">
        <v>23023</v>
      </c>
      <c r="J3481">
        <v>3060</v>
      </c>
      <c r="K3481">
        <v>4800</v>
      </c>
    </row>
    <row r="3482" spans="1:11">
      <c r="A3482">
        <v>90</v>
      </c>
      <c r="B3482" t="b">
        <v>0</v>
      </c>
      <c r="C3482" t="s">
        <v>42967</v>
      </c>
      <c r="D3482">
        <v>1037022454355</v>
      </c>
      <c r="E3482">
        <v>1</v>
      </c>
      <c r="F3482">
        <v>6077352456</v>
      </c>
      <c r="G3482">
        <v>930.1</v>
      </c>
      <c r="H3482" t="s">
        <v>40293</v>
      </c>
      <c r="I3482">
        <v>23025</v>
      </c>
      <c r="J3482">
        <v>23490</v>
      </c>
      <c r="K3482">
        <v>303425</v>
      </c>
    </row>
    <row r="3483" spans="1:11">
      <c r="A3483">
        <v>90</v>
      </c>
      <c r="B3483" t="b">
        <v>0</v>
      </c>
      <c r="C3483" t="s">
        <v>40362</v>
      </c>
      <c r="D3483">
        <v>1037022454355</v>
      </c>
      <c r="E3483">
        <v>1</v>
      </c>
      <c r="F3483">
        <v>6096782978</v>
      </c>
      <c r="G3483">
        <v>920</v>
      </c>
      <c r="H3483" t="s">
        <v>40293</v>
      </c>
      <c r="I3483">
        <v>23025</v>
      </c>
      <c r="J3483">
        <v>80009</v>
      </c>
      <c r="K3483">
        <v>80009</v>
      </c>
    </row>
    <row r="3484" spans="1:11">
      <c r="A3484">
        <v>90</v>
      </c>
      <c r="B3484" t="b">
        <v>0</v>
      </c>
      <c r="C3484" t="s">
        <v>44032</v>
      </c>
      <c r="D3484">
        <v>1037022454355</v>
      </c>
      <c r="E3484">
        <v>1</v>
      </c>
      <c r="F3484">
        <v>6156599300</v>
      </c>
      <c r="G3484">
        <v>700</v>
      </c>
      <c r="H3484" t="s">
        <v>40293</v>
      </c>
      <c r="I3484">
        <v>23025</v>
      </c>
      <c r="J3484">
        <v>91</v>
      </c>
      <c r="K3484">
        <v>91</v>
      </c>
    </row>
    <row r="3485" spans="1:11">
      <c r="A3485">
        <v>90</v>
      </c>
      <c r="B3485" t="b">
        <v>0</v>
      </c>
      <c r="C3485" t="s">
        <v>40737</v>
      </c>
      <c r="D3485">
        <v>1037022454355</v>
      </c>
      <c r="E3485">
        <v>1</v>
      </c>
      <c r="F3485">
        <v>6084568697</v>
      </c>
      <c r="G3485">
        <v>676.8</v>
      </c>
      <c r="H3485" t="s">
        <v>40293</v>
      </c>
      <c r="I3485">
        <v>23025</v>
      </c>
      <c r="J3485">
        <v>64158</v>
      </c>
      <c r="K3485">
        <v>762451</v>
      </c>
    </row>
    <row r="3486" spans="1:11">
      <c r="A3486">
        <v>90</v>
      </c>
      <c r="B3486" t="b">
        <v>0</v>
      </c>
      <c r="C3486" t="s">
        <v>44858</v>
      </c>
      <c r="D3486">
        <v>1037022454355</v>
      </c>
      <c r="E3486">
        <v>1</v>
      </c>
      <c r="F3486">
        <v>6156626684</v>
      </c>
      <c r="G3486">
        <v>600</v>
      </c>
      <c r="H3486" t="s">
        <v>40293</v>
      </c>
      <c r="I3486">
        <v>23025</v>
      </c>
      <c r="J3486">
        <v>2326</v>
      </c>
      <c r="K3486">
        <v>10000</v>
      </c>
    </row>
    <row r="3487" spans="1:11">
      <c r="A3487">
        <v>90</v>
      </c>
      <c r="B3487" t="b">
        <v>0</v>
      </c>
      <c r="C3487" t="s">
        <v>42986</v>
      </c>
      <c r="D3487">
        <v>1037022454355</v>
      </c>
      <c r="E3487">
        <v>1</v>
      </c>
      <c r="F3487">
        <v>6077353440</v>
      </c>
      <c r="G3487">
        <v>756.1</v>
      </c>
      <c r="H3487" t="s">
        <v>40293</v>
      </c>
      <c r="I3487">
        <v>23027</v>
      </c>
      <c r="J3487">
        <v>29750</v>
      </c>
      <c r="K3487">
        <v>50000</v>
      </c>
    </row>
    <row r="3488" spans="1:11">
      <c r="A3488">
        <v>90</v>
      </c>
      <c r="B3488" t="b">
        <v>0</v>
      </c>
      <c r="C3488" t="s">
        <v>42358</v>
      </c>
      <c r="D3488">
        <v>1037022454355</v>
      </c>
      <c r="E3488">
        <v>1</v>
      </c>
      <c r="F3488">
        <v>6132077446</v>
      </c>
      <c r="G3488">
        <v>700</v>
      </c>
      <c r="H3488" t="s">
        <v>40293</v>
      </c>
      <c r="I3488">
        <v>23027</v>
      </c>
      <c r="J3488">
        <v>13000</v>
      </c>
      <c r="K3488">
        <v>40000</v>
      </c>
    </row>
    <row r="3489" spans="1:11">
      <c r="A3489">
        <v>90</v>
      </c>
      <c r="B3489" t="b">
        <v>0</v>
      </c>
      <c r="C3489" t="s">
        <v>43502</v>
      </c>
      <c r="D3489">
        <v>1037022454355</v>
      </c>
      <c r="E3489">
        <v>1</v>
      </c>
      <c r="F3489">
        <v>6145131644</v>
      </c>
      <c r="G3489">
        <v>1200</v>
      </c>
      <c r="H3489" t="s">
        <v>40293</v>
      </c>
      <c r="I3489">
        <v>23029</v>
      </c>
      <c r="J3489">
        <v>25000</v>
      </c>
      <c r="K3489">
        <v>25000</v>
      </c>
    </row>
    <row r="3490" spans="1:11">
      <c r="A3490">
        <v>90</v>
      </c>
      <c r="B3490" t="b">
        <v>0</v>
      </c>
      <c r="C3490" t="s">
        <v>41360</v>
      </c>
      <c r="D3490">
        <v>1037022454355</v>
      </c>
      <c r="E3490">
        <v>1</v>
      </c>
      <c r="F3490">
        <v>6090348902</v>
      </c>
      <c r="G3490">
        <v>1100</v>
      </c>
      <c r="H3490" t="s">
        <v>40293</v>
      </c>
      <c r="I3490">
        <v>23031</v>
      </c>
      <c r="J3490">
        <v>737</v>
      </c>
      <c r="K3490">
        <v>911</v>
      </c>
    </row>
    <row r="3491" spans="1:11">
      <c r="A3491">
        <v>90</v>
      </c>
      <c r="B3491" t="b">
        <v>0</v>
      </c>
      <c r="C3491" t="s">
        <v>45336</v>
      </c>
      <c r="D3491">
        <v>1037022454355</v>
      </c>
      <c r="E3491">
        <v>1</v>
      </c>
      <c r="F3491">
        <v>6090769343</v>
      </c>
      <c r="G3491">
        <v>1015</v>
      </c>
      <c r="H3491" t="s">
        <v>40293</v>
      </c>
      <c r="I3491">
        <v>23031</v>
      </c>
      <c r="J3491">
        <v>165425</v>
      </c>
      <c r="K3491">
        <v>165425</v>
      </c>
    </row>
    <row r="3492" spans="1:11">
      <c r="A3492">
        <v>90</v>
      </c>
      <c r="B3492" t="b">
        <v>0</v>
      </c>
      <c r="C3492" t="s">
        <v>40560</v>
      </c>
      <c r="D3492">
        <v>1037022454355</v>
      </c>
      <c r="E3492">
        <v>1</v>
      </c>
      <c r="F3492">
        <v>6088142515</v>
      </c>
      <c r="G3492">
        <v>992.5</v>
      </c>
      <c r="H3492" t="s">
        <v>40293</v>
      </c>
      <c r="I3492">
        <v>23031</v>
      </c>
      <c r="J3492">
        <v>29115</v>
      </c>
      <c r="K3492">
        <v>200000</v>
      </c>
    </row>
    <row r="3493" spans="1:11">
      <c r="A3493">
        <v>90</v>
      </c>
      <c r="B3493" t="b">
        <v>0</v>
      </c>
      <c r="C3493" t="s">
        <v>42555</v>
      </c>
      <c r="D3493">
        <v>1037022454355</v>
      </c>
      <c r="E3493">
        <v>1</v>
      </c>
      <c r="F3493">
        <v>6083919525</v>
      </c>
      <c r="G3493">
        <v>949.8</v>
      </c>
      <c r="H3493" t="s">
        <v>40293</v>
      </c>
      <c r="I3493">
        <v>23031</v>
      </c>
      <c r="J3493">
        <v>557561</v>
      </c>
      <c r="K3493">
        <v>1016613</v>
      </c>
    </row>
    <row r="3494" spans="1:11">
      <c r="A3494">
        <v>30</v>
      </c>
      <c r="B3494" t="b">
        <v>0</v>
      </c>
      <c r="C3494" t="s">
        <v>43005</v>
      </c>
      <c r="D3494">
        <v>1037022454355</v>
      </c>
      <c r="E3494">
        <v>1</v>
      </c>
      <c r="F3494">
        <v>6144659436</v>
      </c>
      <c r="G3494">
        <v>949.7</v>
      </c>
      <c r="H3494" t="s">
        <v>40293</v>
      </c>
      <c r="I3494">
        <v>23031</v>
      </c>
      <c r="J3494">
        <v>7949</v>
      </c>
      <c r="K3494">
        <v>7949</v>
      </c>
    </row>
    <row r="3495" spans="1:11">
      <c r="A3495">
        <v>30</v>
      </c>
      <c r="B3495" t="b">
        <v>0</v>
      </c>
      <c r="C3495" t="s">
        <v>43712</v>
      </c>
      <c r="D3495">
        <v>1037022454355</v>
      </c>
      <c r="E3495">
        <v>1</v>
      </c>
      <c r="F3495">
        <v>6102737218</v>
      </c>
      <c r="G3495">
        <v>949.6</v>
      </c>
      <c r="H3495" t="s">
        <v>40293</v>
      </c>
      <c r="I3495">
        <v>23031</v>
      </c>
      <c r="J3495">
        <v>270969</v>
      </c>
      <c r="K3495">
        <v>296500</v>
      </c>
    </row>
    <row r="3496" spans="1:11">
      <c r="A3496">
        <v>14</v>
      </c>
      <c r="B3496" t="b">
        <v>0</v>
      </c>
      <c r="C3496" t="s">
        <v>46299</v>
      </c>
      <c r="D3496">
        <v>1037022454355</v>
      </c>
      <c r="E3496">
        <v>1</v>
      </c>
      <c r="F3496">
        <v>6084194934</v>
      </c>
      <c r="G3496">
        <v>949.5</v>
      </c>
      <c r="H3496" t="s">
        <v>40293</v>
      </c>
      <c r="I3496">
        <v>23031</v>
      </c>
      <c r="J3496">
        <v>378341</v>
      </c>
      <c r="K3496">
        <v>490000</v>
      </c>
    </row>
    <row r="3497" spans="1:11">
      <c r="A3497">
        <v>90</v>
      </c>
      <c r="B3497" t="b">
        <v>0</v>
      </c>
      <c r="C3497" t="s">
        <v>44151</v>
      </c>
      <c r="D3497">
        <v>1037022454355</v>
      </c>
      <c r="E3497">
        <v>1</v>
      </c>
      <c r="F3497">
        <v>6157534682</v>
      </c>
      <c r="G3497">
        <v>949.4</v>
      </c>
      <c r="H3497" t="s">
        <v>40293</v>
      </c>
      <c r="I3497">
        <v>23031</v>
      </c>
      <c r="J3497">
        <v>11000</v>
      </c>
      <c r="K3497">
        <v>11000</v>
      </c>
    </row>
    <row r="3498" spans="1:11">
      <c r="A3498">
        <v>90</v>
      </c>
      <c r="B3498" t="b">
        <v>0</v>
      </c>
      <c r="C3498" t="s">
        <v>43831</v>
      </c>
      <c r="D3498">
        <v>1037022454355</v>
      </c>
      <c r="E3498">
        <v>1</v>
      </c>
      <c r="F3498">
        <v>6073970463</v>
      </c>
      <c r="G3498">
        <v>800.1</v>
      </c>
      <c r="H3498" t="s">
        <v>40293</v>
      </c>
      <c r="I3498">
        <v>23033</v>
      </c>
      <c r="J3498">
        <v>92212</v>
      </c>
      <c r="K3498">
        <v>96812</v>
      </c>
    </row>
    <row r="3499" spans="1:11">
      <c r="A3499">
        <v>90</v>
      </c>
      <c r="B3499" t="b">
        <v>0</v>
      </c>
      <c r="C3499" t="s">
        <v>44978</v>
      </c>
      <c r="D3499">
        <v>1037022454355</v>
      </c>
      <c r="E3499">
        <v>1</v>
      </c>
      <c r="F3499">
        <v>6152859794</v>
      </c>
      <c r="G3499">
        <v>800</v>
      </c>
      <c r="H3499" t="s">
        <v>40293</v>
      </c>
      <c r="I3499">
        <v>23033</v>
      </c>
      <c r="J3499">
        <v>1252</v>
      </c>
      <c r="K3499">
        <v>5802</v>
      </c>
    </row>
    <row r="3500" spans="1:11">
      <c r="A3500">
        <v>90</v>
      </c>
      <c r="B3500" t="b">
        <v>0</v>
      </c>
      <c r="C3500" t="s">
        <v>42973</v>
      </c>
      <c r="D3500">
        <v>1037022454355</v>
      </c>
      <c r="E3500">
        <v>1</v>
      </c>
      <c r="F3500">
        <v>6077352763</v>
      </c>
      <c r="G3500">
        <v>828.1</v>
      </c>
      <c r="H3500" t="s">
        <v>40293</v>
      </c>
      <c r="I3500">
        <v>23035</v>
      </c>
      <c r="J3500">
        <v>11447</v>
      </c>
      <c r="K3500">
        <v>50000</v>
      </c>
    </row>
    <row r="3501" spans="1:11">
      <c r="A3501">
        <v>90</v>
      </c>
      <c r="B3501" t="b">
        <v>0</v>
      </c>
      <c r="C3501" t="s">
        <v>45831</v>
      </c>
      <c r="D3501">
        <v>1037022454355</v>
      </c>
      <c r="E3501">
        <v>1</v>
      </c>
      <c r="F3501">
        <v>6152346286</v>
      </c>
      <c r="G3501">
        <v>800</v>
      </c>
      <c r="H3501" t="s">
        <v>40293</v>
      </c>
      <c r="I3501">
        <v>23035</v>
      </c>
      <c r="J3501">
        <v>1970</v>
      </c>
      <c r="K3501">
        <v>1970</v>
      </c>
    </row>
    <row r="3502" spans="1:11">
      <c r="A3502">
        <v>90</v>
      </c>
      <c r="B3502" t="b">
        <v>0</v>
      </c>
      <c r="C3502" t="s">
        <v>44278</v>
      </c>
      <c r="D3502">
        <v>1037022454355</v>
      </c>
      <c r="E3502">
        <v>1</v>
      </c>
      <c r="F3502">
        <v>6153366718</v>
      </c>
      <c r="G3502">
        <v>800</v>
      </c>
      <c r="H3502" t="s">
        <v>40293</v>
      </c>
      <c r="I3502">
        <v>23035</v>
      </c>
      <c r="J3502">
        <v>1500</v>
      </c>
      <c r="K3502">
        <v>1500</v>
      </c>
    </row>
    <row r="3503" spans="1:11">
      <c r="A3503">
        <v>90</v>
      </c>
      <c r="B3503" t="b">
        <v>0</v>
      </c>
      <c r="C3503" t="s">
        <v>45103</v>
      </c>
      <c r="D3503">
        <v>1037022454355</v>
      </c>
      <c r="E3503">
        <v>1</v>
      </c>
      <c r="F3503">
        <v>6152909770</v>
      </c>
      <c r="G3503">
        <v>799</v>
      </c>
      <c r="H3503" t="s">
        <v>40293</v>
      </c>
      <c r="I3503">
        <v>23035</v>
      </c>
      <c r="J3503">
        <v>1000</v>
      </c>
      <c r="K3503">
        <v>1000</v>
      </c>
    </row>
    <row r="3504" spans="1:11">
      <c r="A3504">
        <v>90</v>
      </c>
      <c r="B3504" t="b">
        <v>0</v>
      </c>
      <c r="C3504" t="s">
        <v>44862</v>
      </c>
      <c r="D3504">
        <v>1037022454355</v>
      </c>
      <c r="E3504">
        <v>1</v>
      </c>
      <c r="F3504">
        <v>6156626747</v>
      </c>
      <c r="G3504">
        <v>600</v>
      </c>
      <c r="H3504" t="s">
        <v>40293</v>
      </c>
      <c r="I3504">
        <v>23035</v>
      </c>
      <c r="J3504">
        <v>2800</v>
      </c>
      <c r="K3504">
        <v>8800</v>
      </c>
    </row>
    <row r="3505" spans="1:11">
      <c r="A3505">
        <v>90</v>
      </c>
      <c r="B3505" t="b">
        <v>0</v>
      </c>
      <c r="C3505" t="s">
        <v>45439</v>
      </c>
      <c r="D3505">
        <v>1037022454355</v>
      </c>
      <c r="E3505">
        <v>1</v>
      </c>
      <c r="F3505">
        <v>6154602593</v>
      </c>
      <c r="G3505">
        <v>599</v>
      </c>
      <c r="H3505" t="s">
        <v>40293</v>
      </c>
      <c r="I3505">
        <v>23035</v>
      </c>
      <c r="J3505">
        <v>2335</v>
      </c>
      <c r="K3505">
        <v>2500</v>
      </c>
    </row>
    <row r="3506" spans="1:11">
      <c r="A3506">
        <v>90</v>
      </c>
      <c r="B3506" t="b">
        <v>0</v>
      </c>
      <c r="C3506" t="s">
        <v>40626</v>
      </c>
      <c r="D3506">
        <v>1037022454355</v>
      </c>
      <c r="E3506">
        <v>1</v>
      </c>
      <c r="F3506">
        <v>6102424906</v>
      </c>
      <c r="G3506">
        <v>940</v>
      </c>
      <c r="H3506" t="s">
        <v>40293</v>
      </c>
      <c r="I3506">
        <v>23037</v>
      </c>
      <c r="J3506">
        <v>145411</v>
      </c>
      <c r="K3506">
        <v>234992</v>
      </c>
    </row>
    <row r="3507" spans="1:11">
      <c r="A3507">
        <v>90</v>
      </c>
      <c r="B3507" t="b">
        <v>0</v>
      </c>
      <c r="C3507" t="s">
        <v>43753</v>
      </c>
      <c r="D3507">
        <v>1037022454355</v>
      </c>
      <c r="E3507">
        <v>1</v>
      </c>
      <c r="F3507">
        <v>6145762775</v>
      </c>
      <c r="G3507">
        <v>900</v>
      </c>
      <c r="H3507" t="s">
        <v>40293</v>
      </c>
      <c r="I3507">
        <v>23039</v>
      </c>
      <c r="J3507">
        <v>139414</v>
      </c>
      <c r="K3507">
        <v>150000</v>
      </c>
    </row>
    <row r="3508" spans="1:11">
      <c r="A3508">
        <v>90</v>
      </c>
      <c r="B3508" t="b">
        <v>0</v>
      </c>
      <c r="C3508" t="s">
        <v>44797</v>
      </c>
      <c r="D3508">
        <v>1037022454355</v>
      </c>
      <c r="E3508">
        <v>1</v>
      </c>
      <c r="F3508">
        <v>6152693609</v>
      </c>
      <c r="G3508">
        <v>1200</v>
      </c>
      <c r="H3508" t="s">
        <v>40293</v>
      </c>
      <c r="I3508">
        <v>23041</v>
      </c>
      <c r="J3508">
        <v>2605</v>
      </c>
      <c r="K3508">
        <v>2605</v>
      </c>
    </row>
    <row r="3509" spans="1:11">
      <c r="A3509">
        <v>90</v>
      </c>
      <c r="B3509" t="b">
        <v>0</v>
      </c>
      <c r="C3509" t="s">
        <v>43497</v>
      </c>
      <c r="D3509">
        <v>1037022454355</v>
      </c>
      <c r="E3509">
        <v>1</v>
      </c>
      <c r="F3509">
        <v>6145131569</v>
      </c>
      <c r="G3509">
        <v>2250</v>
      </c>
      <c r="H3509" t="s">
        <v>40293</v>
      </c>
      <c r="I3509">
        <v>23043</v>
      </c>
      <c r="J3509">
        <v>30000</v>
      </c>
      <c r="K3509">
        <v>30000</v>
      </c>
    </row>
    <row r="3510" spans="1:11">
      <c r="A3510">
        <v>90</v>
      </c>
      <c r="B3510" t="b">
        <v>0</v>
      </c>
      <c r="C3510" t="s">
        <v>41437</v>
      </c>
      <c r="D3510">
        <v>1037022454355</v>
      </c>
      <c r="E3510">
        <v>1</v>
      </c>
      <c r="F3510">
        <v>6110635395</v>
      </c>
      <c r="G3510">
        <v>1250</v>
      </c>
      <c r="H3510" t="s">
        <v>40293</v>
      </c>
      <c r="I3510">
        <v>23045</v>
      </c>
      <c r="J3510">
        <v>172589</v>
      </c>
      <c r="K3510">
        <v>262359</v>
      </c>
    </row>
    <row r="3511" spans="1:11">
      <c r="A3511">
        <v>90</v>
      </c>
      <c r="B3511" t="b">
        <v>0</v>
      </c>
      <c r="C3511" t="s">
        <v>43821</v>
      </c>
      <c r="D3511">
        <v>1037022454355</v>
      </c>
      <c r="E3511">
        <v>1</v>
      </c>
      <c r="F3511">
        <v>6073970132</v>
      </c>
      <c r="G3511">
        <v>1681</v>
      </c>
      <c r="H3511" t="s">
        <v>40293</v>
      </c>
      <c r="I3511">
        <v>23047</v>
      </c>
      <c r="J3511">
        <v>514507</v>
      </c>
      <c r="K3511">
        <v>521508</v>
      </c>
    </row>
    <row r="3512" spans="1:11">
      <c r="A3512">
        <v>90</v>
      </c>
      <c r="B3512" t="b">
        <v>0</v>
      </c>
      <c r="C3512" t="s">
        <v>40734</v>
      </c>
      <c r="D3512">
        <v>1037022454355</v>
      </c>
      <c r="E3512">
        <v>1</v>
      </c>
      <c r="F3512">
        <v>6118647344</v>
      </c>
      <c r="G3512">
        <v>1500</v>
      </c>
      <c r="H3512" t="s">
        <v>40293</v>
      </c>
      <c r="I3512">
        <v>23047</v>
      </c>
      <c r="J3512">
        <v>1028</v>
      </c>
      <c r="K3512">
        <v>1500</v>
      </c>
    </row>
    <row r="3513" spans="1:11">
      <c r="A3513">
        <v>90</v>
      </c>
      <c r="B3513" t="b">
        <v>0</v>
      </c>
      <c r="C3513" t="s">
        <v>44874</v>
      </c>
      <c r="D3513">
        <v>1037022454355</v>
      </c>
      <c r="E3513">
        <v>1</v>
      </c>
      <c r="F3513">
        <v>6152694757</v>
      </c>
      <c r="G3513">
        <v>1499</v>
      </c>
      <c r="H3513" t="s">
        <v>40293</v>
      </c>
      <c r="I3513">
        <v>23047</v>
      </c>
      <c r="J3513">
        <v>3000</v>
      </c>
      <c r="K3513">
        <v>3000</v>
      </c>
    </row>
    <row r="3514" spans="1:11">
      <c r="A3514">
        <v>90</v>
      </c>
      <c r="B3514" t="b">
        <v>0</v>
      </c>
      <c r="C3514" t="s">
        <v>42971</v>
      </c>
      <c r="D3514">
        <v>1037022454355</v>
      </c>
      <c r="E3514">
        <v>1</v>
      </c>
      <c r="F3514">
        <v>6077352654</v>
      </c>
      <c r="G3514">
        <v>1134</v>
      </c>
      <c r="H3514" t="s">
        <v>40293</v>
      </c>
      <c r="I3514">
        <v>23049</v>
      </c>
      <c r="J3514">
        <v>8000</v>
      </c>
      <c r="K3514">
        <v>50000</v>
      </c>
    </row>
    <row r="3515" spans="1:11">
      <c r="A3515">
        <v>90</v>
      </c>
      <c r="B3515" t="b">
        <v>0</v>
      </c>
      <c r="C3515" t="s">
        <v>43941</v>
      </c>
      <c r="D3515">
        <v>1037022454355</v>
      </c>
      <c r="E3515">
        <v>1</v>
      </c>
      <c r="F3515">
        <v>6073973598</v>
      </c>
      <c r="G3515">
        <v>1381</v>
      </c>
      <c r="H3515" t="s">
        <v>40293</v>
      </c>
      <c r="I3515">
        <v>23051</v>
      </c>
      <c r="J3515">
        <v>377478</v>
      </c>
      <c r="K3515">
        <v>378178</v>
      </c>
    </row>
    <row r="3516" spans="1:11">
      <c r="A3516">
        <v>90</v>
      </c>
      <c r="B3516" t="b">
        <v>0</v>
      </c>
      <c r="C3516" t="s">
        <v>44756</v>
      </c>
      <c r="D3516">
        <v>1037022454355</v>
      </c>
      <c r="E3516">
        <v>1</v>
      </c>
      <c r="F3516">
        <v>6152693205</v>
      </c>
      <c r="G3516">
        <v>1380</v>
      </c>
      <c r="H3516" t="s">
        <v>40293</v>
      </c>
      <c r="I3516">
        <v>23051</v>
      </c>
      <c r="J3516">
        <v>3000</v>
      </c>
      <c r="K3516">
        <v>3000</v>
      </c>
    </row>
    <row r="3517" spans="1:11">
      <c r="A3517">
        <v>90</v>
      </c>
      <c r="B3517" t="b">
        <v>0</v>
      </c>
      <c r="C3517" t="s">
        <v>43935</v>
      </c>
      <c r="D3517">
        <v>1037022454355</v>
      </c>
      <c r="E3517">
        <v>1</v>
      </c>
      <c r="F3517">
        <v>6140099280</v>
      </c>
      <c r="G3517">
        <v>1300</v>
      </c>
      <c r="H3517" t="s">
        <v>40293</v>
      </c>
      <c r="I3517">
        <v>23053</v>
      </c>
      <c r="J3517">
        <v>22432</v>
      </c>
      <c r="K3517">
        <v>24896</v>
      </c>
    </row>
    <row r="3518" spans="1:11">
      <c r="A3518">
        <v>90</v>
      </c>
      <c r="B3518" t="b">
        <v>0</v>
      </c>
      <c r="C3518" t="s">
        <v>44970</v>
      </c>
      <c r="D3518">
        <v>1037022454355</v>
      </c>
      <c r="E3518">
        <v>1</v>
      </c>
      <c r="F3518">
        <v>6153777218</v>
      </c>
      <c r="G3518">
        <v>3500000</v>
      </c>
      <c r="H3518" t="s">
        <v>40293</v>
      </c>
      <c r="I3518">
        <v>23055</v>
      </c>
      <c r="J3518">
        <v>12</v>
      </c>
      <c r="K3518">
        <v>65</v>
      </c>
    </row>
    <row r="3519" spans="1:11">
      <c r="A3519">
        <v>7</v>
      </c>
      <c r="B3519" t="b">
        <v>0</v>
      </c>
      <c r="C3519" t="s">
        <v>45076</v>
      </c>
      <c r="D3519">
        <v>1037022454355</v>
      </c>
      <c r="E3519">
        <v>1</v>
      </c>
      <c r="F3519">
        <v>6156801044</v>
      </c>
      <c r="G3519">
        <v>3400000</v>
      </c>
      <c r="H3519" t="s">
        <v>40293</v>
      </c>
      <c r="I3519">
        <v>23055</v>
      </c>
      <c r="J3519">
        <v>48</v>
      </c>
      <c r="K3519">
        <v>48</v>
      </c>
    </row>
    <row r="3520" spans="1:11">
      <c r="A3520">
        <v>90</v>
      </c>
      <c r="B3520" t="b">
        <v>0</v>
      </c>
      <c r="C3520" t="s">
        <v>44381</v>
      </c>
      <c r="D3520">
        <v>1037022454355</v>
      </c>
      <c r="E3520">
        <v>1</v>
      </c>
      <c r="F3520">
        <v>6155408121</v>
      </c>
      <c r="G3520">
        <v>5512000</v>
      </c>
      <c r="H3520" t="s">
        <v>40293</v>
      </c>
      <c r="I3520">
        <v>23057</v>
      </c>
      <c r="J3520">
        <v>14</v>
      </c>
      <c r="K3520">
        <v>14</v>
      </c>
    </row>
    <row r="3521" spans="1:11">
      <c r="A3521">
        <v>7</v>
      </c>
      <c r="B3521" t="b">
        <v>0</v>
      </c>
      <c r="C3521" t="s">
        <v>45759</v>
      </c>
      <c r="D3521">
        <v>1037022454355</v>
      </c>
      <c r="E3521">
        <v>1</v>
      </c>
      <c r="F3521">
        <v>6156801916</v>
      </c>
      <c r="G3521">
        <v>4000000</v>
      </c>
      <c r="H3521" t="s">
        <v>40293</v>
      </c>
      <c r="I3521">
        <v>23057</v>
      </c>
      <c r="J3521">
        <v>2</v>
      </c>
      <c r="K3521">
        <v>2</v>
      </c>
    </row>
    <row r="3522" spans="1:11">
      <c r="A3522">
        <v>30</v>
      </c>
      <c r="B3522" t="b">
        <v>0</v>
      </c>
      <c r="C3522" t="s">
        <v>43048</v>
      </c>
      <c r="D3522">
        <v>1037022454355</v>
      </c>
      <c r="E3522">
        <v>1</v>
      </c>
      <c r="F3522">
        <v>6143546521</v>
      </c>
      <c r="G3522">
        <v>8990000</v>
      </c>
      <c r="H3522" t="s">
        <v>40293</v>
      </c>
      <c r="I3522">
        <v>23059</v>
      </c>
      <c r="J3522">
        <v>31</v>
      </c>
      <c r="K3522">
        <v>31</v>
      </c>
    </row>
    <row r="3523" spans="1:11">
      <c r="A3523">
        <v>90</v>
      </c>
      <c r="B3523" t="b">
        <v>0</v>
      </c>
      <c r="C3523" t="s">
        <v>44255</v>
      </c>
      <c r="D3523">
        <v>1037022454355</v>
      </c>
      <c r="E3523">
        <v>1</v>
      </c>
      <c r="F3523">
        <v>6092032806</v>
      </c>
      <c r="G3523">
        <v>8989000</v>
      </c>
      <c r="H3523" t="s">
        <v>40293</v>
      </c>
      <c r="I3523">
        <v>23059</v>
      </c>
      <c r="J3523">
        <v>19</v>
      </c>
      <c r="K3523">
        <v>30</v>
      </c>
    </row>
    <row r="3524" spans="1:11">
      <c r="A3524">
        <v>14</v>
      </c>
      <c r="B3524" t="b">
        <v>0</v>
      </c>
      <c r="C3524" t="s">
        <v>46313</v>
      </c>
      <c r="D3524">
        <v>1037022454355</v>
      </c>
      <c r="E3524">
        <v>1</v>
      </c>
      <c r="F3524">
        <v>6154449685</v>
      </c>
      <c r="G3524">
        <v>8892000</v>
      </c>
      <c r="H3524" t="s">
        <v>40293</v>
      </c>
      <c r="I3524">
        <v>23059</v>
      </c>
      <c r="J3524">
        <v>9</v>
      </c>
      <c r="K3524">
        <v>9</v>
      </c>
    </row>
    <row r="3525" spans="1:11">
      <c r="A3525">
        <v>90</v>
      </c>
      <c r="B3525" t="b">
        <v>0</v>
      </c>
      <c r="C3525" t="s">
        <v>44660</v>
      </c>
      <c r="D3525">
        <v>1037022454355</v>
      </c>
      <c r="E3525">
        <v>1</v>
      </c>
      <c r="F3525">
        <v>6154199440</v>
      </c>
      <c r="G3525">
        <v>8800000</v>
      </c>
      <c r="H3525" t="s">
        <v>40293</v>
      </c>
      <c r="I3525">
        <v>23059</v>
      </c>
      <c r="J3525">
        <v>27</v>
      </c>
      <c r="K3525">
        <v>27</v>
      </c>
    </row>
    <row r="3526" spans="1:11">
      <c r="A3526">
        <v>90</v>
      </c>
      <c r="B3526" t="b">
        <v>0</v>
      </c>
      <c r="C3526" t="s">
        <v>45952</v>
      </c>
      <c r="D3526">
        <v>1037022454355</v>
      </c>
      <c r="E3526">
        <v>1</v>
      </c>
      <c r="F3526">
        <v>6154510294</v>
      </c>
      <c r="G3526">
        <v>8791000</v>
      </c>
      <c r="H3526" t="s">
        <v>40293</v>
      </c>
      <c r="I3526">
        <v>23059</v>
      </c>
      <c r="J3526">
        <v>5</v>
      </c>
      <c r="K3526">
        <v>5</v>
      </c>
    </row>
    <row r="3527" spans="1:11">
      <c r="A3527">
        <v>90</v>
      </c>
      <c r="B3527" t="b">
        <v>0</v>
      </c>
      <c r="C3527" t="s">
        <v>44072</v>
      </c>
      <c r="D3527">
        <v>1037022454355</v>
      </c>
      <c r="E3527">
        <v>1</v>
      </c>
      <c r="F3527">
        <v>6153988856</v>
      </c>
      <c r="G3527">
        <v>5000000</v>
      </c>
      <c r="H3527" t="s">
        <v>40293</v>
      </c>
      <c r="I3527">
        <v>23061</v>
      </c>
      <c r="J3527">
        <v>27</v>
      </c>
      <c r="K3527">
        <v>102</v>
      </c>
    </row>
    <row r="3528" spans="1:11">
      <c r="A3528">
        <v>7</v>
      </c>
      <c r="B3528" t="b">
        <v>0</v>
      </c>
      <c r="C3528" t="s">
        <v>44177</v>
      </c>
      <c r="D3528">
        <v>1037022454355</v>
      </c>
      <c r="E3528">
        <v>1</v>
      </c>
      <c r="F3528">
        <v>6156801693</v>
      </c>
      <c r="G3528">
        <v>4468000</v>
      </c>
      <c r="H3528" t="s">
        <v>40293</v>
      </c>
      <c r="I3528">
        <v>23061</v>
      </c>
      <c r="J3528">
        <v>9</v>
      </c>
      <c r="K3528">
        <v>9</v>
      </c>
    </row>
    <row r="3529" spans="1:11">
      <c r="A3529">
        <v>90</v>
      </c>
      <c r="B3529" t="b">
        <v>0</v>
      </c>
      <c r="C3529" t="s">
        <v>43052</v>
      </c>
      <c r="D3529">
        <v>1037022454355</v>
      </c>
      <c r="E3529">
        <v>1</v>
      </c>
      <c r="F3529">
        <v>6140105952</v>
      </c>
      <c r="G3529">
        <v>360100</v>
      </c>
      <c r="H3529" t="s">
        <v>40293</v>
      </c>
      <c r="I3529">
        <v>23071</v>
      </c>
      <c r="J3529">
        <v>429</v>
      </c>
      <c r="K3529">
        <v>680</v>
      </c>
    </row>
    <row r="3530" spans="1:11">
      <c r="A3530">
        <v>90</v>
      </c>
      <c r="B3530" t="b">
        <v>0</v>
      </c>
      <c r="C3530" t="s">
        <v>43030</v>
      </c>
      <c r="D3530">
        <v>1037022454355</v>
      </c>
      <c r="E3530">
        <v>1</v>
      </c>
      <c r="F3530">
        <v>6140105463</v>
      </c>
      <c r="G3530">
        <v>400100</v>
      </c>
      <c r="H3530" t="s">
        <v>40293</v>
      </c>
      <c r="I3530">
        <v>23073</v>
      </c>
      <c r="J3530">
        <v>40</v>
      </c>
      <c r="K3530">
        <v>64</v>
      </c>
    </row>
    <row r="3531" spans="1:11">
      <c r="A3531">
        <v>90</v>
      </c>
      <c r="B3531" t="b">
        <v>0</v>
      </c>
      <c r="C3531" t="s">
        <v>45245</v>
      </c>
      <c r="D3531">
        <v>1037022454355</v>
      </c>
      <c r="E3531">
        <v>1</v>
      </c>
      <c r="F3531">
        <v>6153584312</v>
      </c>
      <c r="G3531">
        <v>300000</v>
      </c>
      <c r="H3531" t="s">
        <v>40293</v>
      </c>
      <c r="I3531">
        <v>23075</v>
      </c>
      <c r="J3531">
        <v>84</v>
      </c>
      <c r="K3531">
        <v>84</v>
      </c>
    </row>
    <row r="3532" spans="1:11">
      <c r="A3532">
        <v>90</v>
      </c>
      <c r="B3532" t="b">
        <v>0</v>
      </c>
      <c r="C3532" t="s">
        <v>41078</v>
      </c>
      <c r="D3532">
        <v>1037022454355</v>
      </c>
      <c r="E3532">
        <v>1</v>
      </c>
      <c r="F3532">
        <v>6071305569</v>
      </c>
      <c r="G3532">
        <v>400000</v>
      </c>
      <c r="H3532" t="s">
        <v>40293</v>
      </c>
      <c r="I3532">
        <v>23077</v>
      </c>
      <c r="J3532">
        <v>26</v>
      </c>
      <c r="K3532">
        <v>50</v>
      </c>
    </row>
    <row r="3533" spans="1:11">
      <c r="A3533">
        <v>90</v>
      </c>
      <c r="B3533" t="b">
        <v>0</v>
      </c>
      <c r="C3533" t="s">
        <v>44488</v>
      </c>
      <c r="D3533">
        <v>1037022454355</v>
      </c>
      <c r="E3533">
        <v>1</v>
      </c>
      <c r="F3533">
        <v>6156622081</v>
      </c>
      <c r="G3533">
        <v>444000</v>
      </c>
      <c r="H3533" t="s">
        <v>40293</v>
      </c>
      <c r="I3533">
        <v>23079</v>
      </c>
      <c r="J3533">
        <v>343</v>
      </c>
      <c r="K3533">
        <v>343</v>
      </c>
    </row>
    <row r="3534" spans="1:11">
      <c r="A3534">
        <v>90</v>
      </c>
      <c r="B3534" t="b">
        <v>0</v>
      </c>
      <c r="C3534" t="s">
        <v>44058</v>
      </c>
      <c r="D3534">
        <v>1037022454355</v>
      </c>
      <c r="E3534">
        <v>1</v>
      </c>
      <c r="F3534">
        <v>6154101283</v>
      </c>
      <c r="G3534">
        <v>443700</v>
      </c>
      <c r="H3534" t="s">
        <v>40293</v>
      </c>
      <c r="I3534">
        <v>23079</v>
      </c>
      <c r="J3534">
        <v>122</v>
      </c>
      <c r="K3534">
        <v>150</v>
      </c>
    </row>
    <row r="3535" spans="1:11">
      <c r="A3535">
        <v>90</v>
      </c>
      <c r="B3535" t="b">
        <v>0</v>
      </c>
      <c r="C3535" t="s">
        <v>43781</v>
      </c>
      <c r="D3535">
        <v>1037022454355</v>
      </c>
      <c r="E3535">
        <v>1</v>
      </c>
      <c r="F3535">
        <v>6073838010</v>
      </c>
      <c r="G3535">
        <v>206100</v>
      </c>
      <c r="H3535" t="s">
        <v>40293</v>
      </c>
      <c r="I3535">
        <v>23081</v>
      </c>
      <c r="J3535">
        <v>107</v>
      </c>
      <c r="K3535">
        <v>123</v>
      </c>
    </row>
    <row r="3536" spans="1:11">
      <c r="A3536">
        <v>90</v>
      </c>
      <c r="B3536" t="b">
        <v>0</v>
      </c>
      <c r="C3536" t="s">
        <v>43039</v>
      </c>
      <c r="D3536">
        <v>1037022454355</v>
      </c>
      <c r="E3536">
        <v>1</v>
      </c>
      <c r="F3536">
        <v>6140105628</v>
      </c>
      <c r="G3536">
        <v>360000</v>
      </c>
      <c r="H3536" t="s">
        <v>40293</v>
      </c>
      <c r="I3536">
        <v>23083</v>
      </c>
      <c r="J3536">
        <v>71</v>
      </c>
      <c r="K3536">
        <v>71</v>
      </c>
    </row>
    <row r="3537" spans="1:11">
      <c r="A3537">
        <v>90</v>
      </c>
      <c r="B3537" t="b">
        <v>0</v>
      </c>
      <c r="C3537" t="s">
        <v>46229</v>
      </c>
      <c r="D3537">
        <v>1037022454355</v>
      </c>
      <c r="E3537">
        <v>1</v>
      </c>
      <c r="F3537">
        <v>6155497257</v>
      </c>
      <c r="G3537">
        <v>100</v>
      </c>
      <c r="H3537" t="s">
        <v>40293</v>
      </c>
      <c r="I3537">
        <v>23087</v>
      </c>
      <c r="J3537">
        <v>3</v>
      </c>
      <c r="K3537">
        <v>3</v>
      </c>
    </row>
    <row r="3538" spans="1:11">
      <c r="A3538">
        <v>90</v>
      </c>
      <c r="B3538" t="b">
        <v>0</v>
      </c>
      <c r="C3538" t="s">
        <v>43802</v>
      </c>
      <c r="D3538">
        <v>1037022454355</v>
      </c>
      <c r="E3538">
        <v>1</v>
      </c>
      <c r="F3538">
        <v>6073838621</v>
      </c>
      <c r="G3538">
        <v>576100</v>
      </c>
      <c r="H3538" t="s">
        <v>40293</v>
      </c>
      <c r="I3538">
        <v>23089</v>
      </c>
      <c r="J3538">
        <v>3</v>
      </c>
      <c r="K3538">
        <v>290</v>
      </c>
    </row>
    <row r="3539" spans="1:11">
      <c r="A3539">
        <v>90</v>
      </c>
      <c r="B3539" t="b">
        <v>0</v>
      </c>
      <c r="C3539" t="s">
        <v>43766</v>
      </c>
      <c r="D3539">
        <v>1037022454355</v>
      </c>
      <c r="E3539">
        <v>1</v>
      </c>
      <c r="F3539">
        <v>6073837523</v>
      </c>
      <c r="G3539">
        <v>480100</v>
      </c>
      <c r="H3539" t="s">
        <v>40293</v>
      </c>
      <c r="I3539">
        <v>23091</v>
      </c>
      <c r="J3539">
        <v>29</v>
      </c>
      <c r="K3539">
        <v>151</v>
      </c>
    </row>
    <row r="3540" spans="1:11">
      <c r="A3540">
        <v>90</v>
      </c>
      <c r="B3540" t="b">
        <v>0</v>
      </c>
      <c r="C3540" t="s">
        <v>45213</v>
      </c>
      <c r="D3540">
        <v>1037022454355</v>
      </c>
      <c r="E3540">
        <v>1</v>
      </c>
      <c r="F3540">
        <v>6153583880</v>
      </c>
      <c r="G3540">
        <v>750000</v>
      </c>
      <c r="H3540" t="s">
        <v>40293</v>
      </c>
      <c r="I3540">
        <v>23093</v>
      </c>
      <c r="J3540">
        <v>100</v>
      </c>
      <c r="K3540">
        <v>100</v>
      </c>
    </row>
    <row r="3541" spans="1:11">
      <c r="A3541">
        <v>90</v>
      </c>
      <c r="B3541" t="b">
        <v>0</v>
      </c>
      <c r="C3541" t="s">
        <v>43070</v>
      </c>
      <c r="D3541">
        <v>1037022454355</v>
      </c>
      <c r="E3541">
        <v>1</v>
      </c>
      <c r="F3541">
        <v>6140106379</v>
      </c>
      <c r="G3541">
        <v>684100</v>
      </c>
      <c r="H3541" t="s">
        <v>40293</v>
      </c>
      <c r="I3541">
        <v>23095</v>
      </c>
      <c r="J3541">
        <v>141</v>
      </c>
      <c r="K3541">
        <v>141</v>
      </c>
    </row>
    <row r="3542" spans="1:11">
      <c r="A3542">
        <v>30</v>
      </c>
      <c r="B3542" t="b">
        <v>0</v>
      </c>
      <c r="C3542" t="s">
        <v>43769</v>
      </c>
      <c r="D3542">
        <v>1037022454355</v>
      </c>
      <c r="E3542">
        <v>1</v>
      </c>
      <c r="F3542">
        <v>6144687119</v>
      </c>
      <c r="G3542">
        <v>683900</v>
      </c>
      <c r="H3542" t="s">
        <v>40293</v>
      </c>
      <c r="I3542">
        <v>23095</v>
      </c>
      <c r="J3542">
        <v>6</v>
      </c>
      <c r="K3542">
        <v>6</v>
      </c>
    </row>
    <row r="3543" spans="1:11">
      <c r="A3543">
        <v>90</v>
      </c>
      <c r="B3543" t="b">
        <v>0</v>
      </c>
      <c r="C3543" t="s">
        <v>43255</v>
      </c>
      <c r="D3543">
        <v>1037022454355</v>
      </c>
      <c r="E3543">
        <v>1</v>
      </c>
      <c r="F3543">
        <v>6147142054</v>
      </c>
      <c r="G3543">
        <v>683800</v>
      </c>
      <c r="H3543" t="s">
        <v>40293</v>
      </c>
      <c r="I3543">
        <v>23095</v>
      </c>
      <c r="J3543">
        <v>3</v>
      </c>
      <c r="K3543">
        <v>3</v>
      </c>
    </row>
    <row r="3544" spans="1:11">
      <c r="A3544">
        <v>90</v>
      </c>
      <c r="B3544" t="b">
        <v>0</v>
      </c>
      <c r="C3544" t="s">
        <v>41271</v>
      </c>
      <c r="D3544">
        <v>1037022454355</v>
      </c>
      <c r="E3544">
        <v>1</v>
      </c>
      <c r="F3544">
        <v>6110634814</v>
      </c>
      <c r="G3544">
        <v>558000</v>
      </c>
      <c r="H3544" t="s">
        <v>40293</v>
      </c>
      <c r="I3544">
        <v>23097</v>
      </c>
      <c r="J3544">
        <v>383</v>
      </c>
      <c r="K3544">
        <v>494</v>
      </c>
    </row>
    <row r="3545" spans="1:11">
      <c r="A3545">
        <v>90</v>
      </c>
      <c r="B3545" t="b">
        <v>0</v>
      </c>
      <c r="C3545" t="s">
        <v>43247</v>
      </c>
      <c r="D3545">
        <v>1037022454355</v>
      </c>
      <c r="E3545">
        <v>1</v>
      </c>
      <c r="F3545">
        <v>6073840016</v>
      </c>
      <c r="G3545">
        <v>311100</v>
      </c>
      <c r="H3545" t="s">
        <v>40293</v>
      </c>
      <c r="I3545">
        <v>23099</v>
      </c>
      <c r="J3545">
        <v>111</v>
      </c>
      <c r="K3545">
        <v>116</v>
      </c>
    </row>
    <row r="3546" spans="1:11">
      <c r="A3546">
        <v>90</v>
      </c>
      <c r="B3546" t="b">
        <v>0</v>
      </c>
      <c r="C3546" t="s">
        <v>43032</v>
      </c>
      <c r="D3546">
        <v>1037022454355</v>
      </c>
      <c r="E3546">
        <v>1</v>
      </c>
      <c r="F3546">
        <v>6140105479</v>
      </c>
      <c r="G3546">
        <v>550100</v>
      </c>
      <c r="H3546" t="s">
        <v>40293</v>
      </c>
      <c r="I3546">
        <v>23101</v>
      </c>
      <c r="J3546">
        <v>23</v>
      </c>
      <c r="K3546">
        <v>28</v>
      </c>
    </row>
    <row r="3547" spans="1:11">
      <c r="A3547">
        <v>90</v>
      </c>
      <c r="B3547" t="b">
        <v>0</v>
      </c>
      <c r="C3547" t="s">
        <v>43808</v>
      </c>
      <c r="D3547">
        <v>1037022454355</v>
      </c>
      <c r="E3547">
        <v>1</v>
      </c>
      <c r="F3547">
        <v>6142424924</v>
      </c>
      <c r="G3547">
        <v>700400</v>
      </c>
      <c r="H3547" t="s">
        <v>40293</v>
      </c>
      <c r="I3547">
        <v>23103</v>
      </c>
      <c r="J3547">
        <v>302</v>
      </c>
      <c r="K3547">
        <v>302</v>
      </c>
    </row>
    <row r="3548" spans="1:11">
      <c r="A3548">
        <v>90</v>
      </c>
      <c r="B3548" t="b">
        <v>0</v>
      </c>
      <c r="C3548" t="s">
        <v>43049</v>
      </c>
      <c r="D3548">
        <v>1037022454355</v>
      </c>
      <c r="E3548">
        <v>1</v>
      </c>
      <c r="F3548">
        <v>6140105897</v>
      </c>
      <c r="G3548">
        <v>1068000</v>
      </c>
      <c r="H3548" t="s">
        <v>40293</v>
      </c>
      <c r="I3548">
        <v>23105</v>
      </c>
      <c r="J3548">
        <v>332</v>
      </c>
      <c r="K3548">
        <v>502</v>
      </c>
    </row>
    <row r="3549" spans="1:11">
      <c r="A3549">
        <v>90</v>
      </c>
      <c r="B3549" t="b">
        <v>0</v>
      </c>
      <c r="C3549" t="s">
        <v>45122</v>
      </c>
      <c r="D3549">
        <v>1037022454355</v>
      </c>
      <c r="E3549">
        <v>1</v>
      </c>
      <c r="F3549">
        <v>6090766233</v>
      </c>
      <c r="G3549">
        <v>921100</v>
      </c>
      <c r="H3549" t="s">
        <v>40293</v>
      </c>
      <c r="I3549">
        <v>23107</v>
      </c>
      <c r="J3549">
        <v>127</v>
      </c>
      <c r="K3549">
        <v>268</v>
      </c>
    </row>
    <row r="3550" spans="1:11">
      <c r="A3550">
        <v>90</v>
      </c>
      <c r="B3550" t="b">
        <v>0</v>
      </c>
      <c r="C3550" t="s">
        <v>42358</v>
      </c>
      <c r="D3550">
        <v>1037022454355</v>
      </c>
      <c r="E3550">
        <v>1</v>
      </c>
      <c r="F3550">
        <v>6132077442</v>
      </c>
      <c r="G3550">
        <v>900000</v>
      </c>
      <c r="H3550" t="s">
        <v>40293</v>
      </c>
      <c r="I3550">
        <v>23107</v>
      </c>
      <c r="J3550">
        <v>112</v>
      </c>
      <c r="K3550">
        <v>128</v>
      </c>
    </row>
    <row r="3551" spans="1:11">
      <c r="A3551">
        <v>90</v>
      </c>
      <c r="B3551" t="b">
        <v>0</v>
      </c>
      <c r="C3551" t="s">
        <v>43877</v>
      </c>
      <c r="D3551">
        <v>1037022454355</v>
      </c>
      <c r="E3551">
        <v>1</v>
      </c>
      <c r="F3551">
        <v>6073840828</v>
      </c>
      <c r="G3551">
        <v>1092000</v>
      </c>
      <c r="H3551" t="s">
        <v>40293</v>
      </c>
      <c r="I3551">
        <v>23109</v>
      </c>
      <c r="J3551">
        <v>2</v>
      </c>
      <c r="K3551">
        <v>107</v>
      </c>
    </row>
    <row r="3552" spans="1:11">
      <c r="A3552">
        <v>90</v>
      </c>
      <c r="B3552" t="b">
        <v>0</v>
      </c>
      <c r="C3552" t="s">
        <v>42950</v>
      </c>
      <c r="D3552">
        <v>1037022454355</v>
      </c>
      <c r="E3552">
        <v>1</v>
      </c>
      <c r="F3552">
        <v>6140106359</v>
      </c>
      <c r="G3552">
        <v>930000</v>
      </c>
      <c r="H3552" t="s">
        <v>40293</v>
      </c>
      <c r="I3552">
        <v>23111</v>
      </c>
      <c r="J3552">
        <v>6</v>
      </c>
      <c r="K3552">
        <v>30</v>
      </c>
    </row>
    <row r="3553" spans="1:11">
      <c r="A3553">
        <v>90</v>
      </c>
      <c r="B3553" t="b">
        <v>0</v>
      </c>
      <c r="C3553" t="s">
        <v>43816</v>
      </c>
      <c r="D3553">
        <v>1037022454355</v>
      </c>
      <c r="E3553">
        <v>1</v>
      </c>
      <c r="F3553">
        <v>6073838954</v>
      </c>
      <c r="G3553">
        <v>1081000</v>
      </c>
      <c r="H3553" t="s">
        <v>40293</v>
      </c>
      <c r="I3553">
        <v>23113</v>
      </c>
      <c r="J3553">
        <v>283</v>
      </c>
      <c r="K3553">
        <v>674</v>
      </c>
    </row>
    <row r="3554" spans="1:11">
      <c r="A3554">
        <v>90</v>
      </c>
      <c r="B3554" t="b">
        <v>0</v>
      </c>
      <c r="C3554" t="s">
        <v>43857</v>
      </c>
      <c r="D3554">
        <v>1037022454355</v>
      </c>
      <c r="E3554">
        <v>1</v>
      </c>
      <c r="F3554">
        <v>6073840390</v>
      </c>
      <c r="G3554">
        <v>966100</v>
      </c>
      <c r="H3554" t="s">
        <v>40293</v>
      </c>
      <c r="I3554">
        <v>23115</v>
      </c>
      <c r="J3554">
        <v>181</v>
      </c>
      <c r="K3554">
        <v>276</v>
      </c>
    </row>
    <row r="3555" spans="1:11">
      <c r="A3555">
        <v>90</v>
      </c>
      <c r="B3555" t="b">
        <v>0</v>
      </c>
      <c r="C3555" t="s">
        <v>43836</v>
      </c>
      <c r="D3555">
        <v>1037022454355</v>
      </c>
      <c r="E3555">
        <v>1</v>
      </c>
      <c r="F3555">
        <v>6073839541</v>
      </c>
      <c r="G3555">
        <v>1156000</v>
      </c>
      <c r="H3555" t="s">
        <v>40293</v>
      </c>
      <c r="I3555">
        <v>23119</v>
      </c>
      <c r="J3555">
        <v>51</v>
      </c>
      <c r="K3555">
        <v>185</v>
      </c>
    </row>
    <row r="3556" spans="1:11">
      <c r="A3556">
        <v>90</v>
      </c>
      <c r="B3556" t="b">
        <v>0</v>
      </c>
      <c r="C3556" t="s">
        <v>41027</v>
      </c>
      <c r="D3556">
        <v>1037022454355</v>
      </c>
      <c r="E3556">
        <v>1</v>
      </c>
      <c r="F3556">
        <v>6115180854</v>
      </c>
      <c r="G3556">
        <v>87.12</v>
      </c>
      <c r="H3556" t="s">
        <v>40293</v>
      </c>
      <c r="I3556">
        <v>23160</v>
      </c>
      <c r="J3556">
        <v>3</v>
      </c>
      <c r="K3556">
        <v>3</v>
      </c>
    </row>
    <row r="3557" spans="1:11">
      <c r="A3557">
        <v>90</v>
      </c>
      <c r="B3557" t="b">
        <v>0</v>
      </c>
      <c r="C3557" t="s">
        <v>42056</v>
      </c>
      <c r="D3557">
        <v>1037022454355</v>
      </c>
      <c r="E3557">
        <v>1</v>
      </c>
      <c r="F3557">
        <v>6131046017</v>
      </c>
      <c r="G3557">
        <v>450000</v>
      </c>
      <c r="H3557" t="s">
        <v>40293</v>
      </c>
      <c r="I3557">
        <v>23473</v>
      </c>
      <c r="J3557">
        <v>168</v>
      </c>
      <c r="K3557">
        <v>200</v>
      </c>
    </row>
    <row r="3558" spans="1:11">
      <c r="A3558">
        <v>90</v>
      </c>
      <c r="B3558" t="b">
        <v>0</v>
      </c>
      <c r="C3558" t="s">
        <v>41791</v>
      </c>
      <c r="D3558">
        <v>1037022454355</v>
      </c>
      <c r="E3558">
        <v>1</v>
      </c>
      <c r="F3558">
        <v>6126382173</v>
      </c>
      <c r="G3558">
        <v>78800</v>
      </c>
      <c r="H3558" t="s">
        <v>40293</v>
      </c>
      <c r="I3558">
        <v>23512</v>
      </c>
      <c r="J3558">
        <v>30</v>
      </c>
      <c r="K3558">
        <v>30</v>
      </c>
    </row>
    <row r="3559" spans="1:11">
      <c r="A3559">
        <v>90</v>
      </c>
      <c r="B3559" t="b">
        <v>0</v>
      </c>
      <c r="C3559" t="s">
        <v>45448</v>
      </c>
      <c r="D3559">
        <v>1037022454355</v>
      </c>
      <c r="E3559">
        <v>1</v>
      </c>
      <c r="F3559">
        <v>6157519034</v>
      </c>
      <c r="G3559">
        <v>140200</v>
      </c>
      <c r="H3559" t="s">
        <v>40293</v>
      </c>
      <c r="I3559">
        <v>23525</v>
      </c>
      <c r="J3559">
        <v>8</v>
      </c>
      <c r="K3559">
        <v>8</v>
      </c>
    </row>
    <row r="3560" spans="1:11">
      <c r="A3560">
        <v>90</v>
      </c>
      <c r="B3560" t="b">
        <v>0</v>
      </c>
      <c r="C3560" t="s">
        <v>41069</v>
      </c>
      <c r="D3560">
        <v>1037022454355</v>
      </c>
      <c r="E3560">
        <v>1</v>
      </c>
      <c r="F3560">
        <v>6097215685</v>
      </c>
      <c r="G3560">
        <v>714700</v>
      </c>
      <c r="H3560" t="s">
        <v>40293</v>
      </c>
      <c r="I3560">
        <v>23527</v>
      </c>
      <c r="J3560">
        <v>40</v>
      </c>
      <c r="K3560">
        <v>44</v>
      </c>
    </row>
    <row r="3561" spans="1:11">
      <c r="A3561">
        <v>90</v>
      </c>
      <c r="B3561" t="b">
        <v>0</v>
      </c>
      <c r="C3561" t="s">
        <v>42346</v>
      </c>
      <c r="D3561">
        <v>1037022454355</v>
      </c>
      <c r="E3561">
        <v>1</v>
      </c>
      <c r="F3561">
        <v>6137909343</v>
      </c>
      <c r="G3561">
        <v>680000</v>
      </c>
      <c r="H3561" t="s">
        <v>40293</v>
      </c>
      <c r="I3561">
        <v>23527</v>
      </c>
      <c r="J3561">
        <v>2</v>
      </c>
      <c r="K3561">
        <v>4</v>
      </c>
    </row>
    <row r="3562" spans="1:11">
      <c r="A3562">
        <v>90</v>
      </c>
      <c r="B3562" t="b">
        <v>0</v>
      </c>
      <c r="C3562" t="s">
        <v>43455</v>
      </c>
      <c r="D3562">
        <v>1037022454355</v>
      </c>
      <c r="E3562">
        <v>1</v>
      </c>
      <c r="F3562">
        <v>6116851241</v>
      </c>
      <c r="G3562">
        <v>677000</v>
      </c>
      <c r="H3562" t="s">
        <v>40293</v>
      </c>
      <c r="I3562">
        <v>23527</v>
      </c>
      <c r="J3562">
        <v>33</v>
      </c>
      <c r="K3562">
        <v>51</v>
      </c>
    </row>
    <row r="3563" spans="1:11">
      <c r="A3563">
        <v>90</v>
      </c>
      <c r="B3563" t="b">
        <v>0</v>
      </c>
      <c r="C3563" t="s">
        <v>43043</v>
      </c>
      <c r="D3563">
        <v>1037022454355</v>
      </c>
      <c r="E3563">
        <v>1</v>
      </c>
      <c r="F3563">
        <v>6093280207</v>
      </c>
      <c r="G3563">
        <v>676800</v>
      </c>
      <c r="H3563" t="s">
        <v>40293</v>
      </c>
      <c r="I3563">
        <v>23527</v>
      </c>
      <c r="J3563">
        <v>40</v>
      </c>
      <c r="K3563">
        <v>60</v>
      </c>
    </row>
    <row r="3564" spans="1:11">
      <c r="A3564">
        <v>90</v>
      </c>
      <c r="B3564" t="b">
        <v>0</v>
      </c>
      <c r="C3564" t="s">
        <v>43217</v>
      </c>
      <c r="D3564">
        <v>1037022454355</v>
      </c>
      <c r="E3564">
        <v>1</v>
      </c>
      <c r="F3564">
        <v>6143911704</v>
      </c>
      <c r="G3564">
        <v>668500</v>
      </c>
      <c r="H3564" t="s">
        <v>40293</v>
      </c>
      <c r="I3564">
        <v>23527</v>
      </c>
      <c r="J3564">
        <v>2</v>
      </c>
      <c r="K3564">
        <v>2</v>
      </c>
    </row>
    <row r="3565" spans="1:11">
      <c r="A3565">
        <v>90</v>
      </c>
      <c r="B3565" t="b">
        <v>0</v>
      </c>
      <c r="C3565" t="s">
        <v>45581</v>
      </c>
      <c r="D3565">
        <v>1037022454355</v>
      </c>
      <c r="E3565">
        <v>1</v>
      </c>
      <c r="F3565">
        <v>6135402210</v>
      </c>
      <c r="G3565">
        <v>499600</v>
      </c>
      <c r="H3565" t="s">
        <v>40293</v>
      </c>
      <c r="I3565">
        <v>23527</v>
      </c>
      <c r="J3565">
        <v>5</v>
      </c>
      <c r="K3565">
        <v>21</v>
      </c>
    </row>
    <row r="3566" spans="1:11">
      <c r="A3566">
        <v>90</v>
      </c>
      <c r="B3566" t="b">
        <v>0</v>
      </c>
      <c r="C3566" t="s">
        <v>46483</v>
      </c>
      <c r="D3566">
        <v>1037022454355</v>
      </c>
      <c r="E3566">
        <v>1</v>
      </c>
      <c r="F3566">
        <v>6150323355</v>
      </c>
      <c r="G3566">
        <v>399800</v>
      </c>
      <c r="H3566" t="s">
        <v>40293</v>
      </c>
      <c r="I3566">
        <v>23527</v>
      </c>
      <c r="J3566">
        <v>17</v>
      </c>
      <c r="K3566">
        <v>50</v>
      </c>
    </row>
    <row r="3567" spans="1:11">
      <c r="A3567">
        <v>90</v>
      </c>
      <c r="B3567" t="b">
        <v>0</v>
      </c>
      <c r="C3567" t="s">
        <v>40911</v>
      </c>
      <c r="D3567">
        <v>1037022454355</v>
      </c>
      <c r="E3567">
        <v>1</v>
      </c>
      <c r="F3567">
        <v>6117734213</v>
      </c>
      <c r="G3567">
        <v>250000</v>
      </c>
      <c r="H3567" t="s">
        <v>40293</v>
      </c>
      <c r="I3567">
        <v>23533</v>
      </c>
      <c r="J3567">
        <v>20</v>
      </c>
      <c r="K3567">
        <v>30</v>
      </c>
    </row>
    <row r="3568" spans="1:11">
      <c r="A3568">
        <v>90</v>
      </c>
      <c r="B3568" t="b">
        <v>0</v>
      </c>
      <c r="C3568" t="s">
        <v>40518</v>
      </c>
      <c r="D3568">
        <v>1037022454355</v>
      </c>
      <c r="E3568">
        <v>1</v>
      </c>
      <c r="F3568">
        <v>6097278141</v>
      </c>
      <c r="G3568">
        <v>299900</v>
      </c>
      <c r="H3568" t="s">
        <v>40293</v>
      </c>
      <c r="I3568">
        <v>23559</v>
      </c>
      <c r="J3568">
        <v>9</v>
      </c>
      <c r="K3568">
        <v>40</v>
      </c>
    </row>
    <row r="3569" spans="1:11">
      <c r="A3569">
        <v>90</v>
      </c>
      <c r="B3569" t="b">
        <v>0</v>
      </c>
      <c r="C3569" t="s">
        <v>40482</v>
      </c>
      <c r="D3569">
        <v>1037022454355</v>
      </c>
      <c r="E3569">
        <v>1</v>
      </c>
      <c r="F3569">
        <v>6097277210</v>
      </c>
      <c r="G3569">
        <v>299900</v>
      </c>
      <c r="H3569" t="s">
        <v>40293</v>
      </c>
      <c r="I3569">
        <v>23561</v>
      </c>
      <c r="J3569">
        <v>15</v>
      </c>
      <c r="K3569">
        <v>61</v>
      </c>
    </row>
    <row r="3570" spans="1:11">
      <c r="A3570">
        <v>30</v>
      </c>
      <c r="B3570" t="b">
        <v>0</v>
      </c>
      <c r="C3570" t="s">
        <v>43474</v>
      </c>
      <c r="D3570">
        <v>1037022454355</v>
      </c>
      <c r="E3570">
        <v>1</v>
      </c>
      <c r="F3570">
        <v>6144723687</v>
      </c>
      <c r="G3570">
        <v>1999000</v>
      </c>
      <c r="H3570" t="s">
        <v>40293</v>
      </c>
      <c r="I3570">
        <v>23566</v>
      </c>
      <c r="J3570">
        <v>1</v>
      </c>
      <c r="K3570">
        <v>1</v>
      </c>
    </row>
    <row r="3571" spans="1:11">
      <c r="A3571">
        <v>90</v>
      </c>
      <c r="B3571" t="b">
        <v>0</v>
      </c>
      <c r="C3571" t="s">
        <v>41791</v>
      </c>
      <c r="D3571">
        <v>1037022454355</v>
      </c>
      <c r="E3571">
        <v>1</v>
      </c>
      <c r="F3571">
        <v>6126382178</v>
      </c>
      <c r="G3571">
        <v>250100</v>
      </c>
      <c r="H3571" t="s">
        <v>40293</v>
      </c>
      <c r="I3571">
        <v>23705</v>
      </c>
      <c r="J3571">
        <v>30</v>
      </c>
      <c r="K3571">
        <v>30</v>
      </c>
    </row>
    <row r="3572" spans="1:11">
      <c r="A3572">
        <v>90</v>
      </c>
      <c r="B3572" t="b">
        <v>0</v>
      </c>
      <c r="C3572" t="s">
        <v>41454</v>
      </c>
      <c r="D3572">
        <v>1037022454355</v>
      </c>
      <c r="E3572">
        <v>1</v>
      </c>
      <c r="F3572">
        <v>6121251574</v>
      </c>
      <c r="G3572">
        <v>250000</v>
      </c>
      <c r="H3572" t="s">
        <v>40293</v>
      </c>
      <c r="I3572">
        <v>23705</v>
      </c>
      <c r="J3572">
        <v>53</v>
      </c>
      <c r="K3572">
        <v>100</v>
      </c>
    </row>
    <row r="3573" spans="1:11">
      <c r="A3573">
        <v>90</v>
      </c>
      <c r="B3573" t="b">
        <v>0</v>
      </c>
      <c r="C3573" t="s">
        <v>41820</v>
      </c>
      <c r="D3573">
        <v>1037022454355</v>
      </c>
      <c r="E3573">
        <v>1</v>
      </c>
      <c r="F3573">
        <v>6127458953</v>
      </c>
      <c r="G3573">
        <v>249900</v>
      </c>
      <c r="H3573" t="s">
        <v>40293</v>
      </c>
      <c r="I3573">
        <v>23705</v>
      </c>
      <c r="J3573">
        <v>22</v>
      </c>
      <c r="K3573">
        <v>27</v>
      </c>
    </row>
    <row r="3574" spans="1:11">
      <c r="A3574">
        <v>90</v>
      </c>
      <c r="B3574" t="b">
        <v>0</v>
      </c>
      <c r="C3574" t="s">
        <v>42171</v>
      </c>
      <c r="D3574">
        <v>1037022454355</v>
      </c>
      <c r="E3574">
        <v>1</v>
      </c>
      <c r="F3574">
        <v>6131045720</v>
      </c>
      <c r="G3574">
        <v>249000</v>
      </c>
      <c r="H3574" t="s">
        <v>40293</v>
      </c>
      <c r="I3574">
        <v>23705</v>
      </c>
      <c r="J3574">
        <v>500</v>
      </c>
      <c r="K3574">
        <v>500</v>
      </c>
    </row>
    <row r="3575" spans="1:11">
      <c r="A3575">
        <v>90</v>
      </c>
      <c r="B3575" t="b">
        <v>0</v>
      </c>
      <c r="C3575" t="s">
        <v>43037</v>
      </c>
      <c r="D3575">
        <v>1037022454355</v>
      </c>
      <c r="E3575">
        <v>1</v>
      </c>
      <c r="F3575">
        <v>6138762093</v>
      </c>
      <c r="G3575">
        <v>238600</v>
      </c>
      <c r="H3575" t="s">
        <v>40293</v>
      </c>
      <c r="I3575">
        <v>23705</v>
      </c>
      <c r="J3575">
        <v>11</v>
      </c>
      <c r="K3575">
        <v>11</v>
      </c>
    </row>
    <row r="3576" spans="1:11">
      <c r="A3576">
        <v>30</v>
      </c>
      <c r="B3576" t="b">
        <v>0</v>
      </c>
      <c r="C3576" t="s">
        <v>43261</v>
      </c>
      <c r="D3576">
        <v>1037022454355</v>
      </c>
      <c r="E3576">
        <v>1</v>
      </c>
      <c r="F3576">
        <v>6141192793</v>
      </c>
      <c r="G3576">
        <v>231000</v>
      </c>
      <c r="H3576" t="s">
        <v>40293</v>
      </c>
      <c r="I3576">
        <v>23705</v>
      </c>
      <c r="J3576">
        <v>100</v>
      </c>
      <c r="K3576">
        <v>100</v>
      </c>
    </row>
    <row r="3577" spans="1:11">
      <c r="A3577">
        <v>30</v>
      </c>
      <c r="B3577" t="b">
        <v>0</v>
      </c>
      <c r="C3577" t="s">
        <v>44508</v>
      </c>
      <c r="D3577">
        <v>1037022454355</v>
      </c>
      <c r="E3577">
        <v>1</v>
      </c>
      <c r="F3577">
        <v>6154459610</v>
      </c>
      <c r="G3577">
        <v>210300</v>
      </c>
      <c r="H3577" t="s">
        <v>40293</v>
      </c>
      <c r="I3577">
        <v>23705</v>
      </c>
      <c r="J3577">
        <v>6</v>
      </c>
      <c r="K3577">
        <v>6</v>
      </c>
    </row>
    <row r="3578" spans="1:11">
      <c r="A3578">
        <v>7</v>
      </c>
      <c r="B3578" t="b">
        <v>0</v>
      </c>
      <c r="C3578" t="s">
        <v>45368</v>
      </c>
      <c r="D3578">
        <v>1037022454355</v>
      </c>
      <c r="E3578">
        <v>1</v>
      </c>
      <c r="F3578">
        <v>6153057835</v>
      </c>
      <c r="G3578">
        <v>210000</v>
      </c>
      <c r="H3578" t="s">
        <v>40293</v>
      </c>
      <c r="I3578">
        <v>23705</v>
      </c>
      <c r="J3578">
        <v>28</v>
      </c>
      <c r="K3578">
        <v>33</v>
      </c>
    </row>
    <row r="3579" spans="1:11">
      <c r="A3579">
        <v>90</v>
      </c>
      <c r="B3579" t="b">
        <v>0</v>
      </c>
      <c r="C3579" t="s">
        <v>45542</v>
      </c>
      <c r="D3579">
        <v>1037022454355</v>
      </c>
      <c r="E3579">
        <v>1</v>
      </c>
      <c r="F3579">
        <v>6109121794</v>
      </c>
      <c r="G3579">
        <v>209900</v>
      </c>
      <c r="H3579" t="s">
        <v>40293</v>
      </c>
      <c r="I3579">
        <v>23705</v>
      </c>
      <c r="J3579">
        <v>321</v>
      </c>
      <c r="K3579">
        <v>600</v>
      </c>
    </row>
    <row r="3580" spans="1:11">
      <c r="A3580">
        <v>90</v>
      </c>
      <c r="B3580" t="b">
        <v>0</v>
      </c>
      <c r="C3580" t="s">
        <v>40389</v>
      </c>
      <c r="D3580">
        <v>1037022454355</v>
      </c>
      <c r="E3580">
        <v>1</v>
      </c>
      <c r="F3580">
        <v>6108711230</v>
      </c>
      <c r="G3580">
        <v>26930</v>
      </c>
      <c r="H3580" t="s">
        <v>40293</v>
      </c>
      <c r="I3580">
        <v>23707</v>
      </c>
      <c r="J3580">
        <v>65</v>
      </c>
      <c r="K3580">
        <v>65</v>
      </c>
    </row>
    <row r="3581" spans="1:11">
      <c r="A3581">
        <v>90</v>
      </c>
      <c r="B3581" t="b">
        <v>0</v>
      </c>
      <c r="C3581" t="s">
        <v>42168</v>
      </c>
      <c r="D3581">
        <v>1037022454355</v>
      </c>
      <c r="E3581">
        <v>1</v>
      </c>
      <c r="F3581">
        <v>6131045481</v>
      </c>
      <c r="G3581">
        <v>18860</v>
      </c>
      <c r="H3581" t="s">
        <v>40293</v>
      </c>
      <c r="I3581">
        <v>23707</v>
      </c>
      <c r="J3581">
        <v>441</v>
      </c>
      <c r="K3581">
        <v>500</v>
      </c>
    </row>
    <row r="3582" spans="1:11">
      <c r="A3582">
        <v>90</v>
      </c>
      <c r="B3582" t="b">
        <v>0</v>
      </c>
      <c r="C3582" t="s">
        <v>42812</v>
      </c>
      <c r="D3582">
        <v>1037022454355</v>
      </c>
      <c r="E3582">
        <v>1</v>
      </c>
      <c r="F3582">
        <v>6132790206</v>
      </c>
      <c r="G3582">
        <v>18800</v>
      </c>
      <c r="H3582" t="s">
        <v>40293</v>
      </c>
      <c r="I3582">
        <v>23707</v>
      </c>
      <c r="J3582">
        <v>6</v>
      </c>
      <c r="K3582">
        <v>6</v>
      </c>
    </row>
    <row r="3583" spans="1:11">
      <c r="A3583">
        <v>30</v>
      </c>
      <c r="B3583" t="b">
        <v>0</v>
      </c>
      <c r="C3583" t="s">
        <v>43644</v>
      </c>
      <c r="D3583">
        <v>1037022454355</v>
      </c>
      <c r="E3583">
        <v>1</v>
      </c>
      <c r="F3583">
        <v>6138484466</v>
      </c>
      <c r="G3583">
        <v>18780</v>
      </c>
      <c r="H3583" t="s">
        <v>40293</v>
      </c>
      <c r="I3583">
        <v>23707</v>
      </c>
      <c r="J3583">
        <v>5</v>
      </c>
      <c r="K3583">
        <v>5</v>
      </c>
    </row>
    <row r="3584" spans="1:11">
      <c r="A3584">
        <v>90</v>
      </c>
      <c r="B3584" t="b">
        <v>0</v>
      </c>
      <c r="C3584" t="s">
        <v>43040</v>
      </c>
      <c r="D3584">
        <v>1037022454355</v>
      </c>
      <c r="E3584">
        <v>1</v>
      </c>
      <c r="F3584">
        <v>6138762162</v>
      </c>
      <c r="G3584">
        <v>18320</v>
      </c>
      <c r="H3584" t="s">
        <v>40293</v>
      </c>
      <c r="I3584">
        <v>23707</v>
      </c>
      <c r="J3584">
        <v>25</v>
      </c>
      <c r="K3584">
        <v>25</v>
      </c>
    </row>
    <row r="3585" spans="1:11">
      <c r="A3585">
        <v>90</v>
      </c>
      <c r="B3585" t="b">
        <v>0</v>
      </c>
      <c r="C3585" t="s">
        <v>43915</v>
      </c>
      <c r="D3585">
        <v>1037022454355</v>
      </c>
      <c r="E3585">
        <v>1</v>
      </c>
      <c r="F3585">
        <v>6123124751</v>
      </c>
      <c r="G3585">
        <v>17980</v>
      </c>
      <c r="H3585" t="s">
        <v>40293</v>
      </c>
      <c r="I3585">
        <v>23707</v>
      </c>
      <c r="J3585">
        <v>295</v>
      </c>
      <c r="K3585">
        <v>600</v>
      </c>
    </row>
    <row r="3586" spans="1:11">
      <c r="A3586">
        <v>90</v>
      </c>
      <c r="B3586" t="b">
        <v>0</v>
      </c>
      <c r="C3586" t="s">
        <v>43826</v>
      </c>
      <c r="D3586">
        <v>1037022454355</v>
      </c>
      <c r="E3586">
        <v>1</v>
      </c>
      <c r="F3586">
        <v>6075608638</v>
      </c>
      <c r="G3586">
        <v>17800</v>
      </c>
      <c r="H3586" t="s">
        <v>40293</v>
      </c>
      <c r="I3586">
        <v>23707</v>
      </c>
      <c r="J3586">
        <v>563</v>
      </c>
      <c r="K3586">
        <v>1934</v>
      </c>
    </row>
    <row r="3587" spans="1:11">
      <c r="A3587">
        <v>30</v>
      </c>
      <c r="B3587" t="b">
        <v>0</v>
      </c>
      <c r="C3587" t="s">
        <v>43663</v>
      </c>
      <c r="D3587">
        <v>1037022454355</v>
      </c>
      <c r="E3587">
        <v>1</v>
      </c>
      <c r="F3587">
        <v>6144711336</v>
      </c>
      <c r="G3587">
        <v>17730</v>
      </c>
      <c r="H3587" t="s">
        <v>40293</v>
      </c>
      <c r="I3587">
        <v>23707</v>
      </c>
      <c r="J3587">
        <v>43</v>
      </c>
      <c r="K3587">
        <v>63</v>
      </c>
    </row>
    <row r="3588" spans="1:11">
      <c r="A3588">
        <v>90</v>
      </c>
      <c r="B3588" t="b">
        <v>0</v>
      </c>
      <c r="C3588" t="s">
        <v>45894</v>
      </c>
      <c r="D3588">
        <v>1037022454355</v>
      </c>
      <c r="E3588">
        <v>1</v>
      </c>
      <c r="F3588">
        <v>6156477652</v>
      </c>
      <c r="G3588">
        <v>16000</v>
      </c>
      <c r="H3588" t="s">
        <v>40293</v>
      </c>
      <c r="I3588">
        <v>23707</v>
      </c>
      <c r="J3588">
        <v>600</v>
      </c>
      <c r="K3588">
        <v>600</v>
      </c>
    </row>
    <row r="3589" spans="1:11">
      <c r="A3589">
        <v>90</v>
      </c>
      <c r="B3589" t="b">
        <v>0</v>
      </c>
      <c r="C3589" t="s">
        <v>43366</v>
      </c>
      <c r="D3589">
        <v>1037022454355</v>
      </c>
      <c r="E3589">
        <v>1</v>
      </c>
      <c r="F3589">
        <v>6145498644</v>
      </c>
      <c r="G3589">
        <v>16000</v>
      </c>
      <c r="H3589" t="s">
        <v>40293</v>
      </c>
      <c r="I3589">
        <v>23707</v>
      </c>
      <c r="J3589">
        <v>667</v>
      </c>
      <c r="K3589">
        <v>1543</v>
      </c>
    </row>
    <row r="3590" spans="1:11">
      <c r="A3590">
        <v>30</v>
      </c>
      <c r="B3590" t="b">
        <v>0</v>
      </c>
      <c r="C3590" t="s">
        <v>44508</v>
      </c>
      <c r="D3590">
        <v>1037022454355</v>
      </c>
      <c r="E3590">
        <v>1</v>
      </c>
      <c r="F3590">
        <v>6154459611</v>
      </c>
      <c r="G3590">
        <v>25770</v>
      </c>
      <c r="H3590" t="s">
        <v>40293</v>
      </c>
      <c r="I3590">
        <v>23709</v>
      </c>
      <c r="J3590">
        <v>4</v>
      </c>
      <c r="K3590">
        <v>5</v>
      </c>
    </row>
    <row r="3591" spans="1:11">
      <c r="A3591">
        <v>30</v>
      </c>
      <c r="B3591" t="b">
        <v>0</v>
      </c>
      <c r="C3591" t="s">
        <v>43719</v>
      </c>
      <c r="D3591">
        <v>1037022454355</v>
      </c>
      <c r="E3591">
        <v>1</v>
      </c>
      <c r="F3591">
        <v>6144713195</v>
      </c>
      <c r="G3591">
        <v>1599000</v>
      </c>
      <c r="H3591" t="s">
        <v>40293</v>
      </c>
      <c r="I3591">
        <v>23711</v>
      </c>
      <c r="J3591">
        <v>15</v>
      </c>
      <c r="K3591">
        <v>15</v>
      </c>
    </row>
    <row r="3592" spans="1:11">
      <c r="A3592">
        <v>90</v>
      </c>
      <c r="B3592" t="b">
        <v>0</v>
      </c>
      <c r="C3592" t="s">
        <v>43196</v>
      </c>
      <c r="D3592">
        <v>1037022454355</v>
      </c>
      <c r="E3592">
        <v>1</v>
      </c>
      <c r="F3592">
        <v>6144828325</v>
      </c>
      <c r="G3592">
        <v>1036000</v>
      </c>
      <c r="H3592" t="s">
        <v>40293</v>
      </c>
      <c r="I3592">
        <v>23711</v>
      </c>
      <c r="J3592">
        <v>87</v>
      </c>
      <c r="K3592">
        <v>100</v>
      </c>
    </row>
    <row r="3593" spans="1:11">
      <c r="A3593">
        <v>90</v>
      </c>
      <c r="B3593" t="b">
        <v>0</v>
      </c>
      <c r="C3593" t="s">
        <v>44863</v>
      </c>
      <c r="D3593">
        <v>1037022454355</v>
      </c>
      <c r="E3593">
        <v>1</v>
      </c>
      <c r="F3593">
        <v>6152399676</v>
      </c>
      <c r="G3593">
        <v>1035000</v>
      </c>
      <c r="H3593" t="s">
        <v>40293</v>
      </c>
      <c r="I3593">
        <v>23711</v>
      </c>
      <c r="J3593">
        <v>1</v>
      </c>
      <c r="K3593">
        <v>5</v>
      </c>
    </row>
    <row r="3594" spans="1:11">
      <c r="A3594">
        <v>30</v>
      </c>
      <c r="B3594" t="b">
        <v>0</v>
      </c>
      <c r="C3594" t="s">
        <v>44906</v>
      </c>
      <c r="D3594">
        <v>1037022454355</v>
      </c>
      <c r="E3594">
        <v>1</v>
      </c>
      <c r="F3594">
        <v>6152564090</v>
      </c>
      <c r="G3594">
        <v>1034000</v>
      </c>
      <c r="H3594" t="s">
        <v>40293</v>
      </c>
      <c r="I3594">
        <v>23711</v>
      </c>
      <c r="J3594">
        <v>10</v>
      </c>
      <c r="K3594">
        <v>13</v>
      </c>
    </row>
    <row r="3595" spans="1:11">
      <c r="A3595">
        <v>90</v>
      </c>
      <c r="B3595" t="b">
        <v>0</v>
      </c>
      <c r="C3595" t="s">
        <v>41791</v>
      </c>
      <c r="D3595">
        <v>1037022454355</v>
      </c>
      <c r="E3595">
        <v>1</v>
      </c>
      <c r="F3595">
        <v>6126382174</v>
      </c>
      <c r="G3595">
        <v>28530</v>
      </c>
      <c r="H3595" t="s">
        <v>40293</v>
      </c>
      <c r="I3595">
        <v>23713</v>
      </c>
      <c r="J3595">
        <v>30</v>
      </c>
      <c r="K3595">
        <v>30</v>
      </c>
    </row>
    <row r="3596" spans="1:11">
      <c r="A3596">
        <v>90</v>
      </c>
      <c r="B3596" t="b">
        <v>0</v>
      </c>
      <c r="C3596" t="s">
        <v>41791</v>
      </c>
      <c r="D3596">
        <v>1037022454355</v>
      </c>
      <c r="E3596">
        <v>1</v>
      </c>
      <c r="F3596">
        <v>6126382175</v>
      </c>
      <c r="G3596">
        <v>6987</v>
      </c>
      <c r="H3596" t="s">
        <v>40293</v>
      </c>
      <c r="I3596">
        <v>23715</v>
      </c>
      <c r="J3596">
        <v>30</v>
      </c>
      <c r="K3596">
        <v>30</v>
      </c>
    </row>
    <row r="3597" spans="1:11">
      <c r="A3597">
        <v>90</v>
      </c>
      <c r="B3597" t="b">
        <v>0</v>
      </c>
      <c r="C3597" t="s">
        <v>45971</v>
      </c>
      <c r="D3597">
        <v>1037022454355</v>
      </c>
      <c r="E3597">
        <v>1</v>
      </c>
      <c r="F3597">
        <v>6157525188</v>
      </c>
      <c r="G3597">
        <v>100000</v>
      </c>
      <c r="H3597" t="s">
        <v>40293</v>
      </c>
      <c r="I3597">
        <v>23717</v>
      </c>
      <c r="J3597">
        <v>25</v>
      </c>
      <c r="K3597">
        <v>25</v>
      </c>
    </row>
    <row r="3598" spans="1:11">
      <c r="A3598">
        <v>90</v>
      </c>
      <c r="B3598" t="b">
        <v>0</v>
      </c>
      <c r="C3598" t="s">
        <v>43196</v>
      </c>
      <c r="D3598">
        <v>1037022454355</v>
      </c>
      <c r="E3598">
        <v>1</v>
      </c>
      <c r="F3598">
        <v>6144828327</v>
      </c>
      <c r="G3598">
        <v>1500000</v>
      </c>
      <c r="H3598" t="s">
        <v>40293</v>
      </c>
      <c r="I3598">
        <v>23719</v>
      </c>
      <c r="J3598">
        <v>2</v>
      </c>
      <c r="K3598">
        <v>5</v>
      </c>
    </row>
    <row r="3599" spans="1:11">
      <c r="A3599">
        <v>30</v>
      </c>
      <c r="B3599" t="b">
        <v>0</v>
      </c>
      <c r="C3599" t="s">
        <v>43189</v>
      </c>
      <c r="D3599">
        <v>1037022454355</v>
      </c>
      <c r="E3599">
        <v>1</v>
      </c>
      <c r="F3599">
        <v>6140240598</v>
      </c>
      <c r="G3599">
        <v>1499000</v>
      </c>
      <c r="H3599" t="s">
        <v>40293</v>
      </c>
      <c r="I3599">
        <v>23719</v>
      </c>
      <c r="J3599">
        <v>7</v>
      </c>
      <c r="K3599">
        <v>30</v>
      </c>
    </row>
    <row r="3600" spans="1:11">
      <c r="A3600">
        <v>90</v>
      </c>
      <c r="B3600" t="b">
        <v>0</v>
      </c>
      <c r="C3600" t="s">
        <v>45966</v>
      </c>
      <c r="D3600">
        <v>1037022454355</v>
      </c>
      <c r="E3600">
        <v>1</v>
      </c>
      <c r="F3600">
        <v>6157525118</v>
      </c>
      <c r="G3600">
        <v>40000</v>
      </c>
      <c r="H3600" t="s">
        <v>40293</v>
      </c>
      <c r="I3600">
        <v>23719</v>
      </c>
      <c r="J3600">
        <v>20</v>
      </c>
      <c r="K3600">
        <v>20</v>
      </c>
    </row>
    <row r="3601" spans="1:11">
      <c r="A3601">
        <v>90</v>
      </c>
      <c r="B3601" t="b">
        <v>0</v>
      </c>
      <c r="C3601" t="s">
        <v>41791</v>
      </c>
      <c r="D3601">
        <v>1037022454355</v>
      </c>
      <c r="E3601">
        <v>1</v>
      </c>
      <c r="F3601">
        <v>6126382180</v>
      </c>
      <c r="G3601">
        <v>23410</v>
      </c>
      <c r="H3601" t="s">
        <v>40293</v>
      </c>
      <c r="I3601">
        <v>23723</v>
      </c>
      <c r="J3601">
        <v>30</v>
      </c>
      <c r="K3601">
        <v>30</v>
      </c>
    </row>
    <row r="3602" spans="1:11">
      <c r="A3602">
        <v>90</v>
      </c>
      <c r="B3602" t="b">
        <v>0</v>
      </c>
      <c r="C3602" t="s">
        <v>41791</v>
      </c>
      <c r="D3602">
        <v>1037022454355</v>
      </c>
      <c r="E3602">
        <v>1</v>
      </c>
      <c r="F3602">
        <v>6126382176</v>
      </c>
      <c r="G3602">
        <v>55210</v>
      </c>
      <c r="H3602" t="s">
        <v>40293</v>
      </c>
      <c r="I3602">
        <v>23725</v>
      </c>
      <c r="J3602">
        <v>26</v>
      </c>
      <c r="K3602">
        <v>30</v>
      </c>
    </row>
    <row r="3603" spans="1:11">
      <c r="A3603">
        <v>90</v>
      </c>
      <c r="B3603" t="b">
        <v>0</v>
      </c>
      <c r="C3603" t="s">
        <v>41791</v>
      </c>
      <c r="D3603">
        <v>1037022454355</v>
      </c>
      <c r="E3603">
        <v>1</v>
      </c>
      <c r="F3603">
        <v>6126382172</v>
      </c>
      <c r="G3603">
        <v>6308</v>
      </c>
      <c r="H3603" t="s">
        <v>40293</v>
      </c>
      <c r="I3603">
        <v>23727</v>
      </c>
      <c r="J3603">
        <v>25</v>
      </c>
      <c r="K3603">
        <v>30</v>
      </c>
    </row>
    <row r="3604" spans="1:11">
      <c r="A3604">
        <v>90</v>
      </c>
      <c r="B3604" t="b">
        <v>0</v>
      </c>
      <c r="C3604" t="s">
        <v>43228</v>
      </c>
      <c r="D3604">
        <v>1037022454355</v>
      </c>
      <c r="E3604">
        <v>1</v>
      </c>
      <c r="F3604">
        <v>6143357257</v>
      </c>
      <c r="G3604">
        <v>1240000000</v>
      </c>
      <c r="H3604" t="s">
        <v>40293</v>
      </c>
      <c r="I3604">
        <v>23953</v>
      </c>
      <c r="J3604">
        <v>1</v>
      </c>
      <c r="K3604">
        <v>1</v>
      </c>
    </row>
    <row r="3605" spans="1:11">
      <c r="A3605">
        <v>90</v>
      </c>
      <c r="B3605" t="b">
        <v>0</v>
      </c>
      <c r="C3605" t="s">
        <v>40708</v>
      </c>
      <c r="D3605">
        <v>1037022454355</v>
      </c>
      <c r="E3605">
        <v>1</v>
      </c>
      <c r="F3605">
        <v>6067889077</v>
      </c>
      <c r="G3605">
        <v>48980000</v>
      </c>
      <c r="H3605" t="s">
        <v>40293</v>
      </c>
      <c r="I3605">
        <v>24283</v>
      </c>
      <c r="J3605">
        <v>6</v>
      </c>
      <c r="K3605">
        <v>8</v>
      </c>
    </row>
    <row r="3606" spans="1:11">
      <c r="A3606">
        <v>30</v>
      </c>
      <c r="B3606" t="b">
        <v>0</v>
      </c>
      <c r="C3606" t="s">
        <v>45858</v>
      </c>
      <c r="D3606">
        <v>1037022454355</v>
      </c>
      <c r="E3606">
        <v>1</v>
      </c>
      <c r="F3606">
        <v>6155295637</v>
      </c>
      <c r="G3606">
        <v>40000000</v>
      </c>
      <c r="H3606" t="s">
        <v>40293</v>
      </c>
      <c r="I3606">
        <v>24283</v>
      </c>
      <c r="J3606">
        <v>2</v>
      </c>
      <c r="K3606">
        <v>2</v>
      </c>
    </row>
    <row r="3607" spans="1:11">
      <c r="A3607">
        <v>90</v>
      </c>
      <c r="B3607" t="b">
        <v>0</v>
      </c>
      <c r="C3607" t="s">
        <v>43958</v>
      </c>
      <c r="D3607">
        <v>1037022454355</v>
      </c>
      <c r="E3607">
        <v>1</v>
      </c>
      <c r="F3607">
        <v>6139870549</v>
      </c>
      <c r="G3607">
        <v>8599000</v>
      </c>
      <c r="H3607" t="s">
        <v>40293</v>
      </c>
      <c r="I3607">
        <v>24305</v>
      </c>
      <c r="J3607">
        <v>15</v>
      </c>
      <c r="K3607">
        <v>38</v>
      </c>
    </row>
    <row r="3608" spans="1:11">
      <c r="A3608">
        <v>90</v>
      </c>
      <c r="B3608" t="b">
        <v>0</v>
      </c>
      <c r="C3608" t="s">
        <v>46339</v>
      </c>
      <c r="D3608">
        <v>1037022454355</v>
      </c>
      <c r="E3608">
        <v>1</v>
      </c>
      <c r="F3608">
        <v>6155498683</v>
      </c>
      <c r="G3608">
        <v>8598000</v>
      </c>
      <c r="H3608" t="s">
        <v>40293</v>
      </c>
      <c r="I3608">
        <v>24305</v>
      </c>
      <c r="J3608">
        <v>17</v>
      </c>
      <c r="K3608">
        <v>25</v>
      </c>
    </row>
    <row r="3609" spans="1:11">
      <c r="A3609">
        <v>90</v>
      </c>
      <c r="B3609" t="b">
        <v>0</v>
      </c>
      <c r="C3609" t="s">
        <v>40981</v>
      </c>
      <c r="D3609">
        <v>1037022454355</v>
      </c>
      <c r="E3609">
        <v>1</v>
      </c>
      <c r="F3609">
        <v>6094732746</v>
      </c>
      <c r="G3609">
        <v>3866000</v>
      </c>
      <c r="H3609" t="s">
        <v>40293</v>
      </c>
      <c r="I3609">
        <v>24348</v>
      </c>
      <c r="J3609">
        <v>1</v>
      </c>
      <c r="K3609">
        <v>1</v>
      </c>
    </row>
    <row r="3610" spans="1:11">
      <c r="A3610">
        <v>90</v>
      </c>
      <c r="B3610" t="b">
        <v>0</v>
      </c>
      <c r="C3610" t="s">
        <v>40981</v>
      </c>
      <c r="D3610">
        <v>1037022454355</v>
      </c>
      <c r="E3610">
        <v>1</v>
      </c>
      <c r="F3610">
        <v>6094732747</v>
      </c>
      <c r="G3610">
        <v>3866000</v>
      </c>
      <c r="H3610" t="s">
        <v>40293</v>
      </c>
      <c r="I3610">
        <v>24348</v>
      </c>
      <c r="J3610">
        <v>1</v>
      </c>
      <c r="K3610">
        <v>1</v>
      </c>
    </row>
    <row r="3611" spans="1:11">
      <c r="A3611">
        <v>90</v>
      </c>
      <c r="B3611" t="b">
        <v>0</v>
      </c>
      <c r="C3611" t="s">
        <v>40981</v>
      </c>
      <c r="D3611">
        <v>1037022454355</v>
      </c>
      <c r="E3611">
        <v>1</v>
      </c>
      <c r="F3611">
        <v>6094732748</v>
      </c>
      <c r="G3611">
        <v>3866000</v>
      </c>
      <c r="H3611" t="s">
        <v>40293</v>
      </c>
      <c r="I3611">
        <v>24348</v>
      </c>
      <c r="J3611">
        <v>1</v>
      </c>
      <c r="K3611">
        <v>1</v>
      </c>
    </row>
    <row r="3612" spans="1:11">
      <c r="A3612">
        <v>90</v>
      </c>
      <c r="B3612" t="b">
        <v>0</v>
      </c>
      <c r="C3612" t="s">
        <v>40981</v>
      </c>
      <c r="D3612">
        <v>1037022454355</v>
      </c>
      <c r="E3612">
        <v>1</v>
      </c>
      <c r="F3612">
        <v>6094732745</v>
      </c>
      <c r="G3612">
        <v>3866000</v>
      </c>
      <c r="H3612" t="s">
        <v>40293</v>
      </c>
      <c r="I3612">
        <v>24348</v>
      </c>
      <c r="J3612">
        <v>1</v>
      </c>
      <c r="K3612">
        <v>1</v>
      </c>
    </row>
    <row r="3613" spans="1:11">
      <c r="A3613">
        <v>90</v>
      </c>
      <c r="B3613" t="b">
        <v>0</v>
      </c>
      <c r="C3613" t="s">
        <v>41513</v>
      </c>
      <c r="D3613">
        <v>1037022454355</v>
      </c>
      <c r="E3613">
        <v>1</v>
      </c>
      <c r="F3613">
        <v>6104967430</v>
      </c>
      <c r="G3613">
        <v>3450000</v>
      </c>
      <c r="H3613" t="s">
        <v>40293</v>
      </c>
      <c r="I3613">
        <v>24348</v>
      </c>
      <c r="J3613">
        <v>9</v>
      </c>
      <c r="K3613">
        <v>10</v>
      </c>
    </row>
    <row r="3614" spans="1:11">
      <c r="A3614">
        <v>90</v>
      </c>
      <c r="B3614" t="b">
        <v>0</v>
      </c>
      <c r="C3614" t="s">
        <v>41188</v>
      </c>
      <c r="D3614">
        <v>1037022454355</v>
      </c>
      <c r="E3614">
        <v>1</v>
      </c>
      <c r="F3614">
        <v>6107713006</v>
      </c>
      <c r="G3614">
        <v>3299000</v>
      </c>
      <c r="H3614" t="s">
        <v>40293</v>
      </c>
      <c r="I3614">
        <v>24348</v>
      </c>
      <c r="J3614">
        <v>3</v>
      </c>
      <c r="K3614">
        <v>3</v>
      </c>
    </row>
    <row r="3615" spans="1:11">
      <c r="A3615">
        <v>90</v>
      </c>
      <c r="B3615" t="b">
        <v>0</v>
      </c>
      <c r="C3615" t="s">
        <v>40871</v>
      </c>
      <c r="D3615">
        <v>1037022454355</v>
      </c>
      <c r="E3615">
        <v>1</v>
      </c>
      <c r="F3615">
        <v>6097253344</v>
      </c>
      <c r="G3615">
        <v>3290000</v>
      </c>
      <c r="H3615" t="s">
        <v>40293</v>
      </c>
      <c r="I3615">
        <v>24348</v>
      </c>
      <c r="J3615">
        <v>3</v>
      </c>
      <c r="K3615">
        <v>5</v>
      </c>
    </row>
    <row r="3616" spans="1:11">
      <c r="A3616">
        <v>90</v>
      </c>
      <c r="B3616" t="b">
        <v>0</v>
      </c>
      <c r="C3616" t="s">
        <v>41644</v>
      </c>
      <c r="D3616">
        <v>1037022454355</v>
      </c>
      <c r="E3616">
        <v>1</v>
      </c>
      <c r="F3616">
        <v>6122534232</v>
      </c>
      <c r="G3616">
        <v>3287000</v>
      </c>
      <c r="H3616" t="s">
        <v>40293</v>
      </c>
      <c r="I3616">
        <v>24348</v>
      </c>
      <c r="J3616">
        <v>20</v>
      </c>
      <c r="K3616">
        <v>20</v>
      </c>
    </row>
    <row r="3617" spans="1:11">
      <c r="A3617">
        <v>90</v>
      </c>
      <c r="B3617" t="b">
        <v>0</v>
      </c>
      <c r="C3617" t="s">
        <v>40629</v>
      </c>
      <c r="D3617">
        <v>1037022454355</v>
      </c>
      <c r="E3617">
        <v>1</v>
      </c>
      <c r="F3617">
        <v>6092496284</v>
      </c>
      <c r="G3617">
        <v>3284000</v>
      </c>
      <c r="H3617" t="s">
        <v>40293</v>
      </c>
      <c r="I3617">
        <v>24348</v>
      </c>
      <c r="J3617">
        <v>4</v>
      </c>
      <c r="K3617">
        <v>40</v>
      </c>
    </row>
    <row r="3618" spans="1:11">
      <c r="A3618">
        <v>90</v>
      </c>
      <c r="B3618" t="b">
        <v>0</v>
      </c>
      <c r="C3618" t="s">
        <v>43583</v>
      </c>
      <c r="D3618">
        <v>1037022454355</v>
      </c>
      <c r="E3618">
        <v>1</v>
      </c>
      <c r="F3618">
        <v>6138482405</v>
      </c>
      <c r="G3618">
        <v>3283000</v>
      </c>
      <c r="H3618" t="s">
        <v>40293</v>
      </c>
      <c r="I3618">
        <v>24348</v>
      </c>
      <c r="J3618">
        <v>1</v>
      </c>
      <c r="K3618">
        <v>1</v>
      </c>
    </row>
    <row r="3619" spans="1:11">
      <c r="A3619">
        <v>90</v>
      </c>
      <c r="B3619" t="b">
        <v>0</v>
      </c>
      <c r="C3619" t="s">
        <v>42803</v>
      </c>
      <c r="D3619">
        <v>1037022454355</v>
      </c>
      <c r="E3619">
        <v>1</v>
      </c>
      <c r="F3619">
        <v>6079639906</v>
      </c>
      <c r="G3619">
        <v>3283000</v>
      </c>
      <c r="H3619" t="s">
        <v>40293</v>
      </c>
      <c r="I3619">
        <v>24348</v>
      </c>
      <c r="J3619">
        <v>12</v>
      </c>
      <c r="K3619">
        <v>25</v>
      </c>
    </row>
    <row r="3620" spans="1:11">
      <c r="A3620">
        <v>90</v>
      </c>
      <c r="B3620" t="b">
        <v>0</v>
      </c>
      <c r="C3620" t="s">
        <v>44994</v>
      </c>
      <c r="D3620">
        <v>1037022454355</v>
      </c>
      <c r="E3620">
        <v>1</v>
      </c>
      <c r="F3620">
        <v>6151975250</v>
      </c>
      <c r="G3620">
        <v>2492000</v>
      </c>
      <c r="H3620" t="s">
        <v>40293</v>
      </c>
      <c r="I3620">
        <v>24348</v>
      </c>
      <c r="J3620">
        <v>7</v>
      </c>
      <c r="K3620">
        <v>10</v>
      </c>
    </row>
    <row r="3621" spans="1:11">
      <c r="A3621">
        <v>90</v>
      </c>
      <c r="B3621" t="b">
        <v>0</v>
      </c>
      <c r="C3621" t="s">
        <v>44096</v>
      </c>
      <c r="D3621">
        <v>1037022454355</v>
      </c>
      <c r="E3621">
        <v>1</v>
      </c>
      <c r="F3621">
        <v>6157435593</v>
      </c>
      <c r="G3621">
        <v>2491000</v>
      </c>
      <c r="H3621" t="s">
        <v>40293</v>
      </c>
      <c r="I3621">
        <v>24348</v>
      </c>
      <c r="J3621">
        <v>8</v>
      </c>
      <c r="K3621">
        <v>8</v>
      </c>
    </row>
    <row r="3622" spans="1:11">
      <c r="A3622">
        <v>90</v>
      </c>
      <c r="B3622" t="b">
        <v>0</v>
      </c>
      <c r="C3622" t="s">
        <v>40788</v>
      </c>
      <c r="D3622">
        <v>1037022454355</v>
      </c>
      <c r="E3622">
        <v>1</v>
      </c>
      <c r="F3622">
        <v>6094629807</v>
      </c>
      <c r="G3622">
        <v>990000</v>
      </c>
      <c r="H3622" t="s">
        <v>40293</v>
      </c>
      <c r="I3622">
        <v>24395</v>
      </c>
      <c r="J3622">
        <v>40</v>
      </c>
      <c r="K3622">
        <v>42</v>
      </c>
    </row>
    <row r="3623" spans="1:11">
      <c r="A3623">
        <v>90</v>
      </c>
      <c r="B3623" t="b">
        <v>0</v>
      </c>
      <c r="C3623" t="s">
        <v>42784</v>
      </c>
      <c r="D3623">
        <v>1037022454355</v>
      </c>
      <c r="E3623">
        <v>1</v>
      </c>
      <c r="F3623">
        <v>6136688044</v>
      </c>
      <c r="G3623">
        <v>693700</v>
      </c>
      <c r="H3623" t="s">
        <v>40293</v>
      </c>
      <c r="I3623">
        <v>24395</v>
      </c>
      <c r="J3623">
        <v>1</v>
      </c>
      <c r="K3623">
        <v>1</v>
      </c>
    </row>
    <row r="3624" spans="1:11">
      <c r="A3624">
        <v>90</v>
      </c>
      <c r="B3624" t="b">
        <v>0</v>
      </c>
      <c r="C3624" t="s">
        <v>43692</v>
      </c>
      <c r="D3624">
        <v>1037022454355</v>
      </c>
      <c r="E3624">
        <v>1</v>
      </c>
      <c r="F3624">
        <v>6126067442</v>
      </c>
      <c r="G3624">
        <v>692900</v>
      </c>
      <c r="H3624" t="s">
        <v>40293</v>
      </c>
      <c r="I3624">
        <v>24395</v>
      </c>
      <c r="J3624">
        <v>4</v>
      </c>
      <c r="K3624">
        <v>12</v>
      </c>
    </row>
    <row r="3625" spans="1:11">
      <c r="A3625">
        <v>90</v>
      </c>
      <c r="B3625" t="b">
        <v>0</v>
      </c>
      <c r="C3625" t="s">
        <v>43659</v>
      </c>
      <c r="D3625">
        <v>1037022454355</v>
      </c>
      <c r="E3625">
        <v>1</v>
      </c>
      <c r="F3625">
        <v>6142974539</v>
      </c>
      <c r="G3625">
        <v>692800</v>
      </c>
      <c r="H3625" t="s">
        <v>40293</v>
      </c>
      <c r="I3625">
        <v>24395</v>
      </c>
      <c r="J3625">
        <v>1</v>
      </c>
      <c r="K3625">
        <v>16</v>
      </c>
    </row>
    <row r="3626" spans="1:11">
      <c r="A3626">
        <v>90</v>
      </c>
      <c r="B3626" t="b">
        <v>0</v>
      </c>
      <c r="C3626" t="s">
        <v>46296</v>
      </c>
      <c r="D3626">
        <v>1037022454355</v>
      </c>
      <c r="E3626">
        <v>1</v>
      </c>
      <c r="F3626">
        <v>6157398635</v>
      </c>
      <c r="G3626">
        <v>692700</v>
      </c>
      <c r="H3626" t="s">
        <v>40293</v>
      </c>
      <c r="I3626">
        <v>24395</v>
      </c>
      <c r="J3626">
        <v>2</v>
      </c>
      <c r="K3626">
        <v>2</v>
      </c>
    </row>
    <row r="3627" spans="1:11">
      <c r="A3627">
        <v>90</v>
      </c>
      <c r="B3627" t="b">
        <v>0</v>
      </c>
      <c r="C3627" t="s">
        <v>40439</v>
      </c>
      <c r="D3627">
        <v>1037022454355</v>
      </c>
      <c r="E3627">
        <v>1</v>
      </c>
      <c r="F3627">
        <v>6097767935</v>
      </c>
      <c r="G3627">
        <v>1798000</v>
      </c>
      <c r="H3627" t="s">
        <v>40293</v>
      </c>
      <c r="I3627">
        <v>24417</v>
      </c>
      <c r="J3627">
        <v>20</v>
      </c>
      <c r="K3627">
        <v>20</v>
      </c>
    </row>
    <row r="3628" spans="1:11">
      <c r="A3628">
        <v>90</v>
      </c>
      <c r="B3628" t="b">
        <v>0</v>
      </c>
      <c r="C3628" t="s">
        <v>40690</v>
      </c>
      <c r="D3628">
        <v>1037022454355</v>
      </c>
      <c r="E3628">
        <v>1</v>
      </c>
      <c r="F3628">
        <v>6069690989</v>
      </c>
      <c r="G3628">
        <v>1750000</v>
      </c>
      <c r="H3628" t="s">
        <v>40293</v>
      </c>
      <c r="I3628">
        <v>24417</v>
      </c>
      <c r="J3628">
        <v>10</v>
      </c>
      <c r="K3628">
        <v>20</v>
      </c>
    </row>
    <row r="3629" spans="1:11">
      <c r="A3629">
        <v>90</v>
      </c>
      <c r="B3629" t="b">
        <v>0</v>
      </c>
      <c r="C3629" t="s">
        <v>41569</v>
      </c>
      <c r="D3629">
        <v>1037022454355</v>
      </c>
      <c r="E3629">
        <v>1</v>
      </c>
      <c r="F3629">
        <v>6112374441</v>
      </c>
      <c r="G3629">
        <v>1735000</v>
      </c>
      <c r="H3629" t="s">
        <v>40293</v>
      </c>
      <c r="I3629">
        <v>24417</v>
      </c>
      <c r="J3629">
        <v>5</v>
      </c>
      <c r="K3629">
        <v>11</v>
      </c>
    </row>
    <row r="3630" spans="1:11">
      <c r="A3630">
        <v>90</v>
      </c>
      <c r="B3630" t="b">
        <v>0</v>
      </c>
      <c r="C3630" t="s">
        <v>40325</v>
      </c>
      <c r="D3630">
        <v>1037022454355</v>
      </c>
      <c r="E3630">
        <v>1</v>
      </c>
      <c r="F3630">
        <v>6116246483</v>
      </c>
      <c r="G3630">
        <v>1733000</v>
      </c>
      <c r="H3630" t="s">
        <v>40293</v>
      </c>
      <c r="I3630">
        <v>24417</v>
      </c>
      <c r="J3630">
        <v>36</v>
      </c>
      <c r="K3630">
        <v>40</v>
      </c>
    </row>
    <row r="3631" spans="1:11">
      <c r="A3631">
        <v>90</v>
      </c>
      <c r="B3631" t="b">
        <v>0</v>
      </c>
      <c r="C3631" t="s">
        <v>41174</v>
      </c>
      <c r="D3631">
        <v>1037022454355</v>
      </c>
      <c r="E3631">
        <v>1</v>
      </c>
      <c r="F3631">
        <v>6105746582</v>
      </c>
      <c r="G3631">
        <v>1729000</v>
      </c>
      <c r="H3631" t="s">
        <v>40293</v>
      </c>
      <c r="I3631">
        <v>24417</v>
      </c>
      <c r="J3631">
        <v>51</v>
      </c>
      <c r="K3631">
        <v>60</v>
      </c>
    </row>
    <row r="3632" spans="1:11">
      <c r="A3632">
        <v>90</v>
      </c>
      <c r="B3632" t="b">
        <v>0</v>
      </c>
      <c r="C3632" t="s">
        <v>43237</v>
      </c>
      <c r="D3632">
        <v>1037022454355</v>
      </c>
      <c r="E3632">
        <v>1</v>
      </c>
      <c r="F3632">
        <v>6094629094</v>
      </c>
      <c r="G3632">
        <v>1727000</v>
      </c>
      <c r="H3632" t="s">
        <v>40293</v>
      </c>
      <c r="I3632">
        <v>24417</v>
      </c>
      <c r="J3632">
        <v>35</v>
      </c>
      <c r="K3632">
        <v>44</v>
      </c>
    </row>
    <row r="3633" spans="1:11">
      <c r="A3633">
        <v>90</v>
      </c>
      <c r="B3633" t="b">
        <v>0</v>
      </c>
      <c r="C3633" t="s">
        <v>44987</v>
      </c>
      <c r="D3633">
        <v>1037022454355</v>
      </c>
      <c r="E3633">
        <v>1</v>
      </c>
      <c r="F3633">
        <v>6152947753</v>
      </c>
      <c r="G3633">
        <v>1726000</v>
      </c>
      <c r="H3633" t="s">
        <v>40293</v>
      </c>
      <c r="I3633">
        <v>24417</v>
      </c>
      <c r="J3633">
        <v>5</v>
      </c>
      <c r="K3633">
        <v>25</v>
      </c>
    </row>
    <row r="3634" spans="1:11">
      <c r="A3634">
        <v>30</v>
      </c>
      <c r="B3634" t="b">
        <v>0</v>
      </c>
      <c r="C3634" t="s">
        <v>44081</v>
      </c>
      <c r="D3634">
        <v>1037022454355</v>
      </c>
      <c r="E3634">
        <v>1</v>
      </c>
      <c r="F3634">
        <v>6154463559</v>
      </c>
      <c r="G3634">
        <v>1726000</v>
      </c>
      <c r="H3634" t="s">
        <v>40293</v>
      </c>
      <c r="I3634">
        <v>24417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40809</v>
      </c>
      <c r="D3635">
        <v>1037022454355</v>
      </c>
      <c r="E3635">
        <v>1</v>
      </c>
      <c r="F3635">
        <v>6113766791</v>
      </c>
      <c r="G3635">
        <v>1978000</v>
      </c>
      <c r="H3635" t="s">
        <v>40293</v>
      </c>
      <c r="I3635">
        <v>24427</v>
      </c>
      <c r="J3635">
        <v>3</v>
      </c>
      <c r="K3635">
        <v>3</v>
      </c>
    </row>
    <row r="3636" spans="1:11">
      <c r="A3636">
        <v>90</v>
      </c>
      <c r="B3636" t="b">
        <v>0</v>
      </c>
      <c r="C3636" t="s">
        <v>42006</v>
      </c>
      <c r="D3636">
        <v>1037022454355</v>
      </c>
      <c r="E3636">
        <v>1</v>
      </c>
      <c r="F3636">
        <v>6131090743</v>
      </c>
      <c r="G3636">
        <v>1950000</v>
      </c>
      <c r="H3636" t="s">
        <v>40293</v>
      </c>
      <c r="I3636">
        <v>24427</v>
      </c>
      <c r="J3636">
        <v>1</v>
      </c>
      <c r="K3636">
        <v>1</v>
      </c>
    </row>
    <row r="3637" spans="1:11">
      <c r="A3637">
        <v>90</v>
      </c>
      <c r="B3637" t="b">
        <v>0</v>
      </c>
      <c r="C3637" t="s">
        <v>41841</v>
      </c>
      <c r="D3637">
        <v>1037022454355</v>
      </c>
      <c r="E3637">
        <v>1</v>
      </c>
      <c r="F3637">
        <v>6127461627</v>
      </c>
      <c r="G3637">
        <v>1949000</v>
      </c>
      <c r="H3637" t="s">
        <v>40293</v>
      </c>
      <c r="I3637">
        <v>24427</v>
      </c>
      <c r="J3637">
        <v>8</v>
      </c>
      <c r="K3637">
        <v>12</v>
      </c>
    </row>
    <row r="3638" spans="1:11">
      <c r="A3638">
        <v>90</v>
      </c>
      <c r="B3638" t="b">
        <v>0</v>
      </c>
      <c r="C3638" t="s">
        <v>42179</v>
      </c>
      <c r="D3638">
        <v>1037022454355</v>
      </c>
      <c r="E3638">
        <v>1</v>
      </c>
      <c r="F3638">
        <v>6122788863</v>
      </c>
      <c r="G3638">
        <v>1945000</v>
      </c>
      <c r="H3638" t="s">
        <v>40293</v>
      </c>
      <c r="I3638">
        <v>24427</v>
      </c>
      <c r="J3638">
        <v>2</v>
      </c>
      <c r="K3638">
        <v>25</v>
      </c>
    </row>
    <row r="3639" spans="1:11">
      <c r="A3639">
        <v>90</v>
      </c>
      <c r="B3639" t="b">
        <v>0</v>
      </c>
      <c r="C3639" t="s">
        <v>42597</v>
      </c>
      <c r="D3639">
        <v>1037022454355</v>
      </c>
      <c r="E3639">
        <v>1</v>
      </c>
      <c r="F3639">
        <v>6069405411</v>
      </c>
      <c r="G3639">
        <v>1942000</v>
      </c>
      <c r="H3639" t="s">
        <v>40293</v>
      </c>
      <c r="I3639">
        <v>24427</v>
      </c>
      <c r="J3639">
        <v>9</v>
      </c>
      <c r="K3639">
        <v>19</v>
      </c>
    </row>
    <row r="3640" spans="1:11">
      <c r="A3640">
        <v>90</v>
      </c>
      <c r="B3640" t="b">
        <v>0</v>
      </c>
      <c r="C3640" t="s">
        <v>43726</v>
      </c>
      <c r="D3640">
        <v>1037022454355</v>
      </c>
      <c r="E3640">
        <v>1</v>
      </c>
      <c r="F3640">
        <v>6125970106</v>
      </c>
      <c r="G3640">
        <v>1939000</v>
      </c>
      <c r="H3640" t="s">
        <v>40293</v>
      </c>
      <c r="I3640">
        <v>24427</v>
      </c>
      <c r="J3640">
        <v>13</v>
      </c>
      <c r="K3640">
        <v>35</v>
      </c>
    </row>
    <row r="3641" spans="1:11">
      <c r="A3641">
        <v>90</v>
      </c>
      <c r="B3641" t="b">
        <v>0</v>
      </c>
      <c r="C3641" t="s">
        <v>43447</v>
      </c>
      <c r="D3641">
        <v>1037022454355</v>
      </c>
      <c r="E3641">
        <v>1</v>
      </c>
      <c r="F3641">
        <v>6142052916</v>
      </c>
      <c r="G3641">
        <v>1915000</v>
      </c>
      <c r="H3641" t="s">
        <v>40293</v>
      </c>
      <c r="I3641">
        <v>24427</v>
      </c>
      <c r="J3641">
        <v>1</v>
      </c>
      <c r="K3641">
        <v>10</v>
      </c>
    </row>
    <row r="3642" spans="1:11">
      <c r="A3642">
        <v>90</v>
      </c>
      <c r="B3642" t="b">
        <v>0</v>
      </c>
      <c r="C3642" t="s">
        <v>43800</v>
      </c>
      <c r="D3642">
        <v>1037022454355</v>
      </c>
      <c r="E3642">
        <v>1</v>
      </c>
      <c r="F3642">
        <v>6145600520</v>
      </c>
      <c r="G3642">
        <v>1914000</v>
      </c>
      <c r="H3642" t="s">
        <v>40293</v>
      </c>
      <c r="I3642">
        <v>24427</v>
      </c>
      <c r="J3642">
        <v>20</v>
      </c>
      <c r="K3642">
        <v>20</v>
      </c>
    </row>
    <row r="3643" spans="1:11">
      <c r="A3643">
        <v>90</v>
      </c>
      <c r="B3643" t="b">
        <v>0</v>
      </c>
      <c r="C3643" t="s">
        <v>43326</v>
      </c>
      <c r="D3643">
        <v>1037022454355</v>
      </c>
      <c r="E3643">
        <v>1</v>
      </c>
      <c r="F3643">
        <v>6115766442</v>
      </c>
      <c r="G3643">
        <v>1912000</v>
      </c>
      <c r="H3643" t="s">
        <v>40293</v>
      </c>
      <c r="I3643">
        <v>24427</v>
      </c>
      <c r="J3643">
        <v>18</v>
      </c>
      <c r="K3643">
        <v>40</v>
      </c>
    </row>
    <row r="3644" spans="1:11">
      <c r="A3644">
        <v>30</v>
      </c>
      <c r="B3644" t="b">
        <v>0</v>
      </c>
      <c r="C3644" t="s">
        <v>45093</v>
      </c>
      <c r="D3644">
        <v>1037022454355</v>
      </c>
      <c r="E3644">
        <v>1</v>
      </c>
      <c r="F3644">
        <v>6147726262</v>
      </c>
      <c r="G3644">
        <v>1912000</v>
      </c>
      <c r="H3644" t="s">
        <v>40293</v>
      </c>
      <c r="I3644">
        <v>24427</v>
      </c>
      <c r="J3644">
        <v>4</v>
      </c>
      <c r="K3644">
        <v>4</v>
      </c>
    </row>
    <row r="3645" spans="1:11">
      <c r="A3645">
        <v>90</v>
      </c>
      <c r="B3645" t="b">
        <v>0</v>
      </c>
      <c r="C3645" t="s">
        <v>46453</v>
      </c>
      <c r="D3645">
        <v>1037022454355</v>
      </c>
      <c r="E3645">
        <v>1</v>
      </c>
      <c r="F3645">
        <v>6150935685</v>
      </c>
      <c r="G3645">
        <v>1908000</v>
      </c>
      <c r="H3645" t="s">
        <v>40293</v>
      </c>
      <c r="I3645">
        <v>24427</v>
      </c>
      <c r="J3645">
        <v>3</v>
      </c>
      <c r="K3645">
        <v>3</v>
      </c>
    </row>
    <row r="3646" spans="1:11">
      <c r="A3646">
        <v>90</v>
      </c>
      <c r="B3646" t="b">
        <v>0</v>
      </c>
      <c r="C3646" t="s">
        <v>45110</v>
      </c>
      <c r="D3646">
        <v>1037022454355</v>
      </c>
      <c r="E3646">
        <v>1</v>
      </c>
      <c r="F3646">
        <v>6152435427</v>
      </c>
      <c r="G3646">
        <v>1875000</v>
      </c>
      <c r="H3646" t="s">
        <v>40293</v>
      </c>
      <c r="I3646">
        <v>24427</v>
      </c>
      <c r="J3646">
        <v>50</v>
      </c>
      <c r="K3646">
        <v>50</v>
      </c>
    </row>
    <row r="3647" spans="1:11">
      <c r="A3647">
        <v>90</v>
      </c>
      <c r="B3647" t="b">
        <v>0</v>
      </c>
      <c r="C3647" t="s">
        <v>42162</v>
      </c>
      <c r="D3647">
        <v>1037022454355</v>
      </c>
      <c r="E3647">
        <v>1</v>
      </c>
      <c r="F3647">
        <v>6067737123</v>
      </c>
      <c r="G3647">
        <v>2310000</v>
      </c>
      <c r="H3647" t="s">
        <v>40293</v>
      </c>
      <c r="I3647">
        <v>24443</v>
      </c>
      <c r="J3647">
        <v>2</v>
      </c>
      <c r="K3647">
        <v>13</v>
      </c>
    </row>
    <row r="3648" spans="1:11">
      <c r="A3648">
        <v>90</v>
      </c>
      <c r="B3648" t="b">
        <v>0</v>
      </c>
      <c r="C3648" t="s">
        <v>42371</v>
      </c>
      <c r="D3648">
        <v>1037022454355</v>
      </c>
      <c r="E3648">
        <v>1</v>
      </c>
      <c r="F3648">
        <v>6134732394</v>
      </c>
      <c r="G3648">
        <v>2309000</v>
      </c>
      <c r="H3648" t="s">
        <v>40293</v>
      </c>
      <c r="I3648">
        <v>24443</v>
      </c>
      <c r="J3648">
        <v>4</v>
      </c>
      <c r="K3648">
        <v>25</v>
      </c>
    </row>
    <row r="3649" spans="1:11">
      <c r="A3649">
        <v>90</v>
      </c>
      <c r="B3649" t="b">
        <v>0</v>
      </c>
      <c r="C3649" t="s">
        <v>46351</v>
      </c>
      <c r="D3649">
        <v>1037022454355</v>
      </c>
      <c r="E3649">
        <v>1</v>
      </c>
      <c r="F3649">
        <v>6154450302</v>
      </c>
      <c r="G3649">
        <v>1000000</v>
      </c>
      <c r="H3649" t="s">
        <v>40293</v>
      </c>
      <c r="I3649">
        <v>24445</v>
      </c>
      <c r="J3649">
        <v>8</v>
      </c>
      <c r="K3649">
        <v>10</v>
      </c>
    </row>
    <row r="3650" spans="1:11">
      <c r="A3650">
        <v>90</v>
      </c>
      <c r="B3650" t="b">
        <v>0</v>
      </c>
      <c r="C3650" t="s">
        <v>45761</v>
      </c>
      <c r="D3650">
        <v>1037022454355</v>
      </c>
      <c r="E3650">
        <v>1</v>
      </c>
      <c r="F3650">
        <v>6154246026</v>
      </c>
      <c r="G3650">
        <v>119.5</v>
      </c>
      <c r="H3650" t="s">
        <v>40293</v>
      </c>
      <c r="I3650">
        <v>24471</v>
      </c>
      <c r="J3650">
        <v>11140</v>
      </c>
      <c r="K3650">
        <v>20000</v>
      </c>
    </row>
    <row r="3651" spans="1:11">
      <c r="A3651">
        <v>90</v>
      </c>
      <c r="B3651" t="b">
        <v>0</v>
      </c>
      <c r="C3651" t="s">
        <v>46526</v>
      </c>
      <c r="D3651">
        <v>1037022454355</v>
      </c>
      <c r="E3651">
        <v>1</v>
      </c>
      <c r="F3651">
        <v>6152584720</v>
      </c>
      <c r="G3651">
        <v>276</v>
      </c>
      <c r="H3651" t="s">
        <v>40293</v>
      </c>
      <c r="I3651">
        <v>24473</v>
      </c>
      <c r="J3651">
        <v>99000</v>
      </c>
      <c r="K3651">
        <v>100000</v>
      </c>
    </row>
    <row r="3652" spans="1:11">
      <c r="A3652">
        <v>90</v>
      </c>
      <c r="B3652" t="b">
        <v>0</v>
      </c>
      <c r="C3652" t="s">
        <v>44268</v>
      </c>
      <c r="D3652">
        <v>1037022454355</v>
      </c>
      <c r="E3652">
        <v>1</v>
      </c>
      <c r="F3652">
        <v>6144429084</v>
      </c>
      <c r="G3652">
        <v>275.89999999999998</v>
      </c>
      <c r="H3652" t="s">
        <v>40293</v>
      </c>
      <c r="I3652">
        <v>24473</v>
      </c>
      <c r="J3652">
        <v>5501</v>
      </c>
      <c r="K3652">
        <v>7578</v>
      </c>
    </row>
    <row r="3653" spans="1:11">
      <c r="A3653">
        <v>90</v>
      </c>
      <c r="B3653" t="b">
        <v>0</v>
      </c>
      <c r="C3653" t="s">
        <v>40849</v>
      </c>
      <c r="D3653">
        <v>1037022454355</v>
      </c>
      <c r="E3653">
        <v>1</v>
      </c>
      <c r="F3653">
        <v>6117732855</v>
      </c>
      <c r="G3653">
        <v>250</v>
      </c>
      <c r="H3653" t="s">
        <v>40293</v>
      </c>
      <c r="I3653">
        <v>24475</v>
      </c>
      <c r="J3653">
        <v>47736</v>
      </c>
      <c r="K3653">
        <v>50000</v>
      </c>
    </row>
    <row r="3654" spans="1:11">
      <c r="A3654">
        <v>90</v>
      </c>
      <c r="B3654" t="b">
        <v>0</v>
      </c>
      <c r="C3654" t="s">
        <v>43057</v>
      </c>
      <c r="D3654">
        <v>1037022454355</v>
      </c>
      <c r="E3654">
        <v>1</v>
      </c>
      <c r="F3654">
        <v>6139122997</v>
      </c>
      <c r="G3654">
        <v>249.8</v>
      </c>
      <c r="H3654" t="s">
        <v>40293</v>
      </c>
      <c r="I3654">
        <v>24475</v>
      </c>
      <c r="J3654">
        <v>1659</v>
      </c>
      <c r="K3654">
        <v>8500</v>
      </c>
    </row>
    <row r="3655" spans="1:11">
      <c r="A3655">
        <v>90</v>
      </c>
      <c r="B3655" t="b">
        <v>0</v>
      </c>
      <c r="C3655" t="s">
        <v>42815</v>
      </c>
      <c r="D3655">
        <v>1037022454355</v>
      </c>
      <c r="E3655">
        <v>1</v>
      </c>
      <c r="F3655">
        <v>6135510353</v>
      </c>
      <c r="G3655">
        <v>239.9</v>
      </c>
      <c r="H3655" t="s">
        <v>40293</v>
      </c>
      <c r="I3655">
        <v>24477</v>
      </c>
      <c r="J3655">
        <v>47707</v>
      </c>
      <c r="K3655">
        <v>50000</v>
      </c>
    </row>
    <row r="3656" spans="1:11">
      <c r="A3656">
        <v>90</v>
      </c>
      <c r="B3656" t="b">
        <v>0</v>
      </c>
      <c r="C3656" t="s">
        <v>44559</v>
      </c>
      <c r="D3656">
        <v>1037022454355</v>
      </c>
      <c r="E3656">
        <v>1</v>
      </c>
      <c r="F3656">
        <v>6090464423</v>
      </c>
      <c r="G3656">
        <v>239.8</v>
      </c>
      <c r="H3656" t="s">
        <v>40293</v>
      </c>
      <c r="I3656">
        <v>24477</v>
      </c>
      <c r="J3656">
        <v>15842</v>
      </c>
      <c r="K3656">
        <v>20000</v>
      </c>
    </row>
    <row r="3657" spans="1:11">
      <c r="A3657">
        <v>90</v>
      </c>
      <c r="B3657" t="b">
        <v>0</v>
      </c>
      <c r="C3657" t="s">
        <v>46289</v>
      </c>
      <c r="D3657">
        <v>1037022454355</v>
      </c>
      <c r="E3657">
        <v>1</v>
      </c>
      <c r="F3657">
        <v>6152581654</v>
      </c>
      <c r="G3657">
        <v>250</v>
      </c>
      <c r="H3657" t="s">
        <v>40293</v>
      </c>
      <c r="I3657">
        <v>24478</v>
      </c>
      <c r="J3657">
        <v>6984</v>
      </c>
      <c r="K3657">
        <v>6984</v>
      </c>
    </row>
    <row r="3658" spans="1:11">
      <c r="A3658">
        <v>90</v>
      </c>
      <c r="B3658" t="b">
        <v>0</v>
      </c>
      <c r="C3658" t="s">
        <v>46464</v>
      </c>
      <c r="D3658">
        <v>1037022454355</v>
      </c>
      <c r="E3658">
        <v>1</v>
      </c>
      <c r="F3658">
        <v>6152584128</v>
      </c>
      <c r="G3658">
        <v>250</v>
      </c>
      <c r="H3658" t="s">
        <v>40293</v>
      </c>
      <c r="I3658">
        <v>24479</v>
      </c>
      <c r="J3658">
        <v>100000</v>
      </c>
      <c r="K3658">
        <v>100000</v>
      </c>
    </row>
    <row r="3659" spans="1:11">
      <c r="A3659">
        <v>90</v>
      </c>
      <c r="B3659" t="b">
        <v>0</v>
      </c>
      <c r="C3659" t="s">
        <v>44215</v>
      </c>
      <c r="D3659">
        <v>1037022454355</v>
      </c>
      <c r="E3659">
        <v>1</v>
      </c>
      <c r="F3659">
        <v>6154245865</v>
      </c>
      <c r="G3659">
        <v>245</v>
      </c>
      <c r="H3659" t="s">
        <v>40293</v>
      </c>
      <c r="I3659">
        <v>24479</v>
      </c>
      <c r="J3659">
        <v>13100</v>
      </c>
      <c r="K3659">
        <v>15100</v>
      </c>
    </row>
    <row r="3660" spans="1:11">
      <c r="A3660">
        <v>90</v>
      </c>
      <c r="B3660" t="b">
        <v>0</v>
      </c>
      <c r="C3660" t="s">
        <v>44793</v>
      </c>
      <c r="D3660">
        <v>1037022454355</v>
      </c>
      <c r="E3660">
        <v>1</v>
      </c>
      <c r="F3660">
        <v>6153774933</v>
      </c>
      <c r="G3660">
        <v>3000000000</v>
      </c>
      <c r="H3660" t="s">
        <v>40293</v>
      </c>
      <c r="I3660">
        <v>24483</v>
      </c>
      <c r="J3660">
        <v>1</v>
      </c>
      <c r="K3660">
        <v>1</v>
      </c>
    </row>
    <row r="3661" spans="1:11">
      <c r="A3661">
        <v>90</v>
      </c>
      <c r="B3661" t="b">
        <v>0</v>
      </c>
      <c r="C3661" t="s">
        <v>43371</v>
      </c>
      <c r="D3661">
        <v>1037022454355</v>
      </c>
      <c r="E3661">
        <v>1</v>
      </c>
      <c r="F3661">
        <v>6139032846</v>
      </c>
      <c r="G3661">
        <v>200</v>
      </c>
      <c r="H3661" t="s">
        <v>40293</v>
      </c>
      <c r="I3661">
        <v>24486</v>
      </c>
      <c r="J3661">
        <v>2021515</v>
      </c>
      <c r="K3661">
        <v>2021515</v>
      </c>
    </row>
    <row r="3662" spans="1:11">
      <c r="A3662">
        <v>90</v>
      </c>
      <c r="B3662" t="b">
        <v>0</v>
      </c>
      <c r="C3662" t="s">
        <v>43652</v>
      </c>
      <c r="D3662">
        <v>1037022454355</v>
      </c>
      <c r="E3662">
        <v>1</v>
      </c>
      <c r="F3662">
        <v>6080714966</v>
      </c>
      <c r="G3662">
        <v>190</v>
      </c>
      <c r="H3662" t="s">
        <v>40293</v>
      </c>
      <c r="I3662">
        <v>24486</v>
      </c>
      <c r="J3662">
        <v>361609</v>
      </c>
      <c r="K3662">
        <v>539017</v>
      </c>
    </row>
    <row r="3663" spans="1:11">
      <c r="A3663">
        <v>90</v>
      </c>
      <c r="B3663" t="b">
        <v>0</v>
      </c>
      <c r="C3663" t="s">
        <v>41074</v>
      </c>
      <c r="D3663">
        <v>1037022454355</v>
      </c>
      <c r="E3663">
        <v>1</v>
      </c>
      <c r="F3663">
        <v>6117213435</v>
      </c>
      <c r="G3663">
        <v>800</v>
      </c>
      <c r="H3663" t="s">
        <v>40293</v>
      </c>
      <c r="I3663">
        <v>24488</v>
      </c>
      <c r="J3663">
        <v>1733</v>
      </c>
      <c r="K3663">
        <v>15000</v>
      </c>
    </row>
    <row r="3664" spans="1:11">
      <c r="A3664">
        <v>90</v>
      </c>
      <c r="B3664" t="b">
        <v>0</v>
      </c>
      <c r="C3664" t="s">
        <v>43138</v>
      </c>
      <c r="D3664">
        <v>1037022454355</v>
      </c>
      <c r="E3664">
        <v>1</v>
      </c>
      <c r="F3664">
        <v>6123494748</v>
      </c>
      <c r="G3664">
        <v>699.8</v>
      </c>
      <c r="H3664" t="s">
        <v>40293</v>
      </c>
      <c r="I3664">
        <v>24488</v>
      </c>
      <c r="J3664">
        <v>19386</v>
      </c>
      <c r="K3664">
        <v>101266</v>
      </c>
    </row>
    <row r="3665" spans="1:11">
      <c r="A3665">
        <v>7</v>
      </c>
      <c r="B3665" t="b">
        <v>0</v>
      </c>
      <c r="C3665" t="s">
        <v>44759</v>
      </c>
      <c r="D3665">
        <v>1037022454355</v>
      </c>
      <c r="E3665">
        <v>1</v>
      </c>
      <c r="F3665">
        <v>6151349739</v>
      </c>
      <c r="G3665">
        <v>350</v>
      </c>
      <c r="H3665" t="s">
        <v>40293</v>
      </c>
      <c r="I3665">
        <v>24488</v>
      </c>
      <c r="J3665">
        <v>8542</v>
      </c>
      <c r="K3665">
        <v>14000</v>
      </c>
    </row>
    <row r="3666" spans="1:11">
      <c r="A3666">
        <v>90</v>
      </c>
      <c r="B3666" t="b">
        <v>0</v>
      </c>
      <c r="C3666" t="s">
        <v>41517</v>
      </c>
      <c r="D3666">
        <v>1037022454355</v>
      </c>
      <c r="E3666">
        <v>1</v>
      </c>
      <c r="F3666">
        <v>6101592404</v>
      </c>
      <c r="G3666">
        <v>199</v>
      </c>
      <c r="H3666" t="s">
        <v>40293</v>
      </c>
      <c r="I3666">
        <v>24490</v>
      </c>
      <c r="J3666">
        <v>268773</v>
      </c>
      <c r="K3666">
        <v>800000</v>
      </c>
    </row>
    <row r="3667" spans="1:11">
      <c r="A3667">
        <v>90</v>
      </c>
      <c r="B3667" t="b">
        <v>0</v>
      </c>
      <c r="C3667" t="s">
        <v>42133</v>
      </c>
      <c r="D3667">
        <v>1037022454355</v>
      </c>
      <c r="E3667">
        <v>1</v>
      </c>
      <c r="F3667">
        <v>6130679767</v>
      </c>
      <c r="G3667">
        <v>379.9</v>
      </c>
      <c r="H3667" t="s">
        <v>40293</v>
      </c>
      <c r="I3667">
        <v>24492</v>
      </c>
      <c r="J3667">
        <v>14900</v>
      </c>
      <c r="K3667">
        <v>20000</v>
      </c>
    </row>
    <row r="3668" spans="1:11">
      <c r="A3668">
        <v>90</v>
      </c>
      <c r="B3668" t="b">
        <v>0</v>
      </c>
      <c r="C3668" t="s">
        <v>42302</v>
      </c>
      <c r="D3668">
        <v>1037022454355</v>
      </c>
      <c r="E3668">
        <v>1</v>
      </c>
      <c r="F3668">
        <v>6132073214</v>
      </c>
      <c r="G3668">
        <v>370</v>
      </c>
      <c r="H3668" t="s">
        <v>40293</v>
      </c>
      <c r="I3668">
        <v>24492</v>
      </c>
      <c r="J3668">
        <v>53228</v>
      </c>
      <c r="K3668">
        <v>59610</v>
      </c>
    </row>
    <row r="3669" spans="1:11">
      <c r="A3669">
        <v>90</v>
      </c>
      <c r="B3669" t="b">
        <v>0</v>
      </c>
      <c r="C3669" t="s">
        <v>43665</v>
      </c>
      <c r="D3669">
        <v>1037022454355</v>
      </c>
      <c r="E3669">
        <v>1</v>
      </c>
      <c r="F3669">
        <v>6143151910</v>
      </c>
      <c r="G3669">
        <v>368</v>
      </c>
      <c r="H3669" t="s">
        <v>40293</v>
      </c>
      <c r="I3669">
        <v>24492</v>
      </c>
      <c r="J3669">
        <v>79314</v>
      </c>
      <c r="K3669">
        <v>102014</v>
      </c>
    </row>
    <row r="3670" spans="1:11">
      <c r="A3670">
        <v>90</v>
      </c>
      <c r="B3670" t="b">
        <v>0</v>
      </c>
      <c r="C3670" t="s">
        <v>44490</v>
      </c>
      <c r="D3670">
        <v>1037022454355</v>
      </c>
      <c r="E3670">
        <v>1</v>
      </c>
      <c r="F3670">
        <v>6149740822</v>
      </c>
      <c r="G3670">
        <v>365</v>
      </c>
      <c r="H3670" t="s">
        <v>40293</v>
      </c>
      <c r="I3670">
        <v>24492</v>
      </c>
      <c r="J3670">
        <v>11308</v>
      </c>
      <c r="K3670">
        <v>20000</v>
      </c>
    </row>
    <row r="3671" spans="1:11">
      <c r="A3671">
        <v>90</v>
      </c>
      <c r="B3671" t="b">
        <v>0</v>
      </c>
      <c r="C3671" t="s">
        <v>40625</v>
      </c>
      <c r="D3671">
        <v>1037022454355</v>
      </c>
      <c r="E3671">
        <v>1</v>
      </c>
      <c r="F3671">
        <v>6100458797</v>
      </c>
      <c r="G3671">
        <v>900</v>
      </c>
      <c r="H3671" t="s">
        <v>40293</v>
      </c>
      <c r="I3671">
        <v>24493</v>
      </c>
      <c r="J3671">
        <v>50000</v>
      </c>
      <c r="K3671">
        <v>50000</v>
      </c>
    </row>
    <row r="3672" spans="1:11">
      <c r="A3672">
        <v>90</v>
      </c>
      <c r="B3672" t="b">
        <v>0</v>
      </c>
      <c r="C3672" t="s">
        <v>42137</v>
      </c>
      <c r="D3672">
        <v>1037022454355</v>
      </c>
      <c r="E3672">
        <v>1</v>
      </c>
      <c r="F3672">
        <v>6129894033</v>
      </c>
      <c r="G3672">
        <v>199</v>
      </c>
      <c r="H3672" t="s">
        <v>40293</v>
      </c>
      <c r="I3672">
        <v>24493</v>
      </c>
      <c r="J3672">
        <v>112621</v>
      </c>
      <c r="K3672">
        <v>358333</v>
      </c>
    </row>
    <row r="3673" spans="1:11">
      <c r="A3673">
        <v>90</v>
      </c>
      <c r="B3673" t="b">
        <v>0</v>
      </c>
      <c r="C3673" t="s">
        <v>43210</v>
      </c>
      <c r="D3673">
        <v>1037022454355</v>
      </c>
      <c r="E3673">
        <v>1</v>
      </c>
      <c r="F3673">
        <v>6138766722</v>
      </c>
      <c r="G3673">
        <v>190.8</v>
      </c>
      <c r="H3673" t="s">
        <v>40293</v>
      </c>
      <c r="I3673">
        <v>24493</v>
      </c>
      <c r="J3673">
        <v>4069</v>
      </c>
      <c r="K3673">
        <v>4069</v>
      </c>
    </row>
    <row r="3674" spans="1:11">
      <c r="A3674">
        <v>90</v>
      </c>
      <c r="B3674" t="b">
        <v>0</v>
      </c>
      <c r="C3674" t="s">
        <v>43361</v>
      </c>
      <c r="D3674">
        <v>1037022454355</v>
      </c>
      <c r="E3674">
        <v>1</v>
      </c>
      <c r="F3674">
        <v>6139032609</v>
      </c>
      <c r="G3674">
        <v>189</v>
      </c>
      <c r="H3674" t="s">
        <v>40293</v>
      </c>
      <c r="I3674">
        <v>24493</v>
      </c>
      <c r="J3674">
        <v>324876</v>
      </c>
      <c r="K3674">
        <v>324876</v>
      </c>
    </row>
    <row r="3675" spans="1:11">
      <c r="A3675">
        <v>30</v>
      </c>
      <c r="B3675" t="b">
        <v>0</v>
      </c>
      <c r="C3675" t="s">
        <v>45499</v>
      </c>
      <c r="D3675">
        <v>1037022454355</v>
      </c>
      <c r="E3675">
        <v>1</v>
      </c>
      <c r="F3675">
        <v>6148868873</v>
      </c>
      <c r="G3675">
        <v>180.1</v>
      </c>
      <c r="H3675" t="s">
        <v>40293</v>
      </c>
      <c r="I3675">
        <v>24493</v>
      </c>
      <c r="J3675">
        <v>100000</v>
      </c>
      <c r="K3675">
        <v>100000</v>
      </c>
    </row>
    <row r="3676" spans="1:11">
      <c r="A3676">
        <v>90</v>
      </c>
      <c r="B3676" t="b">
        <v>0</v>
      </c>
      <c r="C3676" t="s">
        <v>43422</v>
      </c>
      <c r="D3676">
        <v>1037022454355</v>
      </c>
      <c r="E3676">
        <v>1</v>
      </c>
      <c r="F3676">
        <v>6096861898</v>
      </c>
      <c r="G3676">
        <v>180</v>
      </c>
      <c r="H3676" t="s">
        <v>40293</v>
      </c>
      <c r="I3676">
        <v>24493</v>
      </c>
      <c r="J3676">
        <v>84630</v>
      </c>
      <c r="K3676">
        <v>933472</v>
      </c>
    </row>
    <row r="3677" spans="1:11">
      <c r="A3677">
        <v>90</v>
      </c>
      <c r="B3677" t="b">
        <v>0</v>
      </c>
      <c r="C3677" t="s">
        <v>46179</v>
      </c>
      <c r="D3677">
        <v>1037022454355</v>
      </c>
      <c r="E3677">
        <v>1</v>
      </c>
      <c r="F3677">
        <v>6157397146</v>
      </c>
      <c r="G3677">
        <v>75</v>
      </c>
      <c r="H3677" t="s">
        <v>40293</v>
      </c>
      <c r="I3677">
        <v>24495</v>
      </c>
      <c r="J3677">
        <v>6616</v>
      </c>
      <c r="K3677">
        <v>7941</v>
      </c>
    </row>
    <row r="3678" spans="1:11">
      <c r="A3678">
        <v>90</v>
      </c>
      <c r="B3678" t="b">
        <v>0</v>
      </c>
      <c r="C3678" t="s">
        <v>40601</v>
      </c>
      <c r="D3678">
        <v>1037022454355</v>
      </c>
      <c r="E3678">
        <v>1</v>
      </c>
      <c r="F3678">
        <v>6119955265</v>
      </c>
      <c r="G3678">
        <v>128.69999999999999</v>
      </c>
      <c r="H3678" t="s">
        <v>40293</v>
      </c>
      <c r="I3678">
        <v>24497</v>
      </c>
      <c r="J3678">
        <v>99522</v>
      </c>
      <c r="K3678">
        <v>104847</v>
      </c>
    </row>
    <row r="3679" spans="1:11">
      <c r="A3679">
        <v>90</v>
      </c>
      <c r="B3679" t="b">
        <v>0</v>
      </c>
      <c r="C3679" t="s">
        <v>43641</v>
      </c>
      <c r="D3679">
        <v>1037022454355</v>
      </c>
      <c r="E3679">
        <v>1</v>
      </c>
      <c r="F3679">
        <v>6141957816</v>
      </c>
      <c r="G3679">
        <v>127.9</v>
      </c>
      <c r="H3679" t="s">
        <v>40293</v>
      </c>
      <c r="I3679">
        <v>24497</v>
      </c>
      <c r="J3679">
        <v>1561</v>
      </c>
      <c r="K3679">
        <v>2000</v>
      </c>
    </row>
    <row r="3680" spans="1:11">
      <c r="A3680">
        <v>90</v>
      </c>
      <c r="B3680" t="b">
        <v>0</v>
      </c>
      <c r="C3680" t="s">
        <v>40586</v>
      </c>
      <c r="D3680">
        <v>1037022454355</v>
      </c>
      <c r="E3680">
        <v>1</v>
      </c>
      <c r="F3680">
        <v>6119954938</v>
      </c>
      <c r="G3680">
        <v>218.8</v>
      </c>
      <c r="H3680" t="s">
        <v>40293</v>
      </c>
      <c r="I3680">
        <v>24499</v>
      </c>
      <c r="J3680">
        <v>229873</v>
      </c>
      <c r="K3680">
        <v>234248</v>
      </c>
    </row>
    <row r="3681" spans="1:11">
      <c r="A3681">
        <v>90</v>
      </c>
      <c r="B3681" t="b">
        <v>0</v>
      </c>
      <c r="C3681" t="s">
        <v>40435</v>
      </c>
      <c r="D3681">
        <v>1037022454355</v>
      </c>
      <c r="E3681">
        <v>1</v>
      </c>
      <c r="F3681">
        <v>6109400521</v>
      </c>
      <c r="G3681">
        <v>216</v>
      </c>
      <c r="H3681" t="s">
        <v>40293</v>
      </c>
      <c r="I3681">
        <v>24499</v>
      </c>
      <c r="J3681">
        <v>168980</v>
      </c>
      <c r="K3681">
        <v>200000</v>
      </c>
    </row>
    <row r="3682" spans="1:11">
      <c r="A3682">
        <v>90</v>
      </c>
      <c r="B3682" t="b">
        <v>0</v>
      </c>
      <c r="C3682" t="s">
        <v>41846</v>
      </c>
      <c r="D3682">
        <v>1037022454355</v>
      </c>
      <c r="E3682">
        <v>1</v>
      </c>
      <c r="F3682">
        <v>6128398756</v>
      </c>
      <c r="G3682">
        <v>215.9</v>
      </c>
      <c r="H3682" t="s">
        <v>40293</v>
      </c>
      <c r="I3682">
        <v>24499</v>
      </c>
      <c r="J3682">
        <v>1000</v>
      </c>
      <c r="K3682">
        <v>1000</v>
      </c>
    </row>
    <row r="3683" spans="1:11">
      <c r="A3683">
        <v>90</v>
      </c>
      <c r="B3683" t="b">
        <v>0</v>
      </c>
      <c r="C3683" t="s">
        <v>43103</v>
      </c>
      <c r="D3683">
        <v>1037022454355</v>
      </c>
      <c r="E3683">
        <v>1</v>
      </c>
      <c r="F3683">
        <v>6119124739</v>
      </c>
      <c r="G3683">
        <v>194.7</v>
      </c>
      <c r="H3683" t="s">
        <v>40293</v>
      </c>
      <c r="I3683">
        <v>24499</v>
      </c>
      <c r="J3683">
        <v>174744</v>
      </c>
      <c r="K3683">
        <v>497682</v>
      </c>
    </row>
    <row r="3684" spans="1:11">
      <c r="A3684">
        <v>90</v>
      </c>
      <c r="B3684" t="b">
        <v>0</v>
      </c>
      <c r="C3684" t="s">
        <v>41186</v>
      </c>
      <c r="D3684">
        <v>1037022454355</v>
      </c>
      <c r="E3684">
        <v>1</v>
      </c>
      <c r="F3684">
        <v>6079827365</v>
      </c>
      <c r="G3684">
        <v>124.9</v>
      </c>
      <c r="H3684" t="s">
        <v>40293</v>
      </c>
      <c r="I3684">
        <v>24501</v>
      </c>
      <c r="J3684">
        <v>10000</v>
      </c>
      <c r="K3684">
        <v>10000</v>
      </c>
    </row>
    <row r="3685" spans="1:11">
      <c r="A3685">
        <v>90</v>
      </c>
      <c r="B3685" t="b">
        <v>0</v>
      </c>
      <c r="C3685" t="s">
        <v>40600</v>
      </c>
      <c r="D3685">
        <v>1037022454355</v>
      </c>
      <c r="E3685">
        <v>1</v>
      </c>
      <c r="F3685">
        <v>6119955237</v>
      </c>
      <c r="G3685">
        <v>124.8</v>
      </c>
      <c r="H3685" t="s">
        <v>40293</v>
      </c>
      <c r="I3685">
        <v>24501</v>
      </c>
      <c r="J3685">
        <v>248131</v>
      </c>
      <c r="K3685">
        <v>251431</v>
      </c>
    </row>
    <row r="3686" spans="1:11">
      <c r="A3686">
        <v>90</v>
      </c>
      <c r="B3686" t="b">
        <v>0</v>
      </c>
      <c r="C3686" t="s">
        <v>42320</v>
      </c>
      <c r="D3686">
        <v>1037022454355</v>
      </c>
      <c r="E3686">
        <v>1</v>
      </c>
      <c r="F3686">
        <v>6084495224</v>
      </c>
      <c r="G3686">
        <v>124.7</v>
      </c>
      <c r="H3686" t="s">
        <v>40293</v>
      </c>
      <c r="I3686">
        <v>24501</v>
      </c>
      <c r="J3686">
        <v>7098</v>
      </c>
      <c r="K3686">
        <v>20807</v>
      </c>
    </row>
    <row r="3687" spans="1:11">
      <c r="A3687">
        <v>90</v>
      </c>
      <c r="B3687" t="b">
        <v>0</v>
      </c>
      <c r="C3687" t="s">
        <v>41846</v>
      </c>
      <c r="D3687">
        <v>1037022454355</v>
      </c>
      <c r="E3687">
        <v>1</v>
      </c>
      <c r="F3687">
        <v>6128398759</v>
      </c>
      <c r="G3687">
        <v>235</v>
      </c>
      <c r="H3687" t="s">
        <v>40293</v>
      </c>
      <c r="I3687">
        <v>24503</v>
      </c>
      <c r="J3687">
        <v>1000</v>
      </c>
      <c r="K3687">
        <v>1000</v>
      </c>
    </row>
    <row r="3688" spans="1:11">
      <c r="A3688">
        <v>90</v>
      </c>
      <c r="B3688" t="b">
        <v>0</v>
      </c>
      <c r="C3688" t="s">
        <v>40682</v>
      </c>
      <c r="D3688">
        <v>1037022454355</v>
      </c>
      <c r="E3688">
        <v>1</v>
      </c>
      <c r="F3688">
        <v>6119955186</v>
      </c>
      <c r="G3688">
        <v>234.9</v>
      </c>
      <c r="H3688" t="s">
        <v>40293</v>
      </c>
      <c r="I3688">
        <v>24503</v>
      </c>
      <c r="J3688">
        <v>245188</v>
      </c>
      <c r="K3688">
        <v>253838</v>
      </c>
    </row>
    <row r="3689" spans="1:11">
      <c r="A3689">
        <v>30</v>
      </c>
      <c r="B3689" t="b">
        <v>0</v>
      </c>
      <c r="C3689" t="s">
        <v>43288</v>
      </c>
      <c r="D3689">
        <v>1037022454355</v>
      </c>
      <c r="E3689">
        <v>1</v>
      </c>
      <c r="F3689">
        <v>6144699679</v>
      </c>
      <c r="G3689">
        <v>234.8</v>
      </c>
      <c r="H3689" t="s">
        <v>40293</v>
      </c>
      <c r="I3689">
        <v>24503</v>
      </c>
      <c r="J3689">
        <v>470</v>
      </c>
      <c r="K3689">
        <v>1000</v>
      </c>
    </row>
    <row r="3690" spans="1:11">
      <c r="A3690">
        <v>90</v>
      </c>
      <c r="B3690" t="b">
        <v>0</v>
      </c>
      <c r="C3690" t="s">
        <v>44905</v>
      </c>
      <c r="D3690">
        <v>1037022454355</v>
      </c>
      <c r="E3690">
        <v>1</v>
      </c>
      <c r="F3690">
        <v>6152662392</v>
      </c>
      <c r="G3690">
        <v>234.7</v>
      </c>
      <c r="H3690" t="s">
        <v>40293</v>
      </c>
      <c r="I3690">
        <v>24503</v>
      </c>
      <c r="J3690">
        <v>940</v>
      </c>
      <c r="K3690">
        <v>2000</v>
      </c>
    </row>
    <row r="3691" spans="1:11">
      <c r="A3691">
        <v>90</v>
      </c>
      <c r="B3691" t="b">
        <v>0</v>
      </c>
      <c r="C3691" t="s">
        <v>41846</v>
      </c>
      <c r="D3691">
        <v>1037022454355</v>
      </c>
      <c r="E3691">
        <v>1</v>
      </c>
      <c r="F3691">
        <v>6128398758</v>
      </c>
      <c r="G3691">
        <v>240.1</v>
      </c>
      <c r="H3691" t="s">
        <v>40293</v>
      </c>
      <c r="I3691">
        <v>24505</v>
      </c>
      <c r="J3691">
        <v>1000</v>
      </c>
      <c r="K3691">
        <v>1000</v>
      </c>
    </row>
    <row r="3692" spans="1:11">
      <c r="A3692">
        <v>90</v>
      </c>
      <c r="B3692" t="b">
        <v>0</v>
      </c>
      <c r="C3692" t="s">
        <v>40597</v>
      </c>
      <c r="D3692">
        <v>1037022454355</v>
      </c>
      <c r="E3692">
        <v>1</v>
      </c>
      <c r="F3692">
        <v>6119955149</v>
      </c>
      <c r="G3692">
        <v>240</v>
      </c>
      <c r="H3692" t="s">
        <v>40293</v>
      </c>
      <c r="I3692">
        <v>24505</v>
      </c>
      <c r="J3692">
        <v>608427</v>
      </c>
      <c r="K3692">
        <v>623705</v>
      </c>
    </row>
    <row r="3693" spans="1:11">
      <c r="A3693">
        <v>90</v>
      </c>
      <c r="B3693" t="b">
        <v>0</v>
      </c>
      <c r="C3693" t="s">
        <v>42302</v>
      </c>
      <c r="D3693">
        <v>1037022454355</v>
      </c>
      <c r="E3693">
        <v>1</v>
      </c>
      <c r="F3693">
        <v>6132073215</v>
      </c>
      <c r="G3693">
        <v>1700</v>
      </c>
      <c r="H3693" t="s">
        <v>40293</v>
      </c>
      <c r="I3693">
        <v>24507</v>
      </c>
      <c r="J3693">
        <v>3750</v>
      </c>
      <c r="K3693">
        <v>3750</v>
      </c>
    </row>
    <row r="3694" spans="1:11">
      <c r="A3694">
        <v>30</v>
      </c>
      <c r="B3694" t="b">
        <v>0</v>
      </c>
      <c r="C3694" t="s">
        <v>45792</v>
      </c>
      <c r="D3694">
        <v>1037022454355</v>
      </c>
      <c r="E3694">
        <v>1</v>
      </c>
      <c r="F3694">
        <v>6136486203</v>
      </c>
      <c r="G3694">
        <v>745</v>
      </c>
      <c r="H3694" t="s">
        <v>40293</v>
      </c>
      <c r="I3694">
        <v>24507</v>
      </c>
      <c r="J3694">
        <v>4000</v>
      </c>
      <c r="K3694">
        <v>4000</v>
      </c>
    </row>
    <row r="3695" spans="1:11">
      <c r="A3695">
        <v>30</v>
      </c>
      <c r="B3695" t="b">
        <v>0</v>
      </c>
      <c r="C3695" t="s">
        <v>44234</v>
      </c>
      <c r="D3695">
        <v>1037022454355</v>
      </c>
      <c r="E3695">
        <v>1</v>
      </c>
      <c r="F3695">
        <v>6141086312</v>
      </c>
      <c r="G3695">
        <v>739.9</v>
      </c>
      <c r="H3695" t="s">
        <v>40293</v>
      </c>
      <c r="I3695">
        <v>24507</v>
      </c>
      <c r="J3695">
        <v>41680</v>
      </c>
      <c r="K3695">
        <v>45206</v>
      </c>
    </row>
    <row r="3696" spans="1:11">
      <c r="A3696">
        <v>90</v>
      </c>
      <c r="B3696" t="b">
        <v>0</v>
      </c>
      <c r="C3696" t="s">
        <v>44721</v>
      </c>
      <c r="D3696">
        <v>1037022454355</v>
      </c>
      <c r="E3696">
        <v>1</v>
      </c>
      <c r="F3696">
        <v>6144828532</v>
      </c>
      <c r="G3696">
        <v>550</v>
      </c>
      <c r="H3696" t="s">
        <v>40293</v>
      </c>
      <c r="I3696">
        <v>24507</v>
      </c>
      <c r="J3696">
        <v>8350</v>
      </c>
      <c r="K3696">
        <v>8500</v>
      </c>
    </row>
    <row r="3697" spans="1:11">
      <c r="A3697">
        <v>90</v>
      </c>
      <c r="B3697" t="b">
        <v>0</v>
      </c>
      <c r="C3697" t="s">
        <v>41676</v>
      </c>
      <c r="D3697">
        <v>1037022454355</v>
      </c>
      <c r="E3697">
        <v>1</v>
      </c>
      <c r="F3697">
        <v>6100547522</v>
      </c>
      <c r="G3697">
        <v>1148</v>
      </c>
      <c r="H3697" t="s">
        <v>40293</v>
      </c>
      <c r="I3697">
        <v>24509</v>
      </c>
      <c r="J3697">
        <v>989931</v>
      </c>
      <c r="K3697">
        <v>1252695</v>
      </c>
    </row>
    <row r="3698" spans="1:11">
      <c r="A3698">
        <v>90</v>
      </c>
      <c r="B3698" t="b">
        <v>0</v>
      </c>
      <c r="C3698" t="s">
        <v>43629</v>
      </c>
      <c r="D3698">
        <v>1037022454355</v>
      </c>
      <c r="E3698">
        <v>1</v>
      </c>
      <c r="F3698">
        <v>6141957413</v>
      </c>
      <c r="G3698">
        <v>940</v>
      </c>
      <c r="H3698" t="s">
        <v>40293</v>
      </c>
      <c r="I3698">
        <v>24509</v>
      </c>
      <c r="J3698">
        <v>1000</v>
      </c>
      <c r="K3698">
        <v>1000</v>
      </c>
    </row>
    <row r="3699" spans="1:11">
      <c r="A3699">
        <v>30</v>
      </c>
      <c r="B3699" t="b">
        <v>0</v>
      </c>
      <c r="C3699" t="s">
        <v>45736</v>
      </c>
      <c r="D3699">
        <v>1037022454355</v>
      </c>
      <c r="E3699">
        <v>1</v>
      </c>
      <c r="F3699">
        <v>6156605100</v>
      </c>
      <c r="G3699">
        <v>914.5</v>
      </c>
      <c r="H3699" t="s">
        <v>40293</v>
      </c>
      <c r="I3699">
        <v>24509</v>
      </c>
      <c r="J3699">
        <v>30000</v>
      </c>
      <c r="K3699">
        <v>30000</v>
      </c>
    </row>
    <row r="3700" spans="1:11">
      <c r="A3700">
        <v>90</v>
      </c>
      <c r="B3700" t="b">
        <v>0</v>
      </c>
      <c r="C3700" t="s">
        <v>46278</v>
      </c>
      <c r="D3700">
        <v>1037022454355</v>
      </c>
      <c r="E3700">
        <v>1</v>
      </c>
      <c r="F3700">
        <v>6152253868</v>
      </c>
      <c r="G3700">
        <v>914.4</v>
      </c>
      <c r="H3700" t="s">
        <v>40293</v>
      </c>
      <c r="I3700">
        <v>24509</v>
      </c>
      <c r="J3700">
        <v>50000</v>
      </c>
      <c r="K3700">
        <v>50000</v>
      </c>
    </row>
    <row r="3701" spans="1:11">
      <c r="A3701">
        <v>7</v>
      </c>
      <c r="B3701" t="b">
        <v>0</v>
      </c>
      <c r="C3701" t="s">
        <v>45580</v>
      </c>
      <c r="D3701">
        <v>1037022454355</v>
      </c>
      <c r="E3701">
        <v>1</v>
      </c>
      <c r="F3701">
        <v>6156635811</v>
      </c>
      <c r="G3701">
        <v>900</v>
      </c>
      <c r="H3701" t="s">
        <v>40293</v>
      </c>
      <c r="I3701">
        <v>24509</v>
      </c>
      <c r="J3701">
        <v>850</v>
      </c>
      <c r="K3701">
        <v>50000</v>
      </c>
    </row>
    <row r="3702" spans="1:11">
      <c r="A3702">
        <v>90</v>
      </c>
      <c r="B3702" t="b">
        <v>0</v>
      </c>
      <c r="C3702" t="s">
        <v>42302</v>
      </c>
      <c r="D3702">
        <v>1037022454355</v>
      </c>
      <c r="E3702">
        <v>1</v>
      </c>
      <c r="F3702">
        <v>6132073210</v>
      </c>
      <c r="G3702">
        <v>1500</v>
      </c>
      <c r="H3702" t="s">
        <v>40293</v>
      </c>
      <c r="I3702">
        <v>24511</v>
      </c>
      <c r="J3702">
        <v>7090</v>
      </c>
      <c r="K3702">
        <v>7090</v>
      </c>
    </row>
    <row r="3703" spans="1:11">
      <c r="A3703">
        <v>90</v>
      </c>
      <c r="B3703" t="b">
        <v>0</v>
      </c>
      <c r="C3703" t="s">
        <v>42572</v>
      </c>
      <c r="D3703">
        <v>1037022454355</v>
      </c>
      <c r="E3703">
        <v>1</v>
      </c>
      <c r="F3703">
        <v>6134907536</v>
      </c>
      <c r="G3703">
        <v>1000</v>
      </c>
      <c r="H3703" t="s">
        <v>40293</v>
      </c>
      <c r="I3703">
        <v>24511</v>
      </c>
      <c r="J3703">
        <v>2298</v>
      </c>
      <c r="K3703">
        <v>2298</v>
      </c>
    </row>
    <row r="3704" spans="1:11">
      <c r="A3704">
        <v>90</v>
      </c>
      <c r="B3704" t="b">
        <v>0</v>
      </c>
      <c r="C3704" t="s">
        <v>42664</v>
      </c>
      <c r="D3704">
        <v>1037022454355</v>
      </c>
      <c r="E3704">
        <v>1</v>
      </c>
      <c r="F3704">
        <v>6136812094</v>
      </c>
      <c r="G3704">
        <v>898.1</v>
      </c>
      <c r="H3704" t="s">
        <v>40293</v>
      </c>
      <c r="I3704">
        <v>24511</v>
      </c>
      <c r="J3704">
        <v>21806</v>
      </c>
      <c r="K3704">
        <v>41806</v>
      </c>
    </row>
    <row r="3705" spans="1:11">
      <c r="A3705">
        <v>90</v>
      </c>
      <c r="B3705" t="b">
        <v>0</v>
      </c>
      <c r="C3705" t="s">
        <v>42890</v>
      </c>
      <c r="D3705">
        <v>1037022454355</v>
      </c>
      <c r="E3705">
        <v>1</v>
      </c>
      <c r="F3705">
        <v>6132793518</v>
      </c>
      <c r="G3705">
        <v>1938</v>
      </c>
      <c r="H3705" t="s">
        <v>40293</v>
      </c>
      <c r="I3705">
        <v>24513</v>
      </c>
      <c r="J3705">
        <v>4950</v>
      </c>
      <c r="K3705">
        <v>4950</v>
      </c>
    </row>
    <row r="3706" spans="1:11">
      <c r="A3706">
        <v>90</v>
      </c>
      <c r="B3706" t="b">
        <v>0</v>
      </c>
      <c r="C3706" t="s">
        <v>43636</v>
      </c>
      <c r="D3706">
        <v>1037022454355</v>
      </c>
      <c r="E3706">
        <v>1</v>
      </c>
      <c r="F3706">
        <v>6141957631</v>
      </c>
      <c r="G3706">
        <v>1936</v>
      </c>
      <c r="H3706" t="s">
        <v>40293</v>
      </c>
      <c r="I3706">
        <v>24513</v>
      </c>
      <c r="J3706">
        <v>1287</v>
      </c>
      <c r="K3706">
        <v>1287</v>
      </c>
    </row>
    <row r="3707" spans="1:11">
      <c r="A3707">
        <v>30</v>
      </c>
      <c r="B3707" t="b">
        <v>0</v>
      </c>
      <c r="C3707" t="s">
        <v>42962</v>
      </c>
      <c r="D3707">
        <v>1037022454355</v>
      </c>
      <c r="E3707">
        <v>1</v>
      </c>
      <c r="F3707">
        <v>6138923075</v>
      </c>
      <c r="G3707">
        <v>1935</v>
      </c>
      <c r="H3707" t="s">
        <v>40293</v>
      </c>
      <c r="I3707">
        <v>24513</v>
      </c>
      <c r="J3707">
        <v>43539</v>
      </c>
      <c r="K3707">
        <v>50000</v>
      </c>
    </row>
    <row r="3708" spans="1:11">
      <c r="A3708">
        <v>30</v>
      </c>
      <c r="B3708" t="b">
        <v>0</v>
      </c>
      <c r="C3708" t="s">
        <v>42953</v>
      </c>
      <c r="D3708">
        <v>1037022454355</v>
      </c>
      <c r="E3708">
        <v>1</v>
      </c>
      <c r="F3708">
        <v>6146905742</v>
      </c>
      <c r="G3708">
        <v>1899</v>
      </c>
      <c r="H3708" t="s">
        <v>40293</v>
      </c>
      <c r="I3708">
        <v>24515</v>
      </c>
      <c r="J3708">
        <v>36050</v>
      </c>
      <c r="K3708">
        <v>39450</v>
      </c>
    </row>
    <row r="3709" spans="1:11">
      <c r="A3709">
        <v>90</v>
      </c>
      <c r="B3709" t="b">
        <v>0</v>
      </c>
      <c r="C3709" t="s">
        <v>45596</v>
      </c>
      <c r="D3709">
        <v>1037022454355</v>
      </c>
      <c r="E3709">
        <v>1</v>
      </c>
      <c r="F3709">
        <v>6149361609</v>
      </c>
      <c r="G3709">
        <v>1800</v>
      </c>
      <c r="H3709" t="s">
        <v>40293</v>
      </c>
      <c r="I3709">
        <v>24517</v>
      </c>
      <c r="J3709">
        <v>15413</v>
      </c>
      <c r="K3709">
        <v>63253</v>
      </c>
    </row>
    <row r="3710" spans="1:11">
      <c r="A3710">
        <v>30</v>
      </c>
      <c r="B3710" t="b">
        <v>0</v>
      </c>
      <c r="C3710" t="s">
        <v>45752</v>
      </c>
      <c r="D3710">
        <v>1037022454355</v>
      </c>
      <c r="E3710">
        <v>1</v>
      </c>
      <c r="F3710">
        <v>6156605250</v>
      </c>
      <c r="G3710">
        <v>1799</v>
      </c>
      <c r="H3710" t="s">
        <v>40293</v>
      </c>
      <c r="I3710">
        <v>24517</v>
      </c>
      <c r="J3710">
        <v>50000</v>
      </c>
      <c r="K3710">
        <v>50000</v>
      </c>
    </row>
    <row r="3711" spans="1:11">
      <c r="A3711">
        <v>90</v>
      </c>
      <c r="B3711" t="b">
        <v>0</v>
      </c>
      <c r="C3711" t="s">
        <v>46273</v>
      </c>
      <c r="D3711">
        <v>1037022454355</v>
      </c>
      <c r="E3711">
        <v>1</v>
      </c>
      <c r="F3711">
        <v>6148321658</v>
      </c>
      <c r="G3711">
        <v>3025</v>
      </c>
      <c r="H3711" t="s">
        <v>40293</v>
      </c>
      <c r="I3711">
        <v>24519</v>
      </c>
      <c r="J3711">
        <v>55169</v>
      </c>
      <c r="K3711">
        <v>83273</v>
      </c>
    </row>
    <row r="3712" spans="1:11">
      <c r="A3712">
        <v>90</v>
      </c>
      <c r="B3712" t="b">
        <v>0</v>
      </c>
      <c r="C3712" t="s">
        <v>40592</v>
      </c>
      <c r="D3712">
        <v>1037022454355</v>
      </c>
      <c r="E3712">
        <v>1</v>
      </c>
      <c r="F3712">
        <v>6099081874</v>
      </c>
      <c r="G3712">
        <v>3500</v>
      </c>
      <c r="H3712" t="s">
        <v>40293</v>
      </c>
      <c r="I3712">
        <v>24521</v>
      </c>
      <c r="J3712">
        <v>584</v>
      </c>
      <c r="K3712">
        <v>3984</v>
      </c>
    </row>
    <row r="3713" spans="1:11">
      <c r="A3713">
        <v>90</v>
      </c>
      <c r="B3713" t="b">
        <v>0</v>
      </c>
      <c r="C3713" t="s">
        <v>41080</v>
      </c>
      <c r="D3713">
        <v>1037022454355</v>
      </c>
      <c r="E3713">
        <v>1</v>
      </c>
      <c r="F3713">
        <v>6110987703</v>
      </c>
      <c r="G3713">
        <v>3350</v>
      </c>
      <c r="H3713" t="s">
        <v>40293</v>
      </c>
      <c r="I3713">
        <v>24521</v>
      </c>
      <c r="J3713">
        <v>1520</v>
      </c>
      <c r="K3713">
        <v>2000</v>
      </c>
    </row>
    <row r="3714" spans="1:11">
      <c r="A3714">
        <v>90</v>
      </c>
      <c r="B3714" t="b">
        <v>0</v>
      </c>
      <c r="C3714" t="s">
        <v>40563</v>
      </c>
      <c r="D3714">
        <v>1037022454355</v>
      </c>
      <c r="E3714">
        <v>1</v>
      </c>
      <c r="F3714">
        <v>6119954509</v>
      </c>
      <c r="G3714">
        <v>3199</v>
      </c>
      <c r="H3714" t="s">
        <v>40293</v>
      </c>
      <c r="I3714">
        <v>24521</v>
      </c>
      <c r="J3714">
        <v>6943</v>
      </c>
      <c r="K3714">
        <v>11235</v>
      </c>
    </row>
    <row r="3715" spans="1:11">
      <c r="A3715">
        <v>90</v>
      </c>
      <c r="B3715" t="b">
        <v>0</v>
      </c>
      <c r="C3715" t="s">
        <v>44737</v>
      </c>
      <c r="D3715">
        <v>1037022454355</v>
      </c>
      <c r="E3715">
        <v>1</v>
      </c>
      <c r="F3715">
        <v>6153250052</v>
      </c>
      <c r="G3715">
        <v>2999</v>
      </c>
      <c r="H3715" t="s">
        <v>40293</v>
      </c>
      <c r="I3715">
        <v>24521</v>
      </c>
      <c r="J3715">
        <v>9400</v>
      </c>
      <c r="K3715">
        <v>20000</v>
      </c>
    </row>
    <row r="3716" spans="1:11">
      <c r="A3716">
        <v>90</v>
      </c>
      <c r="B3716" t="b">
        <v>0</v>
      </c>
      <c r="C3716" t="s">
        <v>42801</v>
      </c>
      <c r="D3716">
        <v>1037022454355</v>
      </c>
      <c r="E3716">
        <v>1</v>
      </c>
      <c r="F3716">
        <v>6137999617</v>
      </c>
      <c r="G3716">
        <v>3498</v>
      </c>
      <c r="H3716" t="s">
        <v>40293</v>
      </c>
      <c r="I3716">
        <v>24523</v>
      </c>
      <c r="J3716">
        <v>2264</v>
      </c>
      <c r="K3716">
        <v>2264</v>
      </c>
    </row>
    <row r="3717" spans="1:11">
      <c r="A3717">
        <v>30</v>
      </c>
      <c r="B3717" t="b">
        <v>0</v>
      </c>
      <c r="C3717" t="s">
        <v>43520</v>
      </c>
      <c r="D3717">
        <v>1037022454355</v>
      </c>
      <c r="E3717">
        <v>1</v>
      </c>
      <c r="F3717">
        <v>6144247565</v>
      </c>
      <c r="G3717">
        <v>2730</v>
      </c>
      <c r="H3717" t="s">
        <v>40293</v>
      </c>
      <c r="I3717">
        <v>24523</v>
      </c>
      <c r="J3717">
        <v>8232</v>
      </c>
      <c r="K3717">
        <v>8232</v>
      </c>
    </row>
    <row r="3718" spans="1:11">
      <c r="A3718">
        <v>90</v>
      </c>
      <c r="B3718" t="b">
        <v>0</v>
      </c>
      <c r="C3718" t="s">
        <v>44588</v>
      </c>
      <c r="D3718">
        <v>1037022454355</v>
      </c>
      <c r="E3718">
        <v>1</v>
      </c>
      <c r="F3718">
        <v>6156754541</v>
      </c>
      <c r="G3718">
        <v>2700</v>
      </c>
      <c r="H3718" t="s">
        <v>40293</v>
      </c>
      <c r="I3718">
        <v>24523</v>
      </c>
      <c r="J3718">
        <v>68000</v>
      </c>
      <c r="K3718">
        <v>100000</v>
      </c>
    </row>
    <row r="3719" spans="1:11">
      <c r="A3719">
        <v>90</v>
      </c>
      <c r="B3719" t="b">
        <v>0</v>
      </c>
      <c r="C3719" t="s">
        <v>40688</v>
      </c>
      <c r="D3719">
        <v>1037022454355</v>
      </c>
      <c r="E3719">
        <v>1</v>
      </c>
      <c r="F3719">
        <v>6095184425</v>
      </c>
      <c r="G3719">
        <v>2494</v>
      </c>
      <c r="H3719" t="s">
        <v>40293</v>
      </c>
      <c r="I3719">
        <v>24525</v>
      </c>
      <c r="J3719">
        <v>4807</v>
      </c>
      <c r="K3719">
        <v>5000</v>
      </c>
    </row>
    <row r="3720" spans="1:11">
      <c r="A3720">
        <v>90</v>
      </c>
      <c r="B3720" t="b">
        <v>0</v>
      </c>
      <c r="C3720" t="s">
        <v>42082</v>
      </c>
      <c r="D3720">
        <v>1037022454355</v>
      </c>
      <c r="E3720">
        <v>1</v>
      </c>
      <c r="F3720">
        <v>6131850129</v>
      </c>
      <c r="G3720">
        <v>2492</v>
      </c>
      <c r="H3720" t="s">
        <v>40293</v>
      </c>
      <c r="I3720">
        <v>24525</v>
      </c>
      <c r="J3720">
        <v>4000</v>
      </c>
      <c r="K3720">
        <v>5000</v>
      </c>
    </row>
    <row r="3721" spans="1:11">
      <c r="A3721">
        <v>90</v>
      </c>
      <c r="B3721" t="b">
        <v>0</v>
      </c>
      <c r="C3721" t="s">
        <v>44603</v>
      </c>
      <c r="D3721">
        <v>1037022454355</v>
      </c>
      <c r="E3721">
        <v>1</v>
      </c>
      <c r="F3721">
        <v>6156754686</v>
      </c>
      <c r="G3721">
        <v>2400</v>
      </c>
      <c r="H3721" t="s">
        <v>40293</v>
      </c>
      <c r="I3721">
        <v>24525</v>
      </c>
      <c r="J3721">
        <v>50000</v>
      </c>
      <c r="K3721">
        <v>50000</v>
      </c>
    </row>
    <row r="3722" spans="1:11">
      <c r="A3722">
        <v>90</v>
      </c>
      <c r="B3722" t="b">
        <v>0</v>
      </c>
      <c r="C3722" t="s">
        <v>46500</v>
      </c>
      <c r="D3722">
        <v>1037022454355</v>
      </c>
      <c r="E3722">
        <v>1</v>
      </c>
      <c r="F3722">
        <v>6113230146</v>
      </c>
      <c r="G3722">
        <v>2399</v>
      </c>
      <c r="H3722" t="s">
        <v>40293</v>
      </c>
      <c r="I3722">
        <v>24525</v>
      </c>
      <c r="J3722">
        <v>4891</v>
      </c>
      <c r="K3722">
        <v>18000</v>
      </c>
    </row>
    <row r="3723" spans="1:11">
      <c r="A3723">
        <v>90</v>
      </c>
      <c r="B3723" t="b">
        <v>0</v>
      </c>
      <c r="C3723" t="s">
        <v>44410</v>
      </c>
      <c r="D3723">
        <v>1037022454355</v>
      </c>
      <c r="E3723">
        <v>1</v>
      </c>
      <c r="F3723">
        <v>6153737321</v>
      </c>
      <c r="G3723">
        <v>2518</v>
      </c>
      <c r="H3723" t="s">
        <v>40293</v>
      </c>
      <c r="I3723">
        <v>24527</v>
      </c>
      <c r="J3723">
        <v>10792</v>
      </c>
      <c r="K3723">
        <v>15192</v>
      </c>
    </row>
    <row r="3724" spans="1:11">
      <c r="A3724">
        <v>90</v>
      </c>
      <c r="B3724" t="b">
        <v>0</v>
      </c>
      <c r="C3724" t="s">
        <v>45013</v>
      </c>
      <c r="D3724">
        <v>1037022454355</v>
      </c>
      <c r="E3724">
        <v>1</v>
      </c>
      <c r="F3724">
        <v>6156661290</v>
      </c>
      <c r="G3724">
        <v>2000</v>
      </c>
      <c r="H3724" t="s">
        <v>40293</v>
      </c>
      <c r="I3724">
        <v>24527</v>
      </c>
      <c r="J3724">
        <v>15120</v>
      </c>
      <c r="K3724">
        <v>20120</v>
      </c>
    </row>
    <row r="3725" spans="1:11">
      <c r="A3725">
        <v>90</v>
      </c>
      <c r="B3725" t="b">
        <v>0</v>
      </c>
      <c r="C3725" t="s">
        <v>42493</v>
      </c>
      <c r="D3725">
        <v>1037022454355</v>
      </c>
      <c r="E3725">
        <v>1</v>
      </c>
      <c r="F3725">
        <v>6133128006</v>
      </c>
      <c r="G3725">
        <v>2450</v>
      </c>
      <c r="H3725" t="s">
        <v>40293</v>
      </c>
      <c r="I3725">
        <v>24529</v>
      </c>
      <c r="J3725">
        <v>7620</v>
      </c>
      <c r="K3725">
        <v>24320</v>
      </c>
    </row>
    <row r="3726" spans="1:11">
      <c r="A3726">
        <v>90</v>
      </c>
      <c r="B3726" t="b">
        <v>0</v>
      </c>
      <c r="C3726" t="s">
        <v>40730</v>
      </c>
      <c r="D3726">
        <v>1037022454355</v>
      </c>
      <c r="E3726">
        <v>1</v>
      </c>
      <c r="F3726">
        <v>6070117838</v>
      </c>
      <c r="G3726">
        <v>1997</v>
      </c>
      <c r="H3726" t="s">
        <v>40293</v>
      </c>
      <c r="I3726">
        <v>24531</v>
      </c>
      <c r="J3726">
        <v>95820</v>
      </c>
      <c r="K3726">
        <v>99830</v>
      </c>
    </row>
    <row r="3727" spans="1:11">
      <c r="A3727">
        <v>90</v>
      </c>
      <c r="B3727" t="b">
        <v>0</v>
      </c>
      <c r="C3727" t="s">
        <v>42494</v>
      </c>
      <c r="D3727">
        <v>1037022454355</v>
      </c>
      <c r="E3727">
        <v>1</v>
      </c>
      <c r="F3727">
        <v>6135133017</v>
      </c>
      <c r="G3727">
        <v>1992</v>
      </c>
      <c r="H3727" t="s">
        <v>40293</v>
      </c>
      <c r="I3727">
        <v>24531</v>
      </c>
      <c r="J3727">
        <v>1427</v>
      </c>
      <c r="K3727">
        <v>1427</v>
      </c>
    </row>
    <row r="3728" spans="1:11">
      <c r="A3728">
        <v>90</v>
      </c>
      <c r="B3728" t="b">
        <v>0</v>
      </c>
      <c r="C3728" t="s">
        <v>43606</v>
      </c>
      <c r="D3728">
        <v>1037022454355</v>
      </c>
      <c r="E3728">
        <v>1</v>
      </c>
      <c r="F3728">
        <v>6138122572</v>
      </c>
      <c r="G3728">
        <v>1988</v>
      </c>
      <c r="H3728" t="s">
        <v>40293</v>
      </c>
      <c r="I3728">
        <v>24531</v>
      </c>
      <c r="J3728">
        <v>2615</v>
      </c>
      <c r="K3728">
        <v>2615</v>
      </c>
    </row>
    <row r="3729" spans="1:11">
      <c r="A3729">
        <v>90</v>
      </c>
      <c r="B3729" t="b">
        <v>0</v>
      </c>
      <c r="C3729" t="s">
        <v>43325</v>
      </c>
      <c r="D3729">
        <v>1037022454355</v>
      </c>
      <c r="E3729">
        <v>1</v>
      </c>
      <c r="F3729">
        <v>6106951840</v>
      </c>
      <c r="G3729">
        <v>1399</v>
      </c>
      <c r="H3729" t="s">
        <v>40293</v>
      </c>
      <c r="I3729">
        <v>24531</v>
      </c>
      <c r="J3729">
        <v>7880</v>
      </c>
      <c r="K3729">
        <v>18780</v>
      </c>
    </row>
    <row r="3730" spans="1:11">
      <c r="A3730">
        <v>30</v>
      </c>
      <c r="B3730" t="b">
        <v>0</v>
      </c>
      <c r="C3730" t="s">
        <v>44433</v>
      </c>
      <c r="D3730">
        <v>1037022454355</v>
      </c>
      <c r="E3730">
        <v>1</v>
      </c>
      <c r="F3730">
        <v>6157112722</v>
      </c>
      <c r="G3730">
        <v>1398</v>
      </c>
      <c r="H3730" t="s">
        <v>40293</v>
      </c>
      <c r="I3730">
        <v>24531</v>
      </c>
      <c r="J3730">
        <v>50784</v>
      </c>
      <c r="K3730">
        <v>50784</v>
      </c>
    </row>
    <row r="3731" spans="1:11">
      <c r="A3731">
        <v>90</v>
      </c>
      <c r="B3731" t="b">
        <v>0</v>
      </c>
      <c r="C3731" t="s">
        <v>41192</v>
      </c>
      <c r="D3731">
        <v>1037022454355</v>
      </c>
      <c r="E3731">
        <v>1</v>
      </c>
      <c r="F3731">
        <v>6100471319</v>
      </c>
      <c r="G3731">
        <v>760.3</v>
      </c>
      <c r="H3731" t="s">
        <v>40293</v>
      </c>
      <c r="I3731">
        <v>24533</v>
      </c>
      <c r="J3731">
        <v>18085</v>
      </c>
      <c r="K3731">
        <v>18085</v>
      </c>
    </row>
    <row r="3732" spans="1:11">
      <c r="A3732">
        <v>90</v>
      </c>
      <c r="B3732" t="b">
        <v>0</v>
      </c>
      <c r="C3732" t="s">
        <v>43595</v>
      </c>
      <c r="D3732">
        <v>1037022454355</v>
      </c>
      <c r="E3732">
        <v>1</v>
      </c>
      <c r="F3732">
        <v>6138122258</v>
      </c>
      <c r="G3732">
        <v>594.9</v>
      </c>
      <c r="H3732" t="s">
        <v>40293</v>
      </c>
      <c r="I3732">
        <v>24533</v>
      </c>
      <c r="J3732">
        <v>10000</v>
      </c>
      <c r="K3732">
        <v>10000</v>
      </c>
    </row>
    <row r="3733" spans="1:11">
      <c r="A3733">
        <v>90</v>
      </c>
      <c r="B3733" t="b">
        <v>0</v>
      </c>
      <c r="C3733" t="s">
        <v>44432</v>
      </c>
      <c r="D3733">
        <v>1037022454355</v>
      </c>
      <c r="E3733">
        <v>1</v>
      </c>
      <c r="F3733">
        <v>6147872091</v>
      </c>
      <c r="G3733">
        <v>581</v>
      </c>
      <c r="H3733" t="s">
        <v>40293</v>
      </c>
      <c r="I3733">
        <v>24533</v>
      </c>
      <c r="J3733">
        <v>44811</v>
      </c>
      <c r="K3733">
        <v>66811</v>
      </c>
    </row>
    <row r="3734" spans="1:11">
      <c r="A3734">
        <v>30</v>
      </c>
      <c r="B3734" t="b">
        <v>0</v>
      </c>
      <c r="C3734" t="s">
        <v>44562</v>
      </c>
      <c r="D3734">
        <v>1037022454355</v>
      </c>
      <c r="E3734">
        <v>1</v>
      </c>
      <c r="F3734">
        <v>6098197687</v>
      </c>
      <c r="G3734">
        <v>580</v>
      </c>
      <c r="H3734" t="s">
        <v>40293</v>
      </c>
      <c r="I3734">
        <v>24533</v>
      </c>
      <c r="J3734">
        <v>271762</v>
      </c>
      <c r="K3734">
        <v>363929</v>
      </c>
    </row>
    <row r="3735" spans="1:11">
      <c r="A3735">
        <v>90</v>
      </c>
      <c r="B3735" t="b">
        <v>0</v>
      </c>
      <c r="C3735" t="s">
        <v>44085</v>
      </c>
      <c r="D3735">
        <v>1037022454355</v>
      </c>
      <c r="E3735">
        <v>1</v>
      </c>
      <c r="F3735">
        <v>6075679294</v>
      </c>
      <c r="G3735">
        <v>578</v>
      </c>
      <c r="H3735" t="s">
        <v>40293</v>
      </c>
      <c r="I3735">
        <v>24533</v>
      </c>
      <c r="J3735">
        <v>117018</v>
      </c>
      <c r="K3735">
        <v>150126</v>
      </c>
    </row>
    <row r="3736" spans="1:11">
      <c r="A3736">
        <v>90</v>
      </c>
      <c r="B3736" t="b">
        <v>0</v>
      </c>
      <c r="C3736" t="s">
        <v>43592</v>
      </c>
      <c r="D3736">
        <v>1037022454355</v>
      </c>
      <c r="E3736">
        <v>1</v>
      </c>
      <c r="F3736">
        <v>6114306259</v>
      </c>
      <c r="G3736">
        <v>999.7</v>
      </c>
      <c r="H3736" t="s">
        <v>40293</v>
      </c>
      <c r="I3736">
        <v>24535</v>
      </c>
      <c r="J3736">
        <v>135610</v>
      </c>
      <c r="K3736">
        <v>200000</v>
      </c>
    </row>
    <row r="3737" spans="1:11">
      <c r="A3737">
        <v>90</v>
      </c>
      <c r="B3737" t="b">
        <v>0</v>
      </c>
      <c r="C3737" t="s">
        <v>42906</v>
      </c>
      <c r="D3737">
        <v>1037022454355</v>
      </c>
      <c r="E3737">
        <v>1</v>
      </c>
      <c r="F3737">
        <v>6143159068</v>
      </c>
      <c r="G3737">
        <v>998</v>
      </c>
      <c r="H3737" t="s">
        <v>40293</v>
      </c>
      <c r="I3737">
        <v>24535</v>
      </c>
      <c r="J3737">
        <v>237850</v>
      </c>
      <c r="K3737">
        <v>237850</v>
      </c>
    </row>
    <row r="3738" spans="1:11">
      <c r="A3738">
        <v>90</v>
      </c>
      <c r="B3738" t="b">
        <v>0</v>
      </c>
      <c r="C3738" t="s">
        <v>43260</v>
      </c>
      <c r="D3738">
        <v>1037022454355</v>
      </c>
      <c r="E3738">
        <v>1</v>
      </c>
      <c r="F3738">
        <v>6144698954</v>
      </c>
      <c r="G3738">
        <v>993</v>
      </c>
      <c r="H3738" t="s">
        <v>40293</v>
      </c>
      <c r="I3738">
        <v>24535</v>
      </c>
      <c r="J3738">
        <v>100000</v>
      </c>
      <c r="K3738">
        <v>100000</v>
      </c>
    </row>
    <row r="3739" spans="1:11">
      <c r="A3739">
        <v>90</v>
      </c>
      <c r="B3739" t="b">
        <v>0</v>
      </c>
      <c r="C3739" t="s">
        <v>45938</v>
      </c>
      <c r="D3739">
        <v>1037022454355</v>
      </c>
      <c r="E3739">
        <v>1</v>
      </c>
      <c r="F3739">
        <v>6148448014</v>
      </c>
      <c r="G3739">
        <v>974.8</v>
      </c>
      <c r="H3739" t="s">
        <v>40293</v>
      </c>
      <c r="I3739">
        <v>24535</v>
      </c>
      <c r="J3739">
        <v>35225</v>
      </c>
      <c r="K3739">
        <v>50000</v>
      </c>
    </row>
    <row r="3740" spans="1:11">
      <c r="A3740">
        <v>7</v>
      </c>
      <c r="B3740" t="b">
        <v>0</v>
      </c>
      <c r="C3740" t="s">
        <v>44719</v>
      </c>
      <c r="D3740">
        <v>1037022454355</v>
      </c>
      <c r="E3740">
        <v>1</v>
      </c>
      <c r="F3740">
        <v>6153577558</v>
      </c>
      <c r="G3740">
        <v>970</v>
      </c>
      <c r="H3740" t="s">
        <v>40293</v>
      </c>
      <c r="I3740">
        <v>24535</v>
      </c>
      <c r="J3740">
        <v>10000</v>
      </c>
      <c r="K3740">
        <v>30000</v>
      </c>
    </row>
    <row r="3741" spans="1:11">
      <c r="A3741">
        <v>90</v>
      </c>
      <c r="B3741" t="b">
        <v>0</v>
      </c>
      <c r="C3741" t="s">
        <v>40991</v>
      </c>
      <c r="D3741">
        <v>1037022454355</v>
      </c>
      <c r="E3741">
        <v>1</v>
      </c>
      <c r="F3741">
        <v>6091390601</v>
      </c>
      <c r="G3741">
        <v>1199</v>
      </c>
      <c r="H3741" t="s">
        <v>40293</v>
      </c>
      <c r="I3741">
        <v>24537</v>
      </c>
      <c r="J3741">
        <v>1994</v>
      </c>
      <c r="K3741">
        <v>10000</v>
      </c>
    </row>
    <row r="3742" spans="1:11">
      <c r="A3742">
        <v>90</v>
      </c>
      <c r="B3742" t="b">
        <v>0</v>
      </c>
      <c r="C3742" t="s">
        <v>40487</v>
      </c>
      <c r="D3742">
        <v>1037022454355</v>
      </c>
      <c r="E3742">
        <v>1</v>
      </c>
      <c r="F3742">
        <v>6094459387</v>
      </c>
      <c r="G3742">
        <v>895</v>
      </c>
      <c r="H3742" t="s">
        <v>40293</v>
      </c>
      <c r="I3742">
        <v>24539</v>
      </c>
      <c r="J3742">
        <v>20124</v>
      </c>
      <c r="K3742">
        <v>60340</v>
      </c>
    </row>
    <row r="3743" spans="1:11">
      <c r="A3743">
        <v>90</v>
      </c>
      <c r="B3743" t="b">
        <v>0</v>
      </c>
      <c r="C3743" t="s">
        <v>41160</v>
      </c>
      <c r="D3743">
        <v>1037022454355</v>
      </c>
      <c r="E3743">
        <v>1</v>
      </c>
      <c r="F3743">
        <v>6107155355</v>
      </c>
      <c r="G3743">
        <v>894</v>
      </c>
      <c r="H3743" t="s">
        <v>40293</v>
      </c>
      <c r="I3743">
        <v>24539</v>
      </c>
      <c r="J3743">
        <v>98000</v>
      </c>
      <c r="K3743">
        <v>105000</v>
      </c>
    </row>
    <row r="3744" spans="1:11">
      <c r="A3744">
        <v>30</v>
      </c>
      <c r="B3744" t="b">
        <v>0</v>
      </c>
      <c r="C3744" t="s">
        <v>45872</v>
      </c>
      <c r="D3744">
        <v>1037022454355</v>
      </c>
      <c r="E3744">
        <v>1</v>
      </c>
      <c r="F3744">
        <v>6151955639</v>
      </c>
      <c r="G3744">
        <v>893</v>
      </c>
      <c r="H3744" t="s">
        <v>40293</v>
      </c>
      <c r="I3744">
        <v>24539</v>
      </c>
      <c r="J3744">
        <v>100000</v>
      </c>
      <c r="K3744">
        <v>100000</v>
      </c>
    </row>
    <row r="3745" spans="1:11">
      <c r="A3745">
        <v>30</v>
      </c>
      <c r="B3745" t="b">
        <v>0</v>
      </c>
      <c r="C3745" t="s">
        <v>44773</v>
      </c>
      <c r="D3745">
        <v>1037022454355</v>
      </c>
      <c r="E3745">
        <v>1</v>
      </c>
      <c r="F3745">
        <v>6149449348</v>
      </c>
      <c r="G3745">
        <v>892.5</v>
      </c>
      <c r="H3745" t="s">
        <v>40293</v>
      </c>
      <c r="I3745">
        <v>24539</v>
      </c>
      <c r="J3745">
        <v>34000</v>
      </c>
      <c r="K3745">
        <v>100000</v>
      </c>
    </row>
    <row r="3746" spans="1:11">
      <c r="A3746">
        <v>30</v>
      </c>
      <c r="B3746" t="b">
        <v>0</v>
      </c>
      <c r="C3746" t="s">
        <v>44431</v>
      </c>
      <c r="D3746">
        <v>1037022454355</v>
      </c>
      <c r="E3746">
        <v>1</v>
      </c>
      <c r="F3746">
        <v>6157112660</v>
      </c>
      <c r="G3746">
        <v>892.4</v>
      </c>
      <c r="H3746" t="s">
        <v>40293</v>
      </c>
      <c r="I3746">
        <v>24539</v>
      </c>
      <c r="J3746">
        <v>46012</v>
      </c>
      <c r="K3746">
        <v>50012</v>
      </c>
    </row>
    <row r="3747" spans="1:11">
      <c r="A3747">
        <v>90</v>
      </c>
      <c r="B3747" t="b">
        <v>0</v>
      </c>
      <c r="C3747" t="s">
        <v>42644</v>
      </c>
      <c r="D3747">
        <v>1037022454355</v>
      </c>
      <c r="E3747">
        <v>1</v>
      </c>
      <c r="F3747">
        <v>6070690421</v>
      </c>
      <c r="G3747">
        <v>1199</v>
      </c>
      <c r="H3747" t="s">
        <v>40293</v>
      </c>
      <c r="I3747">
        <v>24541</v>
      </c>
      <c r="J3747">
        <v>24460</v>
      </c>
      <c r="K3747">
        <v>43996</v>
      </c>
    </row>
    <row r="3748" spans="1:11">
      <c r="A3748">
        <v>90</v>
      </c>
      <c r="B3748" t="b">
        <v>0</v>
      </c>
      <c r="C3748" t="s">
        <v>44803</v>
      </c>
      <c r="D3748">
        <v>1037022454355</v>
      </c>
      <c r="E3748">
        <v>1</v>
      </c>
      <c r="F3748">
        <v>6150072278</v>
      </c>
      <c r="G3748">
        <v>1193</v>
      </c>
      <c r="H3748" t="s">
        <v>40293</v>
      </c>
      <c r="I3748">
        <v>24541</v>
      </c>
      <c r="J3748">
        <v>10000</v>
      </c>
      <c r="K3748">
        <v>10000</v>
      </c>
    </row>
    <row r="3749" spans="1:11">
      <c r="A3749">
        <v>30</v>
      </c>
      <c r="B3749" t="b">
        <v>0</v>
      </c>
      <c r="C3749" t="s">
        <v>45491</v>
      </c>
      <c r="D3749">
        <v>1037022454355</v>
      </c>
      <c r="E3749">
        <v>1</v>
      </c>
      <c r="F3749">
        <v>6143986387</v>
      </c>
      <c r="G3749">
        <v>1192</v>
      </c>
      <c r="H3749" t="s">
        <v>40293</v>
      </c>
      <c r="I3749">
        <v>24541</v>
      </c>
      <c r="J3749">
        <v>13000</v>
      </c>
      <c r="K3749">
        <v>20000</v>
      </c>
    </row>
    <row r="3750" spans="1:11">
      <c r="A3750">
        <v>30</v>
      </c>
      <c r="B3750" t="b">
        <v>0</v>
      </c>
      <c r="C3750" t="s">
        <v>43969</v>
      </c>
      <c r="D3750">
        <v>1037022454355</v>
      </c>
      <c r="E3750">
        <v>1</v>
      </c>
      <c r="F3750">
        <v>6144655017</v>
      </c>
      <c r="G3750">
        <v>20000000</v>
      </c>
      <c r="H3750" t="s">
        <v>40293</v>
      </c>
      <c r="I3750">
        <v>24572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41520</v>
      </c>
      <c r="D3751">
        <v>1037022454355</v>
      </c>
      <c r="E3751">
        <v>1</v>
      </c>
      <c r="F3751">
        <v>6117740954</v>
      </c>
      <c r="G3751">
        <v>194000000</v>
      </c>
      <c r="H3751" t="s">
        <v>40293</v>
      </c>
      <c r="I3751">
        <v>24638</v>
      </c>
      <c r="J3751">
        <v>2</v>
      </c>
      <c r="K3751">
        <v>2</v>
      </c>
    </row>
    <row r="3752" spans="1:11">
      <c r="A3752">
        <v>90</v>
      </c>
      <c r="B3752" t="b">
        <v>0</v>
      </c>
      <c r="C3752" t="s">
        <v>41602</v>
      </c>
      <c r="D3752">
        <v>1037022454355</v>
      </c>
      <c r="E3752">
        <v>1</v>
      </c>
      <c r="F3752">
        <v>6106837308</v>
      </c>
      <c r="G3752">
        <v>26500000</v>
      </c>
      <c r="H3752" t="s">
        <v>40293</v>
      </c>
      <c r="I3752">
        <v>24641</v>
      </c>
      <c r="J3752">
        <v>3</v>
      </c>
      <c r="K3752">
        <v>5</v>
      </c>
    </row>
    <row r="3753" spans="1:11">
      <c r="A3753">
        <v>90</v>
      </c>
      <c r="B3753" t="b">
        <v>0</v>
      </c>
      <c r="C3753" t="s">
        <v>41643</v>
      </c>
      <c r="D3753">
        <v>1037022454355</v>
      </c>
      <c r="E3753">
        <v>1</v>
      </c>
      <c r="F3753">
        <v>6106838359</v>
      </c>
      <c r="G3753">
        <v>125000000</v>
      </c>
      <c r="H3753" t="s">
        <v>40293</v>
      </c>
      <c r="I3753">
        <v>24663</v>
      </c>
      <c r="J3753">
        <v>2</v>
      </c>
      <c r="K3753">
        <v>5</v>
      </c>
    </row>
    <row r="3754" spans="1:11">
      <c r="A3754">
        <v>90</v>
      </c>
      <c r="B3754" t="b">
        <v>0</v>
      </c>
      <c r="C3754" t="s">
        <v>44069</v>
      </c>
      <c r="D3754">
        <v>1037022454355</v>
      </c>
      <c r="E3754">
        <v>1</v>
      </c>
      <c r="F3754">
        <v>6156583340</v>
      </c>
      <c r="G3754">
        <v>154000000</v>
      </c>
      <c r="H3754" t="s">
        <v>40293</v>
      </c>
      <c r="I3754">
        <v>24692</v>
      </c>
      <c r="J3754">
        <v>1</v>
      </c>
      <c r="K3754">
        <v>1</v>
      </c>
    </row>
    <row r="3755" spans="1:11">
      <c r="A3755">
        <v>90</v>
      </c>
      <c r="B3755" t="b">
        <v>0</v>
      </c>
      <c r="C3755" t="s">
        <v>43558</v>
      </c>
      <c r="D3755">
        <v>1037022454355</v>
      </c>
      <c r="E3755">
        <v>1</v>
      </c>
      <c r="F3755">
        <v>6139268074</v>
      </c>
      <c r="G3755">
        <v>78990000</v>
      </c>
      <c r="H3755" t="s">
        <v>40293</v>
      </c>
      <c r="I3755">
        <v>24698</v>
      </c>
      <c r="J3755">
        <v>6</v>
      </c>
      <c r="K3755">
        <v>10</v>
      </c>
    </row>
    <row r="3756" spans="1:11">
      <c r="A3756">
        <v>90</v>
      </c>
      <c r="B3756" t="b">
        <v>0</v>
      </c>
      <c r="C3756" t="s">
        <v>45711</v>
      </c>
      <c r="D3756">
        <v>1037022454355</v>
      </c>
      <c r="E3756">
        <v>1</v>
      </c>
      <c r="F3756">
        <v>6156441000</v>
      </c>
      <c r="G3756">
        <v>69000000</v>
      </c>
      <c r="H3756" t="s">
        <v>40293</v>
      </c>
      <c r="I3756">
        <v>24698</v>
      </c>
      <c r="J3756">
        <v>9</v>
      </c>
      <c r="K3756">
        <v>9</v>
      </c>
    </row>
    <row r="3757" spans="1:11">
      <c r="A3757">
        <v>90</v>
      </c>
      <c r="B3757" t="b">
        <v>0</v>
      </c>
      <c r="C3757" t="s">
        <v>41049</v>
      </c>
      <c r="D3757">
        <v>1037022454355</v>
      </c>
      <c r="E3757">
        <v>1</v>
      </c>
      <c r="F3757">
        <v>6096536307</v>
      </c>
      <c r="G3757">
        <v>93980000</v>
      </c>
      <c r="H3757" t="s">
        <v>40293</v>
      </c>
      <c r="I3757">
        <v>24700</v>
      </c>
      <c r="J3757">
        <v>10</v>
      </c>
      <c r="K3757">
        <v>10</v>
      </c>
    </row>
    <row r="3758" spans="1:11">
      <c r="A3758">
        <v>90</v>
      </c>
      <c r="B3758" t="b">
        <v>0</v>
      </c>
      <c r="C3758" t="s">
        <v>40500</v>
      </c>
      <c r="D3758">
        <v>1037022454355</v>
      </c>
      <c r="E3758">
        <v>1</v>
      </c>
      <c r="F3758">
        <v>6100751151</v>
      </c>
      <c r="G3758">
        <v>83000000</v>
      </c>
      <c r="H3758" t="s">
        <v>40293</v>
      </c>
      <c r="I3758">
        <v>24700</v>
      </c>
      <c r="J3758">
        <v>1</v>
      </c>
      <c r="K3758">
        <v>1</v>
      </c>
    </row>
    <row r="3759" spans="1:11">
      <c r="A3759">
        <v>90</v>
      </c>
      <c r="B3759" t="b">
        <v>0</v>
      </c>
      <c r="C3759" t="s">
        <v>41750</v>
      </c>
      <c r="D3759">
        <v>1037022454355</v>
      </c>
      <c r="E3759">
        <v>1</v>
      </c>
      <c r="F3759">
        <v>6100844190</v>
      </c>
      <c r="G3759">
        <v>82990000</v>
      </c>
      <c r="H3759" t="s">
        <v>40293</v>
      </c>
      <c r="I3759">
        <v>24700</v>
      </c>
      <c r="J3759">
        <v>5</v>
      </c>
      <c r="K3759">
        <v>5</v>
      </c>
    </row>
    <row r="3760" spans="1:11">
      <c r="A3760">
        <v>90</v>
      </c>
      <c r="B3760" t="b">
        <v>0</v>
      </c>
      <c r="C3760" t="s">
        <v>40406</v>
      </c>
      <c r="D3760">
        <v>1037022454355</v>
      </c>
      <c r="E3760">
        <v>1</v>
      </c>
      <c r="F3760">
        <v>6102944445</v>
      </c>
      <c r="G3760">
        <v>80000000</v>
      </c>
      <c r="H3760" t="s">
        <v>40293</v>
      </c>
      <c r="I3760">
        <v>24700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45778</v>
      </c>
      <c r="D3761">
        <v>1037022454355</v>
      </c>
      <c r="E3761">
        <v>1</v>
      </c>
      <c r="F3761">
        <v>6154442835</v>
      </c>
      <c r="G3761">
        <v>78980000</v>
      </c>
      <c r="H3761" t="s">
        <v>40293</v>
      </c>
      <c r="I3761">
        <v>24700</v>
      </c>
      <c r="J3761">
        <v>1</v>
      </c>
      <c r="K3761">
        <v>1</v>
      </c>
    </row>
    <row r="3762" spans="1:11">
      <c r="A3762">
        <v>90</v>
      </c>
      <c r="B3762" t="b">
        <v>0</v>
      </c>
      <c r="C3762" t="s">
        <v>46097</v>
      </c>
      <c r="D3762">
        <v>1037022454355</v>
      </c>
      <c r="E3762">
        <v>1</v>
      </c>
      <c r="F3762">
        <v>6143534995</v>
      </c>
      <c r="G3762">
        <v>78970000</v>
      </c>
      <c r="H3762" t="s">
        <v>40293</v>
      </c>
      <c r="I3762">
        <v>24700</v>
      </c>
      <c r="J3762">
        <v>10</v>
      </c>
      <c r="K3762">
        <v>10</v>
      </c>
    </row>
    <row r="3763" spans="1:11">
      <c r="A3763">
        <v>90</v>
      </c>
      <c r="B3763" t="b">
        <v>0</v>
      </c>
      <c r="C3763" t="s">
        <v>44133</v>
      </c>
      <c r="D3763">
        <v>1037022454355</v>
      </c>
      <c r="E3763">
        <v>1</v>
      </c>
      <c r="F3763">
        <v>6152258770</v>
      </c>
      <c r="G3763">
        <v>63670000</v>
      </c>
      <c r="H3763" t="s">
        <v>40293</v>
      </c>
      <c r="I3763">
        <v>24702</v>
      </c>
      <c r="J3763">
        <v>4</v>
      </c>
      <c r="K3763">
        <v>10</v>
      </c>
    </row>
    <row r="3764" spans="1:11">
      <c r="A3764">
        <v>90</v>
      </c>
      <c r="B3764" t="b">
        <v>0</v>
      </c>
      <c r="C3764" t="s">
        <v>40608</v>
      </c>
      <c r="D3764">
        <v>1037022454355</v>
      </c>
      <c r="E3764">
        <v>1</v>
      </c>
      <c r="F3764">
        <v>6090234882</v>
      </c>
      <c r="G3764">
        <v>80000</v>
      </c>
      <c r="H3764" t="s">
        <v>40293</v>
      </c>
      <c r="I3764">
        <v>25276</v>
      </c>
      <c r="J3764">
        <v>1206</v>
      </c>
      <c r="K3764">
        <v>1206</v>
      </c>
    </row>
    <row r="3765" spans="1:11">
      <c r="A3765">
        <v>90</v>
      </c>
      <c r="B3765" t="b">
        <v>0</v>
      </c>
      <c r="C3765" t="s">
        <v>41398</v>
      </c>
      <c r="D3765">
        <v>1037022454355</v>
      </c>
      <c r="E3765">
        <v>1</v>
      </c>
      <c r="F3765">
        <v>6116072676</v>
      </c>
      <c r="G3765">
        <v>50000</v>
      </c>
      <c r="H3765" t="s">
        <v>40293</v>
      </c>
      <c r="I3765">
        <v>25276</v>
      </c>
      <c r="J3765">
        <v>65</v>
      </c>
      <c r="K3765">
        <v>764</v>
      </c>
    </row>
    <row r="3766" spans="1:11">
      <c r="A3766">
        <v>90</v>
      </c>
      <c r="B3766" t="b">
        <v>0</v>
      </c>
      <c r="C3766" t="s">
        <v>45994</v>
      </c>
      <c r="D3766">
        <v>1037022454355</v>
      </c>
      <c r="E3766">
        <v>1</v>
      </c>
      <c r="F3766">
        <v>6148415961</v>
      </c>
      <c r="G3766">
        <v>29900000</v>
      </c>
      <c r="H3766" t="s">
        <v>40293</v>
      </c>
      <c r="I3766">
        <v>25349</v>
      </c>
      <c r="J3766">
        <v>3</v>
      </c>
      <c r="K3766">
        <v>3</v>
      </c>
    </row>
    <row r="3767" spans="1:11">
      <c r="A3767">
        <v>30</v>
      </c>
      <c r="B3767" t="b">
        <v>0</v>
      </c>
      <c r="C3767" t="s">
        <v>45452</v>
      </c>
      <c r="D3767">
        <v>1037022454355</v>
      </c>
      <c r="E3767">
        <v>1</v>
      </c>
      <c r="F3767">
        <v>6148507922</v>
      </c>
      <c r="G3767">
        <v>25500000</v>
      </c>
      <c r="H3767" t="s">
        <v>40293</v>
      </c>
      <c r="I3767">
        <v>25349</v>
      </c>
      <c r="J3767">
        <v>6</v>
      </c>
      <c r="K3767">
        <v>10</v>
      </c>
    </row>
    <row r="3768" spans="1:11">
      <c r="A3768">
        <v>90</v>
      </c>
      <c r="B3768" t="b">
        <v>0</v>
      </c>
      <c r="C3768" t="s">
        <v>41433</v>
      </c>
      <c r="D3768">
        <v>1037022454355</v>
      </c>
      <c r="E3768">
        <v>1</v>
      </c>
      <c r="F3768">
        <v>6121676980</v>
      </c>
      <c r="G3768">
        <v>150100000</v>
      </c>
      <c r="H3768" t="s">
        <v>40293</v>
      </c>
      <c r="I3768">
        <v>25530</v>
      </c>
      <c r="J3768">
        <v>2</v>
      </c>
      <c r="K3768">
        <v>4</v>
      </c>
    </row>
    <row r="3769" spans="1:11">
      <c r="A3769">
        <v>90</v>
      </c>
      <c r="B3769" t="b">
        <v>0</v>
      </c>
      <c r="C3769" t="s">
        <v>44129</v>
      </c>
      <c r="D3769">
        <v>1037022454355</v>
      </c>
      <c r="E3769">
        <v>1</v>
      </c>
      <c r="F3769">
        <v>6156125359</v>
      </c>
      <c r="G3769">
        <v>150000000</v>
      </c>
      <c r="H3769" t="s">
        <v>40293</v>
      </c>
      <c r="I3769">
        <v>25530</v>
      </c>
      <c r="J3769">
        <v>5</v>
      </c>
      <c r="K3769">
        <v>5</v>
      </c>
    </row>
    <row r="3770" spans="1:11">
      <c r="A3770">
        <v>90</v>
      </c>
      <c r="B3770" t="b">
        <v>0</v>
      </c>
      <c r="C3770" t="s">
        <v>42726</v>
      </c>
      <c r="D3770">
        <v>1037022454355</v>
      </c>
      <c r="E3770">
        <v>1</v>
      </c>
      <c r="F3770">
        <v>6121677161</v>
      </c>
      <c r="G3770">
        <v>66000000</v>
      </c>
      <c r="H3770" t="s">
        <v>40293</v>
      </c>
      <c r="I3770">
        <v>25538</v>
      </c>
      <c r="J3770">
        <v>1</v>
      </c>
      <c r="K3770">
        <v>5</v>
      </c>
    </row>
    <row r="3771" spans="1:11">
      <c r="A3771">
        <v>30</v>
      </c>
      <c r="B3771" t="b">
        <v>0</v>
      </c>
      <c r="C3771" t="s">
        <v>43793</v>
      </c>
      <c r="D3771">
        <v>1037022454355</v>
      </c>
      <c r="E3771">
        <v>1</v>
      </c>
      <c r="F3771">
        <v>6144649974</v>
      </c>
      <c r="G3771">
        <v>40000000</v>
      </c>
      <c r="H3771" t="s">
        <v>40293</v>
      </c>
      <c r="I3771">
        <v>25544</v>
      </c>
      <c r="J3771">
        <v>1</v>
      </c>
      <c r="K3771">
        <v>1</v>
      </c>
    </row>
    <row r="3772" spans="1:11">
      <c r="A3772">
        <v>90</v>
      </c>
      <c r="B3772" t="b">
        <v>0</v>
      </c>
      <c r="C3772" t="s">
        <v>41123</v>
      </c>
      <c r="D3772">
        <v>1037022454355</v>
      </c>
      <c r="E3772">
        <v>1</v>
      </c>
      <c r="F3772">
        <v>6105385221</v>
      </c>
      <c r="G3772">
        <v>300000000</v>
      </c>
      <c r="H3772" t="s">
        <v>40293</v>
      </c>
      <c r="I3772">
        <v>25548</v>
      </c>
      <c r="J3772">
        <v>2</v>
      </c>
      <c r="K3772">
        <v>2</v>
      </c>
    </row>
    <row r="3773" spans="1:11">
      <c r="A3773">
        <v>90</v>
      </c>
      <c r="B3773" t="b">
        <v>0</v>
      </c>
      <c r="C3773" t="s">
        <v>41586</v>
      </c>
      <c r="D3773">
        <v>1037022454355</v>
      </c>
      <c r="E3773">
        <v>1</v>
      </c>
      <c r="F3773">
        <v>6125187122</v>
      </c>
      <c r="G3773">
        <v>500000</v>
      </c>
      <c r="H3773" t="s">
        <v>40293</v>
      </c>
      <c r="I3773">
        <v>25561</v>
      </c>
      <c r="J3773">
        <v>48</v>
      </c>
      <c r="K3773">
        <v>50</v>
      </c>
    </row>
    <row r="3774" spans="1:11">
      <c r="A3774">
        <v>90</v>
      </c>
      <c r="B3774" t="b">
        <v>0</v>
      </c>
      <c r="C3774" t="s">
        <v>46458</v>
      </c>
      <c r="D3774">
        <v>1037022454355</v>
      </c>
      <c r="E3774">
        <v>1</v>
      </c>
      <c r="F3774">
        <v>6147275668</v>
      </c>
      <c r="G3774">
        <v>499000</v>
      </c>
      <c r="H3774" t="s">
        <v>40293</v>
      </c>
      <c r="I3774">
        <v>25561</v>
      </c>
      <c r="J3774">
        <v>1</v>
      </c>
      <c r="K3774">
        <v>1</v>
      </c>
    </row>
    <row r="3775" spans="1:11">
      <c r="A3775">
        <v>90</v>
      </c>
      <c r="B3775" t="b">
        <v>0</v>
      </c>
      <c r="C3775" t="s">
        <v>42769</v>
      </c>
      <c r="D3775">
        <v>1037022454355</v>
      </c>
      <c r="E3775">
        <v>1</v>
      </c>
      <c r="F3775">
        <v>6134655556</v>
      </c>
      <c r="G3775">
        <v>2974000</v>
      </c>
      <c r="H3775" t="s">
        <v>40293</v>
      </c>
      <c r="I3775">
        <v>25563</v>
      </c>
      <c r="J3775">
        <v>20</v>
      </c>
      <c r="K3775">
        <v>20</v>
      </c>
    </row>
    <row r="3776" spans="1:11">
      <c r="A3776">
        <v>90</v>
      </c>
      <c r="B3776" t="b">
        <v>0</v>
      </c>
      <c r="C3776" t="s">
        <v>42479</v>
      </c>
      <c r="D3776">
        <v>1037022454355</v>
      </c>
      <c r="E3776">
        <v>1</v>
      </c>
      <c r="F3776">
        <v>6073396995</v>
      </c>
      <c r="G3776">
        <v>2973000</v>
      </c>
      <c r="H3776" t="s">
        <v>40293</v>
      </c>
      <c r="I3776">
        <v>25563</v>
      </c>
      <c r="J3776">
        <v>24</v>
      </c>
      <c r="K3776">
        <v>25</v>
      </c>
    </row>
    <row r="3777" spans="1:11">
      <c r="A3777">
        <v>90</v>
      </c>
      <c r="B3777" t="b">
        <v>0</v>
      </c>
      <c r="C3777" t="s">
        <v>43396</v>
      </c>
      <c r="D3777">
        <v>1037022454355</v>
      </c>
      <c r="E3777">
        <v>1</v>
      </c>
      <c r="F3777">
        <v>6138247149</v>
      </c>
      <c r="G3777">
        <v>2600000</v>
      </c>
      <c r="H3777" t="s">
        <v>40293</v>
      </c>
      <c r="I3777">
        <v>25563</v>
      </c>
      <c r="J3777">
        <v>29</v>
      </c>
      <c r="K3777">
        <v>29</v>
      </c>
    </row>
    <row r="3778" spans="1:11">
      <c r="A3778">
        <v>90</v>
      </c>
      <c r="B3778" t="b">
        <v>0</v>
      </c>
      <c r="C3778" t="s">
        <v>43018</v>
      </c>
      <c r="D3778">
        <v>1037022454355</v>
      </c>
      <c r="E3778">
        <v>1</v>
      </c>
      <c r="F3778">
        <v>6080631137</v>
      </c>
      <c r="G3778">
        <v>2599000</v>
      </c>
      <c r="H3778" t="s">
        <v>40293</v>
      </c>
      <c r="I3778">
        <v>25563</v>
      </c>
      <c r="J3778">
        <v>2</v>
      </c>
      <c r="K3778">
        <v>10</v>
      </c>
    </row>
    <row r="3779" spans="1:11">
      <c r="A3779">
        <v>90</v>
      </c>
      <c r="B3779" t="b">
        <v>0</v>
      </c>
      <c r="C3779" t="s">
        <v>41347</v>
      </c>
      <c r="D3779">
        <v>1037022454355</v>
      </c>
      <c r="E3779">
        <v>1</v>
      </c>
      <c r="F3779">
        <v>6106830875</v>
      </c>
      <c r="G3779">
        <v>25000</v>
      </c>
      <c r="H3779" t="s">
        <v>40293</v>
      </c>
      <c r="I3779">
        <v>25565</v>
      </c>
      <c r="J3779">
        <v>33</v>
      </c>
      <c r="K3779">
        <v>50</v>
      </c>
    </row>
    <row r="3780" spans="1:11">
      <c r="A3780">
        <v>90</v>
      </c>
      <c r="B3780" t="b">
        <v>0</v>
      </c>
      <c r="C3780" t="s">
        <v>42562</v>
      </c>
      <c r="D3780">
        <v>1037022454355</v>
      </c>
      <c r="E3780">
        <v>1</v>
      </c>
      <c r="F3780">
        <v>6136021095</v>
      </c>
      <c r="G3780">
        <v>4400</v>
      </c>
      <c r="H3780" t="s">
        <v>40293</v>
      </c>
      <c r="I3780">
        <v>25588</v>
      </c>
      <c r="J3780">
        <v>30</v>
      </c>
      <c r="K3780">
        <v>30</v>
      </c>
    </row>
    <row r="3781" spans="1:11">
      <c r="A3781">
        <v>90</v>
      </c>
      <c r="B3781" t="b">
        <v>0</v>
      </c>
      <c r="C3781" t="s">
        <v>41666</v>
      </c>
      <c r="D3781">
        <v>1037022454355</v>
      </c>
      <c r="E3781">
        <v>1</v>
      </c>
      <c r="F3781">
        <v>6098974482</v>
      </c>
      <c r="G3781">
        <v>4400</v>
      </c>
      <c r="H3781" t="s">
        <v>40293</v>
      </c>
      <c r="I3781">
        <v>25588</v>
      </c>
      <c r="J3781">
        <v>7</v>
      </c>
      <c r="K3781">
        <v>7</v>
      </c>
    </row>
    <row r="3782" spans="1:11">
      <c r="A3782">
        <v>90</v>
      </c>
      <c r="B3782" t="b">
        <v>0</v>
      </c>
      <c r="C3782" t="s">
        <v>41273</v>
      </c>
      <c r="D3782">
        <v>1037022454355</v>
      </c>
      <c r="E3782">
        <v>1</v>
      </c>
      <c r="F3782">
        <v>6107714450</v>
      </c>
      <c r="G3782">
        <v>4196</v>
      </c>
      <c r="H3782" t="s">
        <v>40293</v>
      </c>
      <c r="I3782">
        <v>25588</v>
      </c>
      <c r="J3782">
        <v>1</v>
      </c>
      <c r="K3782">
        <v>1</v>
      </c>
    </row>
    <row r="3783" spans="1:11">
      <c r="A3783">
        <v>14</v>
      </c>
      <c r="B3783" t="b">
        <v>0</v>
      </c>
      <c r="C3783" t="s">
        <v>45005</v>
      </c>
      <c r="D3783">
        <v>1037022454355</v>
      </c>
      <c r="E3783">
        <v>1</v>
      </c>
      <c r="F3783">
        <v>6156109898</v>
      </c>
      <c r="G3783">
        <v>291.5</v>
      </c>
      <c r="H3783" t="s">
        <v>40293</v>
      </c>
      <c r="I3783">
        <v>25588</v>
      </c>
      <c r="J3783">
        <v>2</v>
      </c>
      <c r="K3783">
        <v>2</v>
      </c>
    </row>
    <row r="3784" spans="1:11">
      <c r="A3784">
        <v>90</v>
      </c>
      <c r="B3784" t="b">
        <v>0</v>
      </c>
      <c r="C3784" t="s">
        <v>42571</v>
      </c>
      <c r="D3784">
        <v>1037022454355</v>
      </c>
      <c r="E3784">
        <v>1</v>
      </c>
      <c r="F3784">
        <v>6136021599</v>
      </c>
      <c r="G3784">
        <v>2500</v>
      </c>
      <c r="H3784" t="s">
        <v>40293</v>
      </c>
      <c r="I3784">
        <v>25589</v>
      </c>
      <c r="J3784">
        <v>44</v>
      </c>
      <c r="K3784">
        <v>44</v>
      </c>
    </row>
    <row r="3785" spans="1:11">
      <c r="A3785">
        <v>90</v>
      </c>
      <c r="B3785" t="b">
        <v>0</v>
      </c>
      <c r="C3785" t="s">
        <v>41327</v>
      </c>
      <c r="D3785">
        <v>1037022454355</v>
      </c>
      <c r="E3785">
        <v>1</v>
      </c>
      <c r="F3785">
        <v>6115612337</v>
      </c>
      <c r="G3785">
        <v>2500</v>
      </c>
      <c r="H3785" t="s">
        <v>40293</v>
      </c>
      <c r="I3785">
        <v>25589</v>
      </c>
      <c r="J3785">
        <v>7</v>
      </c>
      <c r="K3785">
        <v>7</v>
      </c>
    </row>
    <row r="3786" spans="1:11">
      <c r="A3786">
        <v>90</v>
      </c>
      <c r="B3786" t="b">
        <v>0</v>
      </c>
      <c r="C3786" t="s">
        <v>42517</v>
      </c>
      <c r="D3786">
        <v>1037022454355</v>
      </c>
      <c r="E3786">
        <v>1</v>
      </c>
      <c r="F3786">
        <v>6137526183</v>
      </c>
      <c r="G3786">
        <v>2399</v>
      </c>
      <c r="H3786" t="s">
        <v>40293</v>
      </c>
      <c r="I3786">
        <v>25589</v>
      </c>
      <c r="J3786">
        <v>1</v>
      </c>
      <c r="K3786">
        <v>1</v>
      </c>
    </row>
    <row r="3787" spans="1:11">
      <c r="A3787">
        <v>90</v>
      </c>
      <c r="B3787" t="b">
        <v>0</v>
      </c>
      <c r="C3787" t="s">
        <v>42941</v>
      </c>
      <c r="D3787">
        <v>1037022454355</v>
      </c>
      <c r="E3787">
        <v>1</v>
      </c>
      <c r="F3787">
        <v>6141773357</v>
      </c>
      <c r="G3787">
        <v>2399</v>
      </c>
      <c r="H3787" t="s">
        <v>40293</v>
      </c>
      <c r="I3787">
        <v>25589</v>
      </c>
      <c r="J3787">
        <v>43</v>
      </c>
      <c r="K3787">
        <v>43</v>
      </c>
    </row>
    <row r="3788" spans="1:11">
      <c r="A3788">
        <v>90</v>
      </c>
      <c r="B3788" t="b">
        <v>0</v>
      </c>
      <c r="C3788" t="s">
        <v>41217</v>
      </c>
      <c r="D3788">
        <v>1037022454355</v>
      </c>
      <c r="E3788">
        <v>1</v>
      </c>
      <c r="F3788">
        <v>6107156500</v>
      </c>
      <c r="G3788">
        <v>79000</v>
      </c>
      <c r="H3788" t="s">
        <v>40293</v>
      </c>
      <c r="I3788">
        <v>25590</v>
      </c>
      <c r="J3788">
        <v>101</v>
      </c>
      <c r="K3788">
        <v>273</v>
      </c>
    </row>
    <row r="3789" spans="1:11">
      <c r="A3789">
        <v>90</v>
      </c>
      <c r="B3789" t="b">
        <v>0</v>
      </c>
      <c r="C3789" t="s">
        <v>44672</v>
      </c>
      <c r="D3789">
        <v>1037022454355</v>
      </c>
      <c r="E3789">
        <v>1</v>
      </c>
      <c r="F3789">
        <v>6089187899</v>
      </c>
      <c r="G3789">
        <v>78950</v>
      </c>
      <c r="H3789" t="s">
        <v>40293</v>
      </c>
      <c r="I3789">
        <v>25590</v>
      </c>
      <c r="J3789">
        <v>50000</v>
      </c>
      <c r="K3789">
        <v>50000</v>
      </c>
    </row>
    <row r="3790" spans="1:11">
      <c r="A3790">
        <v>90</v>
      </c>
      <c r="B3790" t="b">
        <v>0</v>
      </c>
      <c r="C3790" t="s">
        <v>40359</v>
      </c>
      <c r="D3790">
        <v>1037022454355</v>
      </c>
      <c r="E3790">
        <v>1</v>
      </c>
      <c r="F3790">
        <v>6115624525</v>
      </c>
      <c r="G3790">
        <v>78000</v>
      </c>
      <c r="H3790" t="s">
        <v>40293</v>
      </c>
      <c r="I3790">
        <v>25590</v>
      </c>
      <c r="J3790">
        <v>9</v>
      </c>
      <c r="K3790">
        <v>9</v>
      </c>
    </row>
    <row r="3791" spans="1:11">
      <c r="A3791">
        <v>90</v>
      </c>
      <c r="B3791" t="b">
        <v>0</v>
      </c>
      <c r="C3791" t="s">
        <v>42594</v>
      </c>
      <c r="D3791">
        <v>1037022454355</v>
      </c>
      <c r="E3791">
        <v>1</v>
      </c>
      <c r="F3791">
        <v>6136022537</v>
      </c>
      <c r="G3791">
        <v>73800</v>
      </c>
      <c r="H3791" t="s">
        <v>40293</v>
      </c>
      <c r="I3791">
        <v>25590</v>
      </c>
      <c r="J3791">
        <v>32</v>
      </c>
      <c r="K3791">
        <v>32</v>
      </c>
    </row>
    <row r="3792" spans="1:11">
      <c r="A3792">
        <v>90</v>
      </c>
      <c r="B3792" t="b">
        <v>0</v>
      </c>
      <c r="C3792" t="s">
        <v>42298</v>
      </c>
      <c r="D3792">
        <v>1037022454355</v>
      </c>
      <c r="E3792">
        <v>1</v>
      </c>
      <c r="F3792">
        <v>6137807532</v>
      </c>
      <c r="G3792">
        <v>70000</v>
      </c>
      <c r="H3792" t="s">
        <v>40293</v>
      </c>
      <c r="I3792">
        <v>25590</v>
      </c>
      <c r="J3792">
        <v>52</v>
      </c>
      <c r="K3792">
        <v>62</v>
      </c>
    </row>
    <row r="3793" spans="1:11">
      <c r="A3793">
        <v>90</v>
      </c>
      <c r="B3793" t="b">
        <v>0</v>
      </c>
      <c r="C3793" t="s">
        <v>45517</v>
      </c>
      <c r="D3793">
        <v>1037022454355</v>
      </c>
      <c r="E3793">
        <v>1</v>
      </c>
      <c r="F3793">
        <v>6154341321</v>
      </c>
      <c r="G3793">
        <v>30010</v>
      </c>
      <c r="H3793" t="s">
        <v>40293</v>
      </c>
      <c r="I3793">
        <v>25590</v>
      </c>
      <c r="J3793">
        <v>10</v>
      </c>
      <c r="K3793">
        <v>45</v>
      </c>
    </row>
    <row r="3794" spans="1:11">
      <c r="A3794">
        <v>90</v>
      </c>
      <c r="B3794" t="b">
        <v>0</v>
      </c>
      <c r="C3794" t="s">
        <v>40607</v>
      </c>
      <c r="D3794">
        <v>1037022454355</v>
      </c>
      <c r="E3794">
        <v>1</v>
      </c>
      <c r="F3794">
        <v>6097607644</v>
      </c>
      <c r="G3794">
        <v>119000</v>
      </c>
      <c r="H3794" t="s">
        <v>40293</v>
      </c>
      <c r="I3794">
        <v>25591</v>
      </c>
      <c r="J3794">
        <v>38</v>
      </c>
      <c r="K3794">
        <v>38</v>
      </c>
    </row>
    <row r="3795" spans="1:11">
      <c r="A3795">
        <v>90</v>
      </c>
      <c r="B3795" t="b">
        <v>0</v>
      </c>
      <c r="C3795" t="s">
        <v>44673</v>
      </c>
      <c r="D3795">
        <v>1037022454355</v>
      </c>
      <c r="E3795">
        <v>1</v>
      </c>
      <c r="F3795">
        <v>6089187902</v>
      </c>
      <c r="G3795">
        <v>118000</v>
      </c>
      <c r="H3795" t="s">
        <v>40293</v>
      </c>
      <c r="I3795">
        <v>25591</v>
      </c>
      <c r="J3795">
        <v>12192</v>
      </c>
      <c r="K3795">
        <v>15000</v>
      </c>
    </row>
    <row r="3796" spans="1:11">
      <c r="A3796">
        <v>90</v>
      </c>
      <c r="B3796" t="b">
        <v>0</v>
      </c>
      <c r="C3796" t="s">
        <v>42585</v>
      </c>
      <c r="D3796">
        <v>1037022454355</v>
      </c>
      <c r="E3796">
        <v>1</v>
      </c>
      <c r="F3796">
        <v>6136022162</v>
      </c>
      <c r="G3796">
        <v>6000</v>
      </c>
      <c r="H3796" t="s">
        <v>40293</v>
      </c>
      <c r="I3796">
        <v>25592</v>
      </c>
      <c r="J3796">
        <v>42</v>
      </c>
      <c r="K3796">
        <v>42</v>
      </c>
    </row>
    <row r="3797" spans="1:11">
      <c r="A3797">
        <v>90</v>
      </c>
      <c r="B3797" t="b">
        <v>0</v>
      </c>
      <c r="C3797" t="s">
        <v>41256</v>
      </c>
      <c r="D3797">
        <v>1037022454355</v>
      </c>
      <c r="E3797">
        <v>1</v>
      </c>
      <c r="F3797">
        <v>6107714140</v>
      </c>
      <c r="G3797">
        <v>5795</v>
      </c>
      <c r="H3797" t="s">
        <v>40293</v>
      </c>
      <c r="I3797">
        <v>25592</v>
      </c>
      <c r="J3797">
        <v>7</v>
      </c>
      <c r="K3797">
        <v>7</v>
      </c>
    </row>
    <row r="3798" spans="1:11">
      <c r="A3798">
        <v>90</v>
      </c>
      <c r="B3798" t="b">
        <v>0</v>
      </c>
      <c r="C3798" t="s">
        <v>41346</v>
      </c>
      <c r="D3798">
        <v>1037022454355</v>
      </c>
      <c r="E3798">
        <v>1</v>
      </c>
      <c r="F3798">
        <v>6115612695</v>
      </c>
      <c r="G3798">
        <v>5750</v>
      </c>
      <c r="H3798" t="s">
        <v>40293</v>
      </c>
      <c r="I3798">
        <v>25592</v>
      </c>
      <c r="J3798">
        <v>6</v>
      </c>
      <c r="K3798">
        <v>6</v>
      </c>
    </row>
    <row r="3799" spans="1:11">
      <c r="A3799">
        <v>14</v>
      </c>
      <c r="B3799" t="b">
        <v>0</v>
      </c>
      <c r="C3799" t="s">
        <v>45005</v>
      </c>
      <c r="D3799">
        <v>1037022454355</v>
      </c>
      <c r="E3799">
        <v>1</v>
      </c>
      <c r="F3799">
        <v>6156109895</v>
      </c>
      <c r="G3799">
        <v>4000</v>
      </c>
      <c r="H3799" t="s">
        <v>40293</v>
      </c>
      <c r="I3799">
        <v>25592</v>
      </c>
      <c r="J3799">
        <v>4</v>
      </c>
      <c r="K3799">
        <v>4</v>
      </c>
    </row>
    <row r="3800" spans="1:11">
      <c r="A3800">
        <v>90</v>
      </c>
      <c r="B3800" t="b">
        <v>0</v>
      </c>
      <c r="C3800" t="s">
        <v>43461</v>
      </c>
      <c r="D3800">
        <v>1037022454355</v>
      </c>
      <c r="E3800">
        <v>1</v>
      </c>
      <c r="F3800">
        <v>6138937002</v>
      </c>
      <c r="G3800">
        <v>2839</v>
      </c>
      <c r="H3800" t="s">
        <v>40293</v>
      </c>
      <c r="I3800">
        <v>25592</v>
      </c>
      <c r="J3800">
        <v>14</v>
      </c>
      <c r="K3800">
        <v>14</v>
      </c>
    </row>
    <row r="3801" spans="1:11">
      <c r="A3801">
        <v>90</v>
      </c>
      <c r="B3801" t="b">
        <v>0</v>
      </c>
      <c r="C3801" t="s">
        <v>43572</v>
      </c>
      <c r="D3801">
        <v>1037022454355</v>
      </c>
      <c r="E3801">
        <v>1</v>
      </c>
      <c r="F3801">
        <v>6143923869</v>
      </c>
      <c r="G3801">
        <v>2777</v>
      </c>
      <c r="H3801" t="s">
        <v>40293</v>
      </c>
      <c r="I3801">
        <v>25592</v>
      </c>
      <c r="J3801">
        <v>3</v>
      </c>
      <c r="K3801">
        <v>3</v>
      </c>
    </row>
    <row r="3802" spans="1:11">
      <c r="A3802">
        <v>90</v>
      </c>
      <c r="B3802" t="b">
        <v>0</v>
      </c>
      <c r="C3802" t="s">
        <v>46469</v>
      </c>
      <c r="D3802">
        <v>1037022454355</v>
      </c>
      <c r="E3802">
        <v>1</v>
      </c>
      <c r="F3802">
        <v>6147275800</v>
      </c>
      <c r="G3802">
        <v>2776</v>
      </c>
      <c r="H3802" t="s">
        <v>40293</v>
      </c>
      <c r="I3802">
        <v>25592</v>
      </c>
      <c r="J3802">
        <v>70</v>
      </c>
      <c r="K3802">
        <v>70</v>
      </c>
    </row>
    <row r="3803" spans="1:11">
      <c r="A3803">
        <v>90</v>
      </c>
      <c r="B3803" t="b">
        <v>0</v>
      </c>
      <c r="C3803" t="s">
        <v>44872</v>
      </c>
      <c r="D3803">
        <v>1037022454355</v>
      </c>
      <c r="E3803">
        <v>1</v>
      </c>
      <c r="F3803">
        <v>6137097150</v>
      </c>
      <c r="G3803">
        <v>2500</v>
      </c>
      <c r="H3803" t="s">
        <v>40293</v>
      </c>
      <c r="I3803">
        <v>25592</v>
      </c>
      <c r="J3803">
        <v>1</v>
      </c>
      <c r="K3803">
        <v>1</v>
      </c>
    </row>
    <row r="3804" spans="1:11">
      <c r="A3804">
        <v>90</v>
      </c>
      <c r="B3804" t="b">
        <v>0</v>
      </c>
      <c r="C3804" t="s">
        <v>46336</v>
      </c>
      <c r="D3804">
        <v>1037022454355</v>
      </c>
      <c r="E3804">
        <v>1</v>
      </c>
      <c r="F3804">
        <v>6152916208</v>
      </c>
      <c r="G3804">
        <v>2499</v>
      </c>
      <c r="H3804" t="s">
        <v>40293</v>
      </c>
      <c r="I3804">
        <v>25592</v>
      </c>
      <c r="J3804">
        <v>103</v>
      </c>
      <c r="K3804">
        <v>103</v>
      </c>
    </row>
    <row r="3805" spans="1:11">
      <c r="A3805">
        <v>90</v>
      </c>
      <c r="B3805" t="b">
        <v>0</v>
      </c>
      <c r="C3805" t="s">
        <v>42557</v>
      </c>
      <c r="D3805">
        <v>1037022454355</v>
      </c>
      <c r="E3805">
        <v>1</v>
      </c>
      <c r="F3805">
        <v>6136020789</v>
      </c>
      <c r="G3805">
        <v>140000</v>
      </c>
      <c r="H3805" t="s">
        <v>40293</v>
      </c>
      <c r="I3805">
        <v>25593</v>
      </c>
      <c r="J3805">
        <v>41</v>
      </c>
      <c r="K3805">
        <v>41</v>
      </c>
    </row>
    <row r="3806" spans="1:11">
      <c r="A3806">
        <v>90</v>
      </c>
      <c r="B3806" t="b">
        <v>0</v>
      </c>
      <c r="C3806" t="s">
        <v>41658</v>
      </c>
      <c r="D3806">
        <v>1037022454355</v>
      </c>
      <c r="E3806">
        <v>1</v>
      </c>
      <c r="F3806">
        <v>6098974254</v>
      </c>
      <c r="G3806">
        <v>9000</v>
      </c>
      <c r="H3806" t="s">
        <v>40293</v>
      </c>
      <c r="I3806">
        <v>25593</v>
      </c>
      <c r="J3806">
        <v>6</v>
      </c>
      <c r="K3806">
        <v>6</v>
      </c>
    </row>
    <row r="3807" spans="1:11">
      <c r="A3807">
        <v>90</v>
      </c>
      <c r="B3807" t="b">
        <v>0</v>
      </c>
      <c r="C3807" t="s">
        <v>40490</v>
      </c>
      <c r="D3807">
        <v>1037022454355</v>
      </c>
      <c r="E3807">
        <v>1</v>
      </c>
      <c r="F3807">
        <v>6095868493</v>
      </c>
      <c r="G3807">
        <v>8998</v>
      </c>
      <c r="H3807" t="s">
        <v>40293</v>
      </c>
      <c r="I3807">
        <v>25593</v>
      </c>
      <c r="J3807">
        <v>1</v>
      </c>
      <c r="K3807">
        <v>1</v>
      </c>
    </row>
    <row r="3808" spans="1:11">
      <c r="A3808">
        <v>90</v>
      </c>
      <c r="B3808" t="b">
        <v>0</v>
      </c>
      <c r="C3808" t="s">
        <v>41411</v>
      </c>
      <c r="D3808">
        <v>1037022454355</v>
      </c>
      <c r="E3808">
        <v>1</v>
      </c>
      <c r="F3808">
        <v>6107160188</v>
      </c>
      <c r="G3808">
        <v>6571</v>
      </c>
      <c r="H3808" t="s">
        <v>40293</v>
      </c>
      <c r="I3808">
        <v>25593</v>
      </c>
      <c r="J3808">
        <v>29</v>
      </c>
      <c r="K3808">
        <v>817</v>
      </c>
    </row>
    <row r="3809" spans="1:11">
      <c r="A3809">
        <v>30</v>
      </c>
      <c r="B3809" t="b">
        <v>0</v>
      </c>
      <c r="C3809" t="s">
        <v>43388</v>
      </c>
      <c r="D3809">
        <v>1037022454355</v>
      </c>
      <c r="E3809">
        <v>1</v>
      </c>
      <c r="F3809">
        <v>6144652234</v>
      </c>
      <c r="G3809">
        <v>144900</v>
      </c>
      <c r="H3809" t="s">
        <v>40293</v>
      </c>
      <c r="I3809">
        <v>25594</v>
      </c>
      <c r="J3809">
        <v>147</v>
      </c>
      <c r="K3809">
        <v>147</v>
      </c>
    </row>
    <row r="3810" spans="1:11">
      <c r="A3810">
        <v>90</v>
      </c>
      <c r="B3810" t="b">
        <v>0</v>
      </c>
      <c r="C3810" t="s">
        <v>44676</v>
      </c>
      <c r="D3810">
        <v>1037022454355</v>
      </c>
      <c r="E3810">
        <v>1</v>
      </c>
      <c r="F3810">
        <v>6089187907</v>
      </c>
      <c r="G3810">
        <v>144800</v>
      </c>
      <c r="H3810" t="s">
        <v>40293</v>
      </c>
      <c r="I3810">
        <v>25594</v>
      </c>
      <c r="J3810">
        <v>49578</v>
      </c>
      <c r="K3810">
        <v>50000</v>
      </c>
    </row>
    <row r="3811" spans="1:11">
      <c r="A3811">
        <v>90</v>
      </c>
      <c r="B3811" t="b">
        <v>0</v>
      </c>
      <c r="C3811" t="s">
        <v>44717</v>
      </c>
      <c r="D3811">
        <v>1037022454355</v>
      </c>
      <c r="E3811">
        <v>1</v>
      </c>
      <c r="F3811">
        <v>6147286086</v>
      </c>
      <c r="G3811">
        <v>99990</v>
      </c>
      <c r="H3811" t="s">
        <v>40293</v>
      </c>
      <c r="I3811">
        <v>25594</v>
      </c>
      <c r="J3811">
        <v>3</v>
      </c>
      <c r="K3811">
        <v>3</v>
      </c>
    </row>
    <row r="3812" spans="1:11">
      <c r="A3812">
        <v>14</v>
      </c>
      <c r="B3812" t="b">
        <v>0</v>
      </c>
      <c r="C3812" t="s">
        <v>45005</v>
      </c>
      <c r="D3812">
        <v>1037022454355</v>
      </c>
      <c r="E3812">
        <v>1</v>
      </c>
      <c r="F3812">
        <v>6156109890</v>
      </c>
      <c r="G3812">
        <v>70000</v>
      </c>
      <c r="H3812" t="s">
        <v>40293</v>
      </c>
      <c r="I3812">
        <v>25594</v>
      </c>
      <c r="J3812">
        <v>3</v>
      </c>
      <c r="K3812">
        <v>3</v>
      </c>
    </row>
    <row r="3813" spans="1:11">
      <c r="A3813">
        <v>90</v>
      </c>
      <c r="B3813" t="b">
        <v>0</v>
      </c>
      <c r="C3813" t="s">
        <v>43500</v>
      </c>
      <c r="D3813">
        <v>1037022454355</v>
      </c>
      <c r="E3813">
        <v>1</v>
      </c>
      <c r="F3813">
        <v>6138938451</v>
      </c>
      <c r="G3813">
        <v>3853</v>
      </c>
      <c r="H3813" t="s">
        <v>40293</v>
      </c>
      <c r="I3813">
        <v>25595</v>
      </c>
      <c r="J3813">
        <v>11</v>
      </c>
      <c r="K3813">
        <v>11</v>
      </c>
    </row>
    <row r="3814" spans="1:11">
      <c r="A3814">
        <v>90</v>
      </c>
      <c r="B3814" t="b">
        <v>0</v>
      </c>
      <c r="C3814" t="s">
        <v>42853</v>
      </c>
      <c r="D3814">
        <v>1037022454355</v>
      </c>
      <c r="E3814">
        <v>1</v>
      </c>
      <c r="F3814">
        <v>6137805902</v>
      </c>
      <c r="G3814">
        <v>3853</v>
      </c>
      <c r="H3814" t="s">
        <v>40293</v>
      </c>
      <c r="I3814">
        <v>25595</v>
      </c>
      <c r="J3814">
        <v>161</v>
      </c>
      <c r="K3814">
        <v>161</v>
      </c>
    </row>
    <row r="3815" spans="1:11">
      <c r="A3815">
        <v>90</v>
      </c>
      <c r="B3815" t="b">
        <v>0</v>
      </c>
      <c r="C3815" t="s">
        <v>42941</v>
      </c>
      <c r="D3815">
        <v>1037022454355</v>
      </c>
      <c r="E3815">
        <v>1</v>
      </c>
      <c r="F3815">
        <v>6141773351</v>
      </c>
      <c r="G3815">
        <v>3852</v>
      </c>
      <c r="H3815" t="s">
        <v>40293</v>
      </c>
      <c r="I3815">
        <v>25595</v>
      </c>
      <c r="J3815">
        <v>163</v>
      </c>
      <c r="K3815">
        <v>163</v>
      </c>
    </row>
    <row r="3816" spans="1:11">
      <c r="A3816">
        <v>90</v>
      </c>
      <c r="B3816" t="b">
        <v>0</v>
      </c>
      <c r="C3816" t="s">
        <v>43572</v>
      </c>
      <c r="D3816">
        <v>1037022454355</v>
      </c>
      <c r="E3816">
        <v>1</v>
      </c>
      <c r="F3816">
        <v>6143923859</v>
      </c>
      <c r="G3816">
        <v>3222</v>
      </c>
      <c r="H3816" t="s">
        <v>40293</v>
      </c>
      <c r="I3816">
        <v>25595</v>
      </c>
      <c r="J3816">
        <v>1</v>
      </c>
      <c r="K3816">
        <v>1</v>
      </c>
    </row>
    <row r="3817" spans="1:11">
      <c r="A3817">
        <v>90</v>
      </c>
      <c r="B3817" t="b">
        <v>0</v>
      </c>
      <c r="C3817" t="s">
        <v>44864</v>
      </c>
      <c r="D3817">
        <v>1037022454355</v>
      </c>
      <c r="E3817">
        <v>1</v>
      </c>
      <c r="F3817">
        <v>6154758992</v>
      </c>
      <c r="G3817">
        <v>3220</v>
      </c>
      <c r="H3817" t="s">
        <v>40293</v>
      </c>
      <c r="I3817">
        <v>25595</v>
      </c>
      <c r="J3817">
        <v>13</v>
      </c>
      <c r="K3817">
        <v>53</v>
      </c>
    </row>
    <row r="3818" spans="1:11">
      <c r="A3818">
        <v>14</v>
      </c>
      <c r="B3818" t="b">
        <v>0</v>
      </c>
      <c r="C3818" t="s">
        <v>45005</v>
      </c>
      <c r="D3818">
        <v>1037022454355</v>
      </c>
      <c r="E3818">
        <v>1</v>
      </c>
      <c r="F3818">
        <v>6156109897</v>
      </c>
      <c r="G3818">
        <v>1742</v>
      </c>
      <c r="H3818" t="s">
        <v>40293</v>
      </c>
      <c r="I3818">
        <v>25595</v>
      </c>
      <c r="J3818">
        <v>2</v>
      </c>
      <c r="K3818">
        <v>2</v>
      </c>
    </row>
    <row r="3819" spans="1:11">
      <c r="A3819">
        <v>30</v>
      </c>
      <c r="B3819" t="b">
        <v>0</v>
      </c>
      <c r="C3819" t="s">
        <v>45146</v>
      </c>
      <c r="D3819">
        <v>1037022454355</v>
      </c>
      <c r="E3819">
        <v>1</v>
      </c>
      <c r="F3819">
        <v>6151715204</v>
      </c>
      <c r="G3819">
        <v>25000</v>
      </c>
      <c r="H3819" t="s">
        <v>40293</v>
      </c>
      <c r="I3819">
        <v>25596</v>
      </c>
      <c r="J3819">
        <v>1249</v>
      </c>
      <c r="K3819">
        <v>1249</v>
      </c>
    </row>
    <row r="3820" spans="1:11">
      <c r="A3820">
        <v>90</v>
      </c>
      <c r="B3820" t="b">
        <v>0</v>
      </c>
      <c r="C3820" t="s">
        <v>42532</v>
      </c>
      <c r="D3820">
        <v>1037022454355</v>
      </c>
      <c r="E3820">
        <v>1</v>
      </c>
      <c r="F3820">
        <v>6136019553</v>
      </c>
      <c r="G3820">
        <v>25000</v>
      </c>
      <c r="H3820" t="s">
        <v>40293</v>
      </c>
      <c r="I3820">
        <v>25596</v>
      </c>
      <c r="J3820">
        <v>355</v>
      </c>
      <c r="K3820">
        <v>355</v>
      </c>
    </row>
    <row r="3821" spans="1:11">
      <c r="A3821">
        <v>7</v>
      </c>
      <c r="B3821" t="b">
        <v>0</v>
      </c>
      <c r="C3821" t="s">
        <v>46484</v>
      </c>
      <c r="D3821">
        <v>1037022454355</v>
      </c>
      <c r="E3821">
        <v>1</v>
      </c>
      <c r="F3821">
        <v>6154468954</v>
      </c>
      <c r="G3821">
        <v>14000</v>
      </c>
      <c r="H3821" t="s">
        <v>40293</v>
      </c>
      <c r="I3821">
        <v>25596</v>
      </c>
      <c r="J3821">
        <v>4</v>
      </c>
      <c r="K3821">
        <v>4</v>
      </c>
    </row>
    <row r="3822" spans="1:11">
      <c r="A3822">
        <v>14</v>
      </c>
      <c r="B3822" t="b">
        <v>0</v>
      </c>
      <c r="C3822" t="s">
        <v>45005</v>
      </c>
      <c r="D3822">
        <v>1037022454355</v>
      </c>
      <c r="E3822">
        <v>1</v>
      </c>
      <c r="F3822">
        <v>6156109889</v>
      </c>
      <c r="G3822">
        <v>10000</v>
      </c>
      <c r="H3822" t="s">
        <v>40293</v>
      </c>
      <c r="I3822">
        <v>25596</v>
      </c>
      <c r="J3822">
        <v>40</v>
      </c>
      <c r="K3822">
        <v>40</v>
      </c>
    </row>
    <row r="3823" spans="1:11">
      <c r="A3823">
        <v>90</v>
      </c>
      <c r="B3823" t="b">
        <v>0</v>
      </c>
      <c r="C3823" t="s">
        <v>43764</v>
      </c>
      <c r="D3823">
        <v>1037022454355</v>
      </c>
      <c r="E3823">
        <v>1</v>
      </c>
      <c r="F3823">
        <v>6141634475</v>
      </c>
      <c r="G3823">
        <v>119</v>
      </c>
      <c r="H3823" t="s">
        <v>40293</v>
      </c>
      <c r="I3823">
        <v>25597</v>
      </c>
      <c r="J3823">
        <v>56</v>
      </c>
      <c r="K3823">
        <v>58</v>
      </c>
    </row>
    <row r="3824" spans="1:11">
      <c r="A3824">
        <v>90</v>
      </c>
      <c r="B3824" t="b">
        <v>0</v>
      </c>
      <c r="C3824" t="s">
        <v>44384</v>
      </c>
      <c r="D3824">
        <v>1037022454355</v>
      </c>
      <c r="E3824">
        <v>1</v>
      </c>
      <c r="F3824">
        <v>6154049664</v>
      </c>
      <c r="G3824">
        <v>118</v>
      </c>
      <c r="H3824" t="s">
        <v>40293</v>
      </c>
      <c r="I3824">
        <v>25597</v>
      </c>
      <c r="J3824">
        <v>85</v>
      </c>
      <c r="K3824">
        <v>85</v>
      </c>
    </row>
    <row r="3825" spans="1:11">
      <c r="A3825">
        <v>30</v>
      </c>
      <c r="B3825" t="b">
        <v>0</v>
      </c>
      <c r="C3825" t="s">
        <v>43694</v>
      </c>
      <c r="D3825">
        <v>1037022454355</v>
      </c>
      <c r="E3825">
        <v>1</v>
      </c>
      <c r="F3825">
        <v>6144745248</v>
      </c>
      <c r="G3825">
        <v>10000</v>
      </c>
      <c r="H3825" t="s">
        <v>40293</v>
      </c>
      <c r="I3825">
        <v>25598</v>
      </c>
      <c r="J3825">
        <v>1207</v>
      </c>
      <c r="K3825">
        <v>1207</v>
      </c>
    </row>
    <row r="3826" spans="1:11">
      <c r="A3826">
        <v>90</v>
      </c>
      <c r="B3826" t="b">
        <v>0</v>
      </c>
      <c r="C3826" t="s">
        <v>44193</v>
      </c>
      <c r="D3826">
        <v>1037022454355</v>
      </c>
      <c r="E3826">
        <v>1</v>
      </c>
      <c r="F3826">
        <v>6152915018</v>
      </c>
      <c r="G3826">
        <v>9999</v>
      </c>
      <c r="H3826" t="s">
        <v>40293</v>
      </c>
      <c r="I3826">
        <v>25598</v>
      </c>
      <c r="J3826">
        <v>256</v>
      </c>
      <c r="K3826">
        <v>256</v>
      </c>
    </row>
    <row r="3827" spans="1:11">
      <c r="A3827">
        <v>90</v>
      </c>
      <c r="B3827" t="b">
        <v>0</v>
      </c>
      <c r="C3827" t="s">
        <v>44384</v>
      </c>
      <c r="D3827">
        <v>1037022454355</v>
      </c>
      <c r="E3827">
        <v>1</v>
      </c>
      <c r="F3827">
        <v>6154049674</v>
      </c>
      <c r="G3827">
        <v>9995</v>
      </c>
      <c r="H3827" t="s">
        <v>40293</v>
      </c>
      <c r="I3827">
        <v>25598</v>
      </c>
      <c r="J3827">
        <v>41</v>
      </c>
      <c r="K3827">
        <v>41</v>
      </c>
    </row>
    <row r="3828" spans="1:11">
      <c r="A3828">
        <v>90</v>
      </c>
      <c r="B3828" t="b">
        <v>0</v>
      </c>
      <c r="C3828" t="s">
        <v>42602</v>
      </c>
      <c r="D3828">
        <v>1037022454355</v>
      </c>
      <c r="E3828">
        <v>1</v>
      </c>
      <c r="F3828">
        <v>6136023102</v>
      </c>
      <c r="G3828">
        <v>4100</v>
      </c>
      <c r="H3828" t="s">
        <v>40293</v>
      </c>
      <c r="I3828">
        <v>25599</v>
      </c>
      <c r="J3828">
        <v>368</v>
      </c>
      <c r="K3828">
        <v>368</v>
      </c>
    </row>
    <row r="3829" spans="1:11">
      <c r="A3829">
        <v>90</v>
      </c>
      <c r="B3829" t="b">
        <v>0</v>
      </c>
      <c r="C3829" t="s">
        <v>41388</v>
      </c>
      <c r="D3829">
        <v>1037022454355</v>
      </c>
      <c r="E3829">
        <v>1</v>
      </c>
      <c r="F3829">
        <v>6107712662</v>
      </c>
      <c r="G3829">
        <v>4100</v>
      </c>
      <c r="H3829" t="s">
        <v>40293</v>
      </c>
      <c r="I3829">
        <v>25599</v>
      </c>
      <c r="J3829">
        <v>34</v>
      </c>
      <c r="K3829">
        <v>88</v>
      </c>
    </row>
    <row r="3830" spans="1:11">
      <c r="A3830">
        <v>90</v>
      </c>
      <c r="B3830" t="b">
        <v>0</v>
      </c>
      <c r="C3830" t="s">
        <v>42315</v>
      </c>
      <c r="D3830">
        <v>1037022454355</v>
      </c>
      <c r="E3830">
        <v>1</v>
      </c>
      <c r="F3830">
        <v>6137808563</v>
      </c>
      <c r="G3830">
        <v>3999</v>
      </c>
      <c r="H3830" t="s">
        <v>40293</v>
      </c>
      <c r="I3830">
        <v>25599</v>
      </c>
      <c r="J3830">
        <v>154</v>
      </c>
      <c r="K3830">
        <v>154</v>
      </c>
    </row>
    <row r="3831" spans="1:11">
      <c r="A3831">
        <v>90</v>
      </c>
      <c r="B3831" t="b">
        <v>0</v>
      </c>
      <c r="C3831" t="s">
        <v>42941</v>
      </c>
      <c r="D3831">
        <v>1037022454355</v>
      </c>
      <c r="E3831">
        <v>1</v>
      </c>
      <c r="F3831">
        <v>6141773354</v>
      </c>
      <c r="G3831">
        <v>3998</v>
      </c>
      <c r="H3831" t="s">
        <v>40293</v>
      </c>
      <c r="I3831">
        <v>25599</v>
      </c>
      <c r="J3831">
        <v>170</v>
      </c>
      <c r="K3831">
        <v>170</v>
      </c>
    </row>
    <row r="3832" spans="1:11">
      <c r="A3832">
        <v>90</v>
      </c>
      <c r="B3832" t="b">
        <v>0</v>
      </c>
      <c r="C3832" t="s">
        <v>43757</v>
      </c>
      <c r="D3832">
        <v>1037022454355</v>
      </c>
      <c r="E3832">
        <v>1</v>
      </c>
      <c r="F3832">
        <v>6144812707</v>
      </c>
      <c r="G3832">
        <v>3997</v>
      </c>
      <c r="H3832" t="s">
        <v>40293</v>
      </c>
      <c r="I3832">
        <v>25599</v>
      </c>
      <c r="J3832">
        <v>9</v>
      </c>
      <c r="K3832">
        <v>12</v>
      </c>
    </row>
    <row r="3833" spans="1:11">
      <c r="A3833">
        <v>90</v>
      </c>
      <c r="B3833" t="b">
        <v>0</v>
      </c>
      <c r="C3833" t="s">
        <v>45438</v>
      </c>
      <c r="D3833">
        <v>1037022454355</v>
      </c>
      <c r="E3833">
        <v>1</v>
      </c>
      <c r="F3833">
        <v>6137096626</v>
      </c>
      <c r="G3833">
        <v>3800</v>
      </c>
      <c r="H3833" t="s">
        <v>40293</v>
      </c>
      <c r="I3833">
        <v>25599</v>
      </c>
      <c r="J3833">
        <v>8</v>
      </c>
      <c r="K3833">
        <v>8</v>
      </c>
    </row>
    <row r="3834" spans="1:11">
      <c r="A3834">
        <v>90</v>
      </c>
      <c r="B3834" t="b">
        <v>0</v>
      </c>
      <c r="C3834" t="s">
        <v>44233</v>
      </c>
      <c r="D3834">
        <v>1037022454355</v>
      </c>
      <c r="E3834">
        <v>1</v>
      </c>
      <c r="F3834">
        <v>6152915555</v>
      </c>
      <c r="G3834">
        <v>3799</v>
      </c>
      <c r="H3834" t="s">
        <v>40293</v>
      </c>
      <c r="I3834">
        <v>25599</v>
      </c>
      <c r="J3834">
        <v>226</v>
      </c>
      <c r="K3834">
        <v>226</v>
      </c>
    </row>
    <row r="3835" spans="1:11">
      <c r="A3835">
        <v>90</v>
      </c>
      <c r="B3835" t="b">
        <v>0</v>
      </c>
      <c r="C3835" t="s">
        <v>44384</v>
      </c>
      <c r="D3835">
        <v>1037022454355</v>
      </c>
      <c r="E3835">
        <v>1</v>
      </c>
      <c r="F3835">
        <v>6154049663</v>
      </c>
      <c r="G3835">
        <v>3798</v>
      </c>
      <c r="H3835" t="s">
        <v>40293</v>
      </c>
      <c r="I3835">
        <v>25599</v>
      </c>
      <c r="J3835">
        <v>33</v>
      </c>
      <c r="K3835">
        <v>33</v>
      </c>
    </row>
    <row r="3836" spans="1:11">
      <c r="A3836">
        <v>90</v>
      </c>
      <c r="B3836" t="b">
        <v>0</v>
      </c>
      <c r="C3836" t="s">
        <v>40347</v>
      </c>
      <c r="D3836">
        <v>1037022454355</v>
      </c>
      <c r="E3836">
        <v>1</v>
      </c>
      <c r="F3836">
        <v>6095865183</v>
      </c>
      <c r="G3836">
        <v>39000</v>
      </c>
      <c r="H3836" t="s">
        <v>40293</v>
      </c>
      <c r="I3836">
        <v>25600</v>
      </c>
      <c r="J3836">
        <v>5</v>
      </c>
      <c r="K3836">
        <v>5</v>
      </c>
    </row>
    <row r="3837" spans="1:11">
      <c r="A3837">
        <v>90</v>
      </c>
      <c r="B3837" t="b">
        <v>0</v>
      </c>
      <c r="C3837" t="s">
        <v>41232</v>
      </c>
      <c r="D3837">
        <v>1037022454355</v>
      </c>
      <c r="E3837">
        <v>1</v>
      </c>
      <c r="F3837">
        <v>6107156691</v>
      </c>
      <c r="G3837">
        <v>29130</v>
      </c>
      <c r="H3837" t="s">
        <v>40293</v>
      </c>
      <c r="I3837">
        <v>25600</v>
      </c>
      <c r="J3837">
        <v>931</v>
      </c>
      <c r="K3837">
        <v>931</v>
      </c>
    </row>
    <row r="3838" spans="1:11">
      <c r="A3838">
        <v>90</v>
      </c>
      <c r="B3838" t="b">
        <v>0</v>
      </c>
      <c r="C3838" t="s">
        <v>41164</v>
      </c>
      <c r="D3838">
        <v>1037022454355</v>
      </c>
      <c r="E3838">
        <v>1</v>
      </c>
      <c r="F3838">
        <v>6107712524</v>
      </c>
      <c r="G3838">
        <v>27970</v>
      </c>
      <c r="H3838" t="s">
        <v>40293</v>
      </c>
      <c r="I3838">
        <v>25600</v>
      </c>
      <c r="J3838">
        <v>48</v>
      </c>
      <c r="K3838">
        <v>48</v>
      </c>
    </row>
    <row r="3839" spans="1:11">
      <c r="A3839">
        <v>90</v>
      </c>
      <c r="B3839" t="b">
        <v>0</v>
      </c>
      <c r="C3839" t="s">
        <v>41404</v>
      </c>
      <c r="D3839">
        <v>1037022454355</v>
      </c>
      <c r="E3839">
        <v>1</v>
      </c>
      <c r="F3839">
        <v>6115626921</v>
      </c>
      <c r="G3839">
        <v>27800</v>
      </c>
      <c r="H3839" t="s">
        <v>40293</v>
      </c>
      <c r="I3839">
        <v>25600</v>
      </c>
      <c r="J3839">
        <v>24</v>
      </c>
      <c r="K3839">
        <v>24</v>
      </c>
    </row>
    <row r="3840" spans="1:11">
      <c r="A3840">
        <v>90</v>
      </c>
      <c r="B3840" t="b">
        <v>0</v>
      </c>
      <c r="C3840" t="s">
        <v>42606</v>
      </c>
      <c r="D3840">
        <v>1037022454355</v>
      </c>
      <c r="E3840">
        <v>1</v>
      </c>
      <c r="F3840">
        <v>6136023325</v>
      </c>
      <c r="G3840">
        <v>27800</v>
      </c>
      <c r="H3840" t="s">
        <v>40293</v>
      </c>
      <c r="I3840">
        <v>25600</v>
      </c>
      <c r="J3840">
        <v>172</v>
      </c>
      <c r="K3840">
        <v>172</v>
      </c>
    </row>
    <row r="3841" spans="1:11">
      <c r="A3841">
        <v>90</v>
      </c>
      <c r="B3841" t="b">
        <v>0</v>
      </c>
      <c r="C3841" t="s">
        <v>42292</v>
      </c>
      <c r="D3841">
        <v>1037022454355</v>
      </c>
      <c r="E3841">
        <v>1</v>
      </c>
      <c r="F3841">
        <v>6137807190</v>
      </c>
      <c r="G3841">
        <v>27700</v>
      </c>
      <c r="H3841" t="s">
        <v>40293</v>
      </c>
      <c r="I3841">
        <v>25600</v>
      </c>
      <c r="J3841">
        <v>115</v>
      </c>
      <c r="K3841">
        <v>246</v>
      </c>
    </row>
    <row r="3842" spans="1:11">
      <c r="A3842">
        <v>30</v>
      </c>
      <c r="B3842" t="b">
        <v>0</v>
      </c>
      <c r="C3842" t="s">
        <v>43793</v>
      </c>
      <c r="D3842">
        <v>1037022454355</v>
      </c>
      <c r="E3842">
        <v>1</v>
      </c>
      <c r="F3842">
        <v>6144649977</v>
      </c>
      <c r="G3842">
        <v>27690</v>
      </c>
      <c r="H3842" t="s">
        <v>40293</v>
      </c>
      <c r="I3842">
        <v>25600</v>
      </c>
      <c r="J3842">
        <v>1413</v>
      </c>
      <c r="K3842">
        <v>1413</v>
      </c>
    </row>
    <row r="3843" spans="1:11">
      <c r="A3843">
        <v>90</v>
      </c>
      <c r="B3843" t="b">
        <v>0</v>
      </c>
      <c r="C3843" t="s">
        <v>43620</v>
      </c>
      <c r="D3843">
        <v>1037022454355</v>
      </c>
      <c r="E3843">
        <v>1</v>
      </c>
      <c r="F3843">
        <v>6144807992</v>
      </c>
      <c r="G3843">
        <v>27680</v>
      </c>
      <c r="H3843" t="s">
        <v>40293</v>
      </c>
      <c r="I3843">
        <v>25600</v>
      </c>
      <c r="J3843">
        <v>30</v>
      </c>
      <c r="K3843">
        <v>30</v>
      </c>
    </row>
    <row r="3844" spans="1:11">
      <c r="A3844">
        <v>90</v>
      </c>
      <c r="B3844" t="b">
        <v>0</v>
      </c>
      <c r="C3844" t="s">
        <v>44384</v>
      </c>
      <c r="D3844">
        <v>1037022454355</v>
      </c>
      <c r="E3844">
        <v>1</v>
      </c>
      <c r="F3844">
        <v>6154049662</v>
      </c>
      <c r="G3844">
        <v>27670</v>
      </c>
      <c r="H3844" t="s">
        <v>40293</v>
      </c>
      <c r="I3844">
        <v>25600</v>
      </c>
      <c r="J3844">
        <v>68</v>
      </c>
      <c r="K3844">
        <v>68</v>
      </c>
    </row>
    <row r="3845" spans="1:11">
      <c r="A3845">
        <v>90</v>
      </c>
      <c r="B3845" t="b">
        <v>0</v>
      </c>
      <c r="C3845" t="s">
        <v>44674</v>
      </c>
      <c r="D3845">
        <v>1037022454355</v>
      </c>
      <c r="E3845">
        <v>1</v>
      </c>
      <c r="F3845">
        <v>6089187904</v>
      </c>
      <c r="G3845">
        <v>1929</v>
      </c>
      <c r="H3845" t="s">
        <v>40293</v>
      </c>
      <c r="I3845">
        <v>25601</v>
      </c>
      <c r="J3845">
        <v>44437</v>
      </c>
      <c r="K3845">
        <v>50000</v>
      </c>
    </row>
    <row r="3846" spans="1:11">
      <c r="A3846">
        <v>90</v>
      </c>
      <c r="B3846" t="b">
        <v>0</v>
      </c>
      <c r="C3846" t="s">
        <v>41258</v>
      </c>
      <c r="D3846">
        <v>1037022454355</v>
      </c>
      <c r="E3846">
        <v>1</v>
      </c>
      <c r="F3846">
        <v>6107714171</v>
      </c>
      <c r="G3846">
        <v>1887</v>
      </c>
      <c r="H3846" t="s">
        <v>40293</v>
      </c>
      <c r="I3846">
        <v>25601</v>
      </c>
      <c r="J3846">
        <v>7</v>
      </c>
      <c r="K3846">
        <v>7</v>
      </c>
    </row>
    <row r="3847" spans="1:11">
      <c r="A3847">
        <v>90</v>
      </c>
      <c r="B3847" t="b">
        <v>0</v>
      </c>
      <c r="C3847" t="s">
        <v>41334</v>
      </c>
      <c r="D3847">
        <v>1037022454355</v>
      </c>
      <c r="E3847">
        <v>1</v>
      </c>
      <c r="F3847">
        <v>6115612437</v>
      </c>
      <c r="G3847">
        <v>1875</v>
      </c>
      <c r="H3847" t="s">
        <v>40293</v>
      </c>
      <c r="I3847">
        <v>25601</v>
      </c>
      <c r="J3847">
        <v>51</v>
      </c>
      <c r="K3847">
        <v>51</v>
      </c>
    </row>
    <row r="3848" spans="1:11">
      <c r="A3848">
        <v>90</v>
      </c>
      <c r="B3848" t="b">
        <v>0</v>
      </c>
      <c r="C3848" t="s">
        <v>42580</v>
      </c>
      <c r="D3848">
        <v>1037022454355</v>
      </c>
      <c r="E3848">
        <v>1</v>
      </c>
      <c r="F3848">
        <v>6136021962</v>
      </c>
      <c r="G3848">
        <v>1850</v>
      </c>
      <c r="H3848" t="s">
        <v>40293</v>
      </c>
      <c r="I3848">
        <v>25601</v>
      </c>
      <c r="J3848">
        <v>272</v>
      </c>
      <c r="K3848">
        <v>272</v>
      </c>
    </row>
    <row r="3849" spans="1:11">
      <c r="A3849">
        <v>90</v>
      </c>
      <c r="B3849" t="b">
        <v>0</v>
      </c>
      <c r="C3849" t="s">
        <v>45029</v>
      </c>
      <c r="D3849">
        <v>1037022454355</v>
      </c>
      <c r="E3849">
        <v>1</v>
      </c>
      <c r="F3849">
        <v>6152914558</v>
      </c>
      <c r="G3849">
        <v>1849</v>
      </c>
      <c r="H3849" t="s">
        <v>40293</v>
      </c>
      <c r="I3849">
        <v>25601</v>
      </c>
      <c r="J3849">
        <v>311</v>
      </c>
      <c r="K3849">
        <v>311</v>
      </c>
    </row>
    <row r="3850" spans="1:11">
      <c r="A3850">
        <v>90</v>
      </c>
      <c r="B3850" t="b">
        <v>0</v>
      </c>
      <c r="C3850" t="s">
        <v>44384</v>
      </c>
      <c r="D3850">
        <v>1037022454355</v>
      </c>
      <c r="E3850">
        <v>1</v>
      </c>
      <c r="F3850">
        <v>6154049665</v>
      </c>
      <c r="G3850">
        <v>1848</v>
      </c>
      <c r="H3850" t="s">
        <v>40293</v>
      </c>
      <c r="I3850">
        <v>25601</v>
      </c>
      <c r="J3850">
        <v>27</v>
      </c>
      <c r="K3850">
        <v>27</v>
      </c>
    </row>
    <row r="3851" spans="1:11">
      <c r="A3851">
        <v>90</v>
      </c>
      <c r="B3851" t="b">
        <v>0</v>
      </c>
      <c r="C3851" t="s">
        <v>45909</v>
      </c>
      <c r="D3851">
        <v>1037022454355</v>
      </c>
      <c r="E3851">
        <v>1</v>
      </c>
      <c r="F3851">
        <v>6084222395</v>
      </c>
      <c r="G3851">
        <v>1500</v>
      </c>
      <c r="H3851" t="s">
        <v>40293</v>
      </c>
      <c r="I3851">
        <v>25601</v>
      </c>
      <c r="J3851">
        <v>302</v>
      </c>
      <c r="K3851">
        <v>555</v>
      </c>
    </row>
    <row r="3852" spans="1:11">
      <c r="A3852">
        <v>90</v>
      </c>
      <c r="B3852" t="b">
        <v>0</v>
      </c>
      <c r="C3852" t="s">
        <v>41552</v>
      </c>
      <c r="D3852">
        <v>1037022454355</v>
      </c>
      <c r="E3852">
        <v>1</v>
      </c>
      <c r="F3852">
        <v>6107157027</v>
      </c>
      <c r="G3852">
        <v>20000</v>
      </c>
      <c r="H3852" t="s">
        <v>40293</v>
      </c>
      <c r="I3852">
        <v>25602</v>
      </c>
      <c r="J3852">
        <v>386</v>
      </c>
      <c r="K3852">
        <v>684</v>
      </c>
    </row>
    <row r="3853" spans="1:11">
      <c r="A3853">
        <v>90</v>
      </c>
      <c r="B3853" t="b">
        <v>0</v>
      </c>
      <c r="C3853" t="s">
        <v>41302</v>
      </c>
      <c r="D3853">
        <v>1037022454355</v>
      </c>
      <c r="E3853">
        <v>1</v>
      </c>
      <c r="F3853">
        <v>6115611979</v>
      </c>
      <c r="G3853">
        <v>17500</v>
      </c>
      <c r="H3853" t="s">
        <v>40293</v>
      </c>
      <c r="I3853">
        <v>25602</v>
      </c>
      <c r="J3853">
        <v>6</v>
      </c>
      <c r="K3853">
        <v>6</v>
      </c>
    </row>
    <row r="3854" spans="1:11">
      <c r="A3854">
        <v>90</v>
      </c>
      <c r="B3854" t="b">
        <v>0</v>
      </c>
      <c r="C3854" t="s">
        <v>42550</v>
      </c>
      <c r="D3854">
        <v>1037022454355</v>
      </c>
      <c r="E3854">
        <v>1</v>
      </c>
      <c r="F3854">
        <v>6136020512</v>
      </c>
      <c r="G3854">
        <v>17400</v>
      </c>
      <c r="H3854" t="s">
        <v>40293</v>
      </c>
      <c r="I3854">
        <v>25602</v>
      </c>
      <c r="J3854">
        <v>20</v>
      </c>
      <c r="K3854">
        <v>20</v>
      </c>
    </row>
    <row r="3855" spans="1:11">
      <c r="A3855">
        <v>90</v>
      </c>
      <c r="B3855" t="b">
        <v>0</v>
      </c>
      <c r="C3855" t="s">
        <v>42871</v>
      </c>
      <c r="D3855">
        <v>1037022454355</v>
      </c>
      <c r="E3855">
        <v>1</v>
      </c>
      <c r="F3855">
        <v>6137806723</v>
      </c>
      <c r="G3855">
        <v>17200</v>
      </c>
      <c r="H3855" t="s">
        <v>40293</v>
      </c>
      <c r="I3855">
        <v>25602</v>
      </c>
      <c r="J3855">
        <v>141</v>
      </c>
      <c r="K3855">
        <v>141</v>
      </c>
    </row>
    <row r="3856" spans="1:11">
      <c r="A3856">
        <v>90</v>
      </c>
      <c r="B3856" t="b">
        <v>0</v>
      </c>
      <c r="C3856" t="s">
        <v>42941</v>
      </c>
      <c r="D3856">
        <v>1037022454355</v>
      </c>
      <c r="E3856">
        <v>1</v>
      </c>
      <c r="F3856">
        <v>6141773359</v>
      </c>
      <c r="G3856">
        <v>17100</v>
      </c>
      <c r="H3856" t="s">
        <v>40293</v>
      </c>
      <c r="I3856">
        <v>25602</v>
      </c>
      <c r="J3856">
        <v>160</v>
      </c>
      <c r="K3856">
        <v>160</v>
      </c>
    </row>
    <row r="3857" spans="1:11">
      <c r="A3857">
        <v>90</v>
      </c>
      <c r="B3857" t="b">
        <v>0</v>
      </c>
      <c r="C3857" t="s">
        <v>42567</v>
      </c>
      <c r="D3857">
        <v>1037022454355</v>
      </c>
      <c r="E3857">
        <v>1</v>
      </c>
      <c r="F3857">
        <v>6136021415</v>
      </c>
      <c r="G3857">
        <v>19000</v>
      </c>
      <c r="H3857" t="s">
        <v>40293</v>
      </c>
      <c r="I3857">
        <v>25603</v>
      </c>
      <c r="J3857">
        <v>41</v>
      </c>
      <c r="K3857">
        <v>41</v>
      </c>
    </row>
    <row r="3858" spans="1:11">
      <c r="A3858">
        <v>90</v>
      </c>
      <c r="B3858" t="b">
        <v>0</v>
      </c>
      <c r="C3858" t="s">
        <v>41317</v>
      </c>
      <c r="D3858">
        <v>1037022454355</v>
      </c>
      <c r="E3858">
        <v>1</v>
      </c>
      <c r="F3858">
        <v>6115612234</v>
      </c>
      <c r="G3858">
        <v>17500</v>
      </c>
      <c r="H3858" t="s">
        <v>40293</v>
      </c>
      <c r="I3858">
        <v>25603</v>
      </c>
      <c r="J3858">
        <v>3</v>
      </c>
      <c r="K3858">
        <v>3</v>
      </c>
    </row>
    <row r="3859" spans="1:11">
      <c r="A3859">
        <v>90</v>
      </c>
      <c r="B3859" t="b">
        <v>0</v>
      </c>
      <c r="C3859" t="s">
        <v>40476</v>
      </c>
      <c r="D3859">
        <v>1037022454355</v>
      </c>
      <c r="E3859">
        <v>1</v>
      </c>
      <c r="F3859">
        <v>6115627185</v>
      </c>
      <c r="G3859">
        <v>29000</v>
      </c>
      <c r="H3859" t="s">
        <v>40293</v>
      </c>
      <c r="I3859">
        <v>25605</v>
      </c>
      <c r="J3859">
        <v>2</v>
      </c>
      <c r="K3859">
        <v>2</v>
      </c>
    </row>
    <row r="3860" spans="1:11">
      <c r="A3860">
        <v>90</v>
      </c>
      <c r="B3860" t="b">
        <v>0</v>
      </c>
      <c r="C3860" t="s">
        <v>41084</v>
      </c>
      <c r="D3860">
        <v>1037022454355</v>
      </c>
      <c r="E3860">
        <v>1</v>
      </c>
      <c r="F3860">
        <v>6083742642</v>
      </c>
      <c r="G3860">
        <v>27000</v>
      </c>
      <c r="H3860" t="s">
        <v>40293</v>
      </c>
      <c r="I3860">
        <v>25605</v>
      </c>
      <c r="J3860">
        <v>78</v>
      </c>
      <c r="K3860">
        <v>165</v>
      </c>
    </row>
    <row r="3861" spans="1:11">
      <c r="A3861">
        <v>90</v>
      </c>
      <c r="B3861" t="b">
        <v>0</v>
      </c>
      <c r="C3861" t="s">
        <v>42526</v>
      </c>
      <c r="D3861">
        <v>1037022454355</v>
      </c>
      <c r="E3861">
        <v>1</v>
      </c>
      <c r="F3861">
        <v>6136019397</v>
      </c>
      <c r="G3861">
        <v>27000</v>
      </c>
      <c r="H3861" t="s">
        <v>40293</v>
      </c>
      <c r="I3861">
        <v>25605</v>
      </c>
      <c r="J3861">
        <v>19</v>
      </c>
      <c r="K3861">
        <v>19</v>
      </c>
    </row>
    <row r="3862" spans="1:11">
      <c r="A3862">
        <v>90</v>
      </c>
      <c r="B3862" t="b">
        <v>0</v>
      </c>
      <c r="C3862" t="s">
        <v>44760</v>
      </c>
      <c r="D3862">
        <v>1037022454355</v>
      </c>
      <c r="E3862">
        <v>1</v>
      </c>
      <c r="F3862">
        <v>6156789241</v>
      </c>
      <c r="G3862">
        <v>26000</v>
      </c>
      <c r="H3862" t="s">
        <v>40293</v>
      </c>
      <c r="I3862">
        <v>25605</v>
      </c>
      <c r="J3862">
        <v>389</v>
      </c>
      <c r="K3862">
        <v>389</v>
      </c>
    </row>
    <row r="3863" spans="1:11">
      <c r="A3863">
        <v>90</v>
      </c>
      <c r="B3863" t="b">
        <v>0</v>
      </c>
      <c r="C3863" t="s">
        <v>42537</v>
      </c>
      <c r="D3863">
        <v>1037022454355</v>
      </c>
      <c r="E3863">
        <v>1</v>
      </c>
      <c r="F3863">
        <v>6136019773</v>
      </c>
      <c r="G3863">
        <v>28160</v>
      </c>
      <c r="H3863" t="s">
        <v>40293</v>
      </c>
      <c r="I3863">
        <v>25606</v>
      </c>
      <c r="J3863">
        <v>17</v>
      </c>
      <c r="K3863">
        <v>17</v>
      </c>
    </row>
    <row r="3864" spans="1:11">
      <c r="A3864">
        <v>30</v>
      </c>
      <c r="B3864" t="b">
        <v>0</v>
      </c>
      <c r="C3864" t="s">
        <v>43428</v>
      </c>
      <c r="D3864">
        <v>1037022454355</v>
      </c>
      <c r="E3864">
        <v>1</v>
      </c>
      <c r="F3864">
        <v>6143177872</v>
      </c>
      <c r="G3864">
        <v>17500</v>
      </c>
      <c r="H3864" t="s">
        <v>40293</v>
      </c>
      <c r="I3864">
        <v>25606</v>
      </c>
      <c r="J3864">
        <v>14</v>
      </c>
      <c r="K3864">
        <v>14</v>
      </c>
    </row>
    <row r="3865" spans="1:11">
      <c r="A3865">
        <v>90</v>
      </c>
      <c r="B3865" t="b">
        <v>0</v>
      </c>
      <c r="C3865" t="s">
        <v>42482</v>
      </c>
      <c r="D3865">
        <v>1037022454355</v>
      </c>
      <c r="E3865">
        <v>1</v>
      </c>
      <c r="F3865">
        <v>6137511419</v>
      </c>
      <c r="G3865">
        <v>22540</v>
      </c>
      <c r="H3865" t="s">
        <v>40293</v>
      </c>
      <c r="I3865">
        <v>25607</v>
      </c>
      <c r="J3865">
        <v>7</v>
      </c>
      <c r="K3865">
        <v>7</v>
      </c>
    </row>
    <row r="3866" spans="1:11">
      <c r="A3866">
        <v>90</v>
      </c>
      <c r="B3866" t="b">
        <v>0</v>
      </c>
      <c r="C3866" t="s">
        <v>44675</v>
      </c>
      <c r="D3866">
        <v>1037022454355</v>
      </c>
      <c r="E3866">
        <v>1</v>
      </c>
      <c r="F3866">
        <v>6089187906</v>
      </c>
      <c r="G3866">
        <v>498900</v>
      </c>
      <c r="H3866" t="s">
        <v>40293</v>
      </c>
      <c r="I3866">
        <v>25609</v>
      </c>
      <c r="J3866">
        <v>1500</v>
      </c>
      <c r="K3866">
        <v>1500</v>
      </c>
    </row>
    <row r="3867" spans="1:11">
      <c r="A3867">
        <v>90</v>
      </c>
      <c r="B3867" t="b">
        <v>0</v>
      </c>
      <c r="C3867" t="s">
        <v>43064</v>
      </c>
      <c r="D3867">
        <v>1037022454355</v>
      </c>
      <c r="E3867">
        <v>1</v>
      </c>
      <c r="F3867">
        <v>6085121496</v>
      </c>
      <c r="G3867">
        <v>498000</v>
      </c>
      <c r="H3867" t="s">
        <v>40293</v>
      </c>
      <c r="I3867">
        <v>25609</v>
      </c>
      <c r="J3867">
        <v>3</v>
      </c>
      <c r="K3867">
        <v>3</v>
      </c>
    </row>
    <row r="3868" spans="1:11">
      <c r="A3868">
        <v>7</v>
      </c>
      <c r="B3868" t="b">
        <v>0</v>
      </c>
      <c r="C3868" t="s">
        <v>45071</v>
      </c>
      <c r="D3868">
        <v>1037022454355</v>
      </c>
      <c r="E3868">
        <v>1</v>
      </c>
      <c r="F3868">
        <v>6153024825</v>
      </c>
      <c r="G3868">
        <v>410000</v>
      </c>
      <c r="H3868" t="s">
        <v>40293</v>
      </c>
      <c r="I3868">
        <v>25609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43820</v>
      </c>
      <c r="D3869">
        <v>1037022454355</v>
      </c>
      <c r="E3869">
        <v>1</v>
      </c>
      <c r="F3869">
        <v>6144823879</v>
      </c>
      <c r="G3869">
        <v>2000</v>
      </c>
      <c r="H3869" t="s">
        <v>40293</v>
      </c>
      <c r="I3869">
        <v>25611</v>
      </c>
      <c r="J3869">
        <v>24</v>
      </c>
      <c r="K3869">
        <v>24</v>
      </c>
    </row>
    <row r="3870" spans="1:11">
      <c r="A3870">
        <v>90</v>
      </c>
      <c r="B3870" t="b">
        <v>0</v>
      </c>
      <c r="C3870" t="s">
        <v>44384</v>
      </c>
      <c r="D3870">
        <v>1037022454355</v>
      </c>
      <c r="E3870">
        <v>1</v>
      </c>
      <c r="F3870">
        <v>6154049673</v>
      </c>
      <c r="G3870">
        <v>499500</v>
      </c>
      <c r="H3870" t="s">
        <v>40293</v>
      </c>
      <c r="I3870">
        <v>25612</v>
      </c>
      <c r="J3870">
        <v>12</v>
      </c>
      <c r="K3870">
        <v>12</v>
      </c>
    </row>
    <row r="3871" spans="1:11">
      <c r="A3871">
        <v>14</v>
      </c>
      <c r="B3871" t="b">
        <v>0</v>
      </c>
      <c r="C3871" t="s">
        <v>45361</v>
      </c>
      <c r="D3871">
        <v>1037022454355</v>
      </c>
      <c r="E3871">
        <v>1</v>
      </c>
      <c r="F3871">
        <v>6153061568</v>
      </c>
      <c r="G3871">
        <v>420000</v>
      </c>
      <c r="H3871" t="s">
        <v>40293</v>
      </c>
      <c r="I3871">
        <v>25612</v>
      </c>
      <c r="J3871">
        <v>1</v>
      </c>
      <c r="K3871">
        <v>1</v>
      </c>
    </row>
    <row r="3872" spans="1:11">
      <c r="A3872">
        <v>90</v>
      </c>
      <c r="B3872" t="b">
        <v>0</v>
      </c>
      <c r="C3872" t="s">
        <v>42482</v>
      </c>
      <c r="D3872">
        <v>1037022454355</v>
      </c>
      <c r="E3872">
        <v>1</v>
      </c>
      <c r="F3872">
        <v>6137511407</v>
      </c>
      <c r="G3872">
        <v>750100</v>
      </c>
      <c r="H3872" t="s">
        <v>40293</v>
      </c>
      <c r="I3872">
        <v>25613</v>
      </c>
      <c r="J3872">
        <v>3</v>
      </c>
      <c r="K3872">
        <v>3</v>
      </c>
    </row>
    <row r="3873" spans="1:11">
      <c r="A3873">
        <v>30</v>
      </c>
      <c r="B3873" t="b">
        <v>0</v>
      </c>
      <c r="C3873" t="s">
        <v>42956</v>
      </c>
      <c r="D3873">
        <v>1037022454355</v>
      </c>
      <c r="E3873">
        <v>1</v>
      </c>
      <c r="F3873">
        <v>6144657283</v>
      </c>
      <c r="G3873">
        <v>750000</v>
      </c>
      <c r="H3873" t="s">
        <v>40293</v>
      </c>
      <c r="I3873">
        <v>25613</v>
      </c>
      <c r="J3873">
        <v>10</v>
      </c>
      <c r="K3873">
        <v>10</v>
      </c>
    </row>
    <row r="3874" spans="1:11">
      <c r="A3874">
        <v>90</v>
      </c>
      <c r="B3874" t="b">
        <v>0</v>
      </c>
      <c r="C3874" t="s">
        <v>41460</v>
      </c>
      <c r="D3874">
        <v>1037022454355</v>
      </c>
      <c r="E3874">
        <v>1</v>
      </c>
      <c r="F3874">
        <v>6107161483</v>
      </c>
      <c r="G3874">
        <v>895100</v>
      </c>
      <c r="H3874" t="s">
        <v>40293</v>
      </c>
      <c r="I3874">
        <v>25614</v>
      </c>
      <c r="J3874">
        <v>4</v>
      </c>
      <c r="K3874">
        <v>4</v>
      </c>
    </row>
    <row r="3875" spans="1:11">
      <c r="A3875">
        <v>90</v>
      </c>
      <c r="B3875" t="b">
        <v>0</v>
      </c>
      <c r="C3875" t="s">
        <v>44384</v>
      </c>
      <c r="D3875">
        <v>1037022454355</v>
      </c>
      <c r="E3875">
        <v>1</v>
      </c>
      <c r="F3875">
        <v>6154049670</v>
      </c>
      <c r="G3875">
        <v>895000</v>
      </c>
      <c r="H3875" t="s">
        <v>40293</v>
      </c>
      <c r="I3875">
        <v>25614</v>
      </c>
      <c r="J3875">
        <v>16</v>
      </c>
      <c r="K3875">
        <v>16</v>
      </c>
    </row>
    <row r="3876" spans="1:11">
      <c r="A3876">
        <v>90</v>
      </c>
      <c r="B3876" t="b">
        <v>0</v>
      </c>
      <c r="C3876" t="s">
        <v>45517</v>
      </c>
      <c r="D3876">
        <v>1037022454355</v>
      </c>
      <c r="E3876">
        <v>1</v>
      </c>
      <c r="F3876">
        <v>6154341323</v>
      </c>
      <c r="G3876">
        <v>10010</v>
      </c>
      <c r="H3876" t="s">
        <v>40293</v>
      </c>
      <c r="I3876">
        <v>25615</v>
      </c>
      <c r="J3876">
        <v>10</v>
      </c>
      <c r="K3876">
        <v>10</v>
      </c>
    </row>
    <row r="3877" spans="1:11">
      <c r="A3877">
        <v>90</v>
      </c>
      <c r="B3877" t="b">
        <v>0</v>
      </c>
      <c r="C3877" t="s">
        <v>41085</v>
      </c>
      <c r="D3877">
        <v>1037022454355</v>
      </c>
      <c r="E3877">
        <v>1</v>
      </c>
      <c r="F3877">
        <v>6083742643</v>
      </c>
      <c r="G3877">
        <v>50000</v>
      </c>
      <c r="H3877" t="s">
        <v>40293</v>
      </c>
      <c r="I3877">
        <v>25616</v>
      </c>
      <c r="J3877">
        <v>52</v>
      </c>
      <c r="K3877">
        <v>52</v>
      </c>
    </row>
    <row r="3878" spans="1:11">
      <c r="A3878">
        <v>90</v>
      </c>
      <c r="B3878" t="b">
        <v>0</v>
      </c>
      <c r="C3878" t="s">
        <v>44384</v>
      </c>
      <c r="D3878">
        <v>1037022454355</v>
      </c>
      <c r="E3878">
        <v>1</v>
      </c>
      <c r="F3878">
        <v>6154049661</v>
      </c>
      <c r="G3878">
        <v>49950</v>
      </c>
      <c r="H3878" t="s">
        <v>40293</v>
      </c>
      <c r="I3878">
        <v>25616</v>
      </c>
      <c r="J3878">
        <v>6</v>
      </c>
      <c r="K3878">
        <v>6</v>
      </c>
    </row>
    <row r="3879" spans="1:11">
      <c r="A3879">
        <v>90</v>
      </c>
      <c r="B3879" t="b">
        <v>0</v>
      </c>
      <c r="C3879" t="s">
        <v>43764</v>
      </c>
      <c r="D3879">
        <v>1037022454355</v>
      </c>
      <c r="E3879">
        <v>1</v>
      </c>
      <c r="F3879">
        <v>6141634478</v>
      </c>
      <c r="G3879">
        <v>3579</v>
      </c>
      <c r="H3879" t="s">
        <v>40293</v>
      </c>
      <c r="I3879">
        <v>25618</v>
      </c>
      <c r="J3879">
        <v>27</v>
      </c>
      <c r="K3879">
        <v>29</v>
      </c>
    </row>
    <row r="3880" spans="1:11">
      <c r="A3880">
        <v>90</v>
      </c>
      <c r="B3880" t="b">
        <v>0</v>
      </c>
      <c r="C3880" t="s">
        <v>44384</v>
      </c>
      <c r="D3880">
        <v>1037022454355</v>
      </c>
      <c r="E3880">
        <v>1</v>
      </c>
      <c r="F3880">
        <v>6154049669</v>
      </c>
      <c r="G3880">
        <v>3578</v>
      </c>
      <c r="H3880" t="s">
        <v>40293</v>
      </c>
      <c r="I3880">
        <v>25618</v>
      </c>
      <c r="J3880">
        <v>10</v>
      </c>
      <c r="K3880">
        <v>10</v>
      </c>
    </row>
    <row r="3881" spans="1:11">
      <c r="A3881">
        <v>90</v>
      </c>
      <c r="B3881" t="b">
        <v>0</v>
      </c>
      <c r="C3881" t="s">
        <v>44645</v>
      </c>
      <c r="D3881">
        <v>1037022454355</v>
      </c>
      <c r="E3881">
        <v>1</v>
      </c>
      <c r="F3881">
        <v>6156394721</v>
      </c>
      <c r="G3881">
        <v>700000</v>
      </c>
      <c r="H3881" t="s">
        <v>40293</v>
      </c>
      <c r="I3881">
        <v>25619</v>
      </c>
      <c r="J3881">
        <v>22</v>
      </c>
      <c r="K3881">
        <v>22</v>
      </c>
    </row>
    <row r="3882" spans="1:11">
      <c r="A3882">
        <v>90</v>
      </c>
      <c r="B3882" t="b">
        <v>0</v>
      </c>
      <c r="C3882" t="s">
        <v>42310</v>
      </c>
      <c r="D3882">
        <v>1037022454355</v>
      </c>
      <c r="E3882">
        <v>1</v>
      </c>
      <c r="F3882">
        <v>6137808238</v>
      </c>
      <c r="G3882">
        <v>17400</v>
      </c>
      <c r="H3882" t="s">
        <v>40293</v>
      </c>
      <c r="I3882">
        <v>25620</v>
      </c>
      <c r="J3882">
        <v>96</v>
      </c>
      <c r="K3882">
        <v>100</v>
      </c>
    </row>
    <row r="3883" spans="1:11">
      <c r="A3883">
        <v>30</v>
      </c>
      <c r="B3883" t="b">
        <v>0</v>
      </c>
      <c r="C3883" t="s">
        <v>43863</v>
      </c>
      <c r="D3883">
        <v>1037022454355</v>
      </c>
      <c r="E3883">
        <v>1</v>
      </c>
      <c r="F3883">
        <v>6143177616</v>
      </c>
      <c r="G3883">
        <v>17400</v>
      </c>
      <c r="H3883" t="s">
        <v>40293</v>
      </c>
      <c r="I3883">
        <v>25620</v>
      </c>
      <c r="J3883">
        <v>79</v>
      </c>
      <c r="K3883">
        <v>79</v>
      </c>
    </row>
    <row r="3884" spans="1:11">
      <c r="A3884">
        <v>30</v>
      </c>
      <c r="B3884" t="b">
        <v>0</v>
      </c>
      <c r="C3884" t="s">
        <v>43697</v>
      </c>
      <c r="D3884">
        <v>1037022454355</v>
      </c>
      <c r="E3884">
        <v>1</v>
      </c>
      <c r="F3884">
        <v>6144745397</v>
      </c>
      <c r="G3884">
        <v>299000</v>
      </c>
      <c r="H3884" t="s">
        <v>40293</v>
      </c>
      <c r="I3884">
        <v>25621</v>
      </c>
      <c r="J3884">
        <v>24</v>
      </c>
      <c r="K3884">
        <v>26</v>
      </c>
    </row>
    <row r="3885" spans="1:11">
      <c r="A3885">
        <v>90</v>
      </c>
      <c r="B3885" t="b">
        <v>0</v>
      </c>
      <c r="C3885" t="s">
        <v>44384</v>
      </c>
      <c r="D3885">
        <v>1037022454355</v>
      </c>
      <c r="E3885">
        <v>1</v>
      </c>
      <c r="F3885">
        <v>6154049666</v>
      </c>
      <c r="G3885">
        <v>298000</v>
      </c>
      <c r="H3885" t="s">
        <v>40293</v>
      </c>
      <c r="I3885">
        <v>25621</v>
      </c>
      <c r="J3885">
        <v>13</v>
      </c>
      <c r="K3885">
        <v>13</v>
      </c>
    </row>
    <row r="3886" spans="1:11">
      <c r="A3886">
        <v>14</v>
      </c>
      <c r="B3886" t="b">
        <v>0</v>
      </c>
      <c r="C3886" t="s">
        <v>45375</v>
      </c>
      <c r="D3886">
        <v>1037022454355</v>
      </c>
      <c r="E3886">
        <v>1</v>
      </c>
      <c r="F3886">
        <v>6153061755</v>
      </c>
      <c r="G3886">
        <v>5000</v>
      </c>
      <c r="H3886" t="s">
        <v>40293</v>
      </c>
      <c r="I3886">
        <v>25623</v>
      </c>
      <c r="J3886">
        <v>15</v>
      </c>
      <c r="K3886">
        <v>15</v>
      </c>
    </row>
    <row r="3887" spans="1:11">
      <c r="A3887">
        <v>30</v>
      </c>
      <c r="B3887" t="b">
        <v>0</v>
      </c>
      <c r="C3887" t="s">
        <v>43156</v>
      </c>
      <c r="D3887">
        <v>1037022454355</v>
      </c>
      <c r="E3887">
        <v>1</v>
      </c>
      <c r="F3887">
        <v>6144401116</v>
      </c>
      <c r="G3887">
        <v>5990000</v>
      </c>
      <c r="H3887" t="s">
        <v>40293</v>
      </c>
      <c r="I3887">
        <v>25624</v>
      </c>
      <c r="J3887">
        <v>11</v>
      </c>
      <c r="K3887">
        <v>15</v>
      </c>
    </row>
    <row r="3888" spans="1:11">
      <c r="A3888">
        <v>30</v>
      </c>
      <c r="B3888" t="b">
        <v>0</v>
      </c>
      <c r="C3888" t="s">
        <v>43793</v>
      </c>
      <c r="D3888">
        <v>1037022454355</v>
      </c>
      <c r="E3888">
        <v>1</v>
      </c>
      <c r="F3888">
        <v>6144649976</v>
      </c>
      <c r="G3888">
        <v>3999000</v>
      </c>
      <c r="H3888" t="s">
        <v>40293</v>
      </c>
      <c r="I3888">
        <v>25625</v>
      </c>
      <c r="J3888">
        <v>10</v>
      </c>
      <c r="K3888">
        <v>10</v>
      </c>
    </row>
    <row r="3889" spans="1:11">
      <c r="A3889">
        <v>90</v>
      </c>
      <c r="B3889" t="b">
        <v>0</v>
      </c>
      <c r="C3889" t="s">
        <v>42062</v>
      </c>
      <c r="D3889">
        <v>1037022454355</v>
      </c>
      <c r="E3889">
        <v>1</v>
      </c>
      <c r="F3889">
        <v>6130768861</v>
      </c>
      <c r="G3889">
        <v>190000</v>
      </c>
      <c r="H3889" t="s">
        <v>40293</v>
      </c>
      <c r="I3889">
        <v>25707</v>
      </c>
      <c r="J3889">
        <v>50</v>
      </c>
      <c r="K3889">
        <v>59</v>
      </c>
    </row>
    <row r="3890" spans="1:11">
      <c r="A3890">
        <v>90</v>
      </c>
      <c r="B3890" t="b">
        <v>0</v>
      </c>
      <c r="C3890" t="s">
        <v>42094</v>
      </c>
      <c r="D3890">
        <v>1037022454355</v>
      </c>
      <c r="E3890">
        <v>1</v>
      </c>
      <c r="F3890">
        <v>6130773020</v>
      </c>
      <c r="G3890">
        <v>80000</v>
      </c>
      <c r="H3890" t="s">
        <v>40293</v>
      </c>
      <c r="I3890">
        <v>25709</v>
      </c>
      <c r="J3890">
        <v>79</v>
      </c>
      <c r="K3890">
        <v>79</v>
      </c>
    </row>
    <row r="3891" spans="1:11">
      <c r="A3891">
        <v>90</v>
      </c>
      <c r="B3891" t="b">
        <v>0</v>
      </c>
      <c r="C3891" t="s">
        <v>41627</v>
      </c>
      <c r="D3891">
        <v>1037022454355</v>
      </c>
      <c r="E3891">
        <v>1</v>
      </c>
      <c r="F3891">
        <v>6121223185</v>
      </c>
      <c r="G3891">
        <v>5000000</v>
      </c>
      <c r="H3891" t="s">
        <v>40293</v>
      </c>
      <c r="I3891">
        <v>25715</v>
      </c>
      <c r="J3891">
        <v>1</v>
      </c>
      <c r="K3891">
        <v>4</v>
      </c>
    </row>
    <row r="3892" spans="1:11">
      <c r="A3892">
        <v>90</v>
      </c>
      <c r="B3892" t="b">
        <v>0</v>
      </c>
      <c r="C3892" t="s">
        <v>41694</v>
      </c>
      <c r="D3892">
        <v>1037022454355</v>
      </c>
      <c r="E3892">
        <v>1</v>
      </c>
      <c r="F3892">
        <v>6122601123</v>
      </c>
      <c r="G3892">
        <v>3000000</v>
      </c>
      <c r="H3892" t="s">
        <v>40293</v>
      </c>
      <c r="I3892">
        <v>25715</v>
      </c>
      <c r="J3892">
        <v>67</v>
      </c>
      <c r="K3892">
        <v>80</v>
      </c>
    </row>
    <row r="3893" spans="1:11">
      <c r="A3893">
        <v>90</v>
      </c>
      <c r="B3893" t="b">
        <v>0</v>
      </c>
      <c r="C3893" t="s">
        <v>45639</v>
      </c>
      <c r="D3893">
        <v>1037022454355</v>
      </c>
      <c r="E3893">
        <v>1</v>
      </c>
      <c r="F3893">
        <v>6152114578</v>
      </c>
      <c r="G3893">
        <v>2990000</v>
      </c>
      <c r="H3893" t="s">
        <v>40293</v>
      </c>
      <c r="I3893">
        <v>25715</v>
      </c>
      <c r="J3893">
        <v>110</v>
      </c>
      <c r="K3893">
        <v>110</v>
      </c>
    </row>
    <row r="3894" spans="1:11">
      <c r="A3894">
        <v>90</v>
      </c>
      <c r="B3894" t="b">
        <v>0</v>
      </c>
      <c r="C3894" t="s">
        <v>46114</v>
      </c>
      <c r="D3894">
        <v>1037022454355</v>
      </c>
      <c r="E3894">
        <v>1</v>
      </c>
      <c r="F3894">
        <v>6153419812</v>
      </c>
      <c r="G3894">
        <v>2979000</v>
      </c>
      <c r="H3894" t="s">
        <v>40293</v>
      </c>
      <c r="I3894">
        <v>25715</v>
      </c>
      <c r="J3894">
        <v>1</v>
      </c>
      <c r="K3894">
        <v>1</v>
      </c>
    </row>
    <row r="3895" spans="1:11">
      <c r="A3895">
        <v>3</v>
      </c>
      <c r="B3895" t="b">
        <v>0</v>
      </c>
      <c r="C3895" t="s">
        <v>44824</v>
      </c>
      <c r="D3895">
        <v>1037022454355</v>
      </c>
      <c r="E3895">
        <v>1</v>
      </c>
      <c r="F3895">
        <v>6157510936</v>
      </c>
      <c r="G3895">
        <v>2978000</v>
      </c>
      <c r="H3895" t="s">
        <v>40293</v>
      </c>
      <c r="I3895">
        <v>25715</v>
      </c>
      <c r="J3895">
        <v>6</v>
      </c>
      <c r="K3895">
        <v>6</v>
      </c>
    </row>
    <row r="3896" spans="1:11">
      <c r="A3896">
        <v>90</v>
      </c>
      <c r="B3896" t="b">
        <v>0</v>
      </c>
      <c r="C3896" t="s">
        <v>46044</v>
      </c>
      <c r="D3896">
        <v>1037022454355</v>
      </c>
      <c r="E3896">
        <v>1</v>
      </c>
      <c r="F3896">
        <v>6138684585</v>
      </c>
      <c r="G3896">
        <v>2978000</v>
      </c>
      <c r="H3896" t="s">
        <v>40293</v>
      </c>
      <c r="I3896">
        <v>25715</v>
      </c>
      <c r="J3896">
        <v>20</v>
      </c>
      <c r="K3896">
        <v>25</v>
      </c>
    </row>
    <row r="3897" spans="1:11">
      <c r="A3897">
        <v>90</v>
      </c>
      <c r="B3897" t="b">
        <v>0</v>
      </c>
      <c r="C3897" t="s">
        <v>45039</v>
      </c>
      <c r="D3897">
        <v>1037022454355</v>
      </c>
      <c r="E3897">
        <v>1</v>
      </c>
      <c r="F3897">
        <v>6148797365</v>
      </c>
      <c r="G3897">
        <v>2975000</v>
      </c>
      <c r="H3897" t="s">
        <v>40293</v>
      </c>
      <c r="I3897">
        <v>25715</v>
      </c>
      <c r="J3897">
        <v>13</v>
      </c>
      <c r="K3897">
        <v>30</v>
      </c>
    </row>
    <row r="3898" spans="1:11">
      <c r="A3898">
        <v>90</v>
      </c>
      <c r="B3898" t="b">
        <v>0</v>
      </c>
      <c r="C3898" t="s">
        <v>45744</v>
      </c>
      <c r="D3898">
        <v>1037022454355</v>
      </c>
      <c r="E3898">
        <v>1</v>
      </c>
      <c r="F3898">
        <v>6153623328</v>
      </c>
      <c r="G3898">
        <v>2974000</v>
      </c>
      <c r="H3898" t="s">
        <v>40293</v>
      </c>
      <c r="I3898">
        <v>25715</v>
      </c>
      <c r="J3898">
        <v>10</v>
      </c>
      <c r="K3898">
        <v>10</v>
      </c>
    </row>
    <row r="3899" spans="1:11">
      <c r="A3899">
        <v>30</v>
      </c>
      <c r="B3899" t="b">
        <v>0</v>
      </c>
      <c r="C3899" t="s">
        <v>43005</v>
      </c>
      <c r="D3899">
        <v>1037022454355</v>
      </c>
      <c r="E3899">
        <v>1</v>
      </c>
      <c r="F3899">
        <v>6144659433</v>
      </c>
      <c r="G3899">
        <v>1999000</v>
      </c>
      <c r="H3899" t="s">
        <v>40293</v>
      </c>
      <c r="I3899">
        <v>25810</v>
      </c>
      <c r="J3899">
        <v>1</v>
      </c>
      <c r="K3899">
        <v>1</v>
      </c>
    </row>
    <row r="3900" spans="1:11">
      <c r="A3900">
        <v>30</v>
      </c>
      <c r="B3900" t="b">
        <v>0</v>
      </c>
      <c r="C3900" t="s">
        <v>43005</v>
      </c>
      <c r="D3900">
        <v>1037022454355</v>
      </c>
      <c r="E3900">
        <v>1</v>
      </c>
      <c r="F3900">
        <v>6144659434</v>
      </c>
      <c r="G3900">
        <v>1999000</v>
      </c>
      <c r="H3900" t="s">
        <v>40293</v>
      </c>
      <c r="I3900">
        <v>25811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40945</v>
      </c>
      <c r="D3901">
        <v>1037022454355</v>
      </c>
      <c r="E3901">
        <v>1</v>
      </c>
      <c r="F3901">
        <v>6119930550</v>
      </c>
      <c r="G3901">
        <v>6728000</v>
      </c>
      <c r="H3901" t="s">
        <v>40293</v>
      </c>
      <c r="I3901">
        <v>25812</v>
      </c>
      <c r="J3901">
        <v>3</v>
      </c>
      <c r="K3901">
        <v>7</v>
      </c>
    </row>
    <row r="3902" spans="1:11">
      <c r="A3902">
        <v>90</v>
      </c>
      <c r="B3902" t="b">
        <v>0</v>
      </c>
      <c r="C3902" t="s">
        <v>42601</v>
      </c>
      <c r="D3902">
        <v>1037022454355</v>
      </c>
      <c r="E3902">
        <v>1</v>
      </c>
      <c r="F3902">
        <v>6077401113</v>
      </c>
      <c r="G3902">
        <v>6641000</v>
      </c>
      <c r="H3902" t="s">
        <v>40293</v>
      </c>
      <c r="I3902">
        <v>25812</v>
      </c>
      <c r="J3902">
        <v>33</v>
      </c>
      <c r="K3902">
        <v>60</v>
      </c>
    </row>
    <row r="3903" spans="1:11">
      <c r="A3903">
        <v>90</v>
      </c>
      <c r="B3903" t="b">
        <v>0</v>
      </c>
      <c r="C3903" t="s">
        <v>43590</v>
      </c>
      <c r="D3903">
        <v>1037022454355</v>
      </c>
      <c r="E3903">
        <v>1</v>
      </c>
      <c r="F3903">
        <v>6070947741</v>
      </c>
      <c r="G3903">
        <v>6640000</v>
      </c>
      <c r="H3903" t="s">
        <v>40293</v>
      </c>
      <c r="I3903">
        <v>25812</v>
      </c>
      <c r="J3903">
        <v>13</v>
      </c>
      <c r="K3903">
        <v>50</v>
      </c>
    </row>
    <row r="3904" spans="1:11">
      <c r="A3904">
        <v>90</v>
      </c>
      <c r="B3904" t="b">
        <v>0</v>
      </c>
      <c r="C3904" t="s">
        <v>40715</v>
      </c>
      <c r="D3904">
        <v>1037022454355</v>
      </c>
      <c r="E3904">
        <v>1</v>
      </c>
      <c r="F3904">
        <v>6097249407</v>
      </c>
      <c r="G3904">
        <v>199300</v>
      </c>
      <c r="H3904" t="s">
        <v>40293</v>
      </c>
      <c r="I3904">
        <v>25861</v>
      </c>
      <c r="J3904">
        <v>5</v>
      </c>
      <c r="K3904">
        <v>10</v>
      </c>
    </row>
    <row r="3905" spans="1:11">
      <c r="A3905">
        <v>90</v>
      </c>
      <c r="B3905" t="b">
        <v>0</v>
      </c>
      <c r="C3905" t="s">
        <v>41159</v>
      </c>
      <c r="D3905">
        <v>1037022454355</v>
      </c>
      <c r="E3905">
        <v>1</v>
      </c>
      <c r="F3905">
        <v>6113774488</v>
      </c>
      <c r="G3905">
        <v>199200</v>
      </c>
      <c r="H3905" t="s">
        <v>40293</v>
      </c>
      <c r="I3905">
        <v>25861</v>
      </c>
      <c r="J3905">
        <v>25</v>
      </c>
      <c r="K3905">
        <v>25</v>
      </c>
    </row>
    <row r="3906" spans="1:11">
      <c r="A3906">
        <v>90</v>
      </c>
      <c r="B3906" t="b">
        <v>0</v>
      </c>
      <c r="C3906" t="s">
        <v>40933</v>
      </c>
      <c r="D3906">
        <v>1037022454355</v>
      </c>
      <c r="E3906">
        <v>1</v>
      </c>
      <c r="F3906">
        <v>6084835616</v>
      </c>
      <c r="G3906">
        <v>99760</v>
      </c>
      <c r="H3906" t="s">
        <v>40293</v>
      </c>
      <c r="I3906">
        <v>25861</v>
      </c>
      <c r="J3906">
        <v>31</v>
      </c>
      <c r="K3906">
        <v>115</v>
      </c>
    </row>
    <row r="3907" spans="1:11">
      <c r="A3907">
        <v>90</v>
      </c>
      <c r="B3907" t="b">
        <v>0</v>
      </c>
      <c r="C3907" t="s">
        <v>41849</v>
      </c>
      <c r="D3907">
        <v>1037022454355</v>
      </c>
      <c r="E3907">
        <v>1</v>
      </c>
      <c r="F3907">
        <v>6128544933</v>
      </c>
      <c r="G3907">
        <v>83900</v>
      </c>
      <c r="H3907" t="s">
        <v>40293</v>
      </c>
      <c r="I3907">
        <v>25861</v>
      </c>
      <c r="J3907">
        <v>1</v>
      </c>
      <c r="K3907">
        <v>1</v>
      </c>
    </row>
    <row r="3908" spans="1:11">
      <c r="A3908">
        <v>90</v>
      </c>
      <c r="B3908" t="b">
        <v>0</v>
      </c>
      <c r="C3908" t="s">
        <v>43133</v>
      </c>
      <c r="D3908">
        <v>1037022454355</v>
      </c>
      <c r="E3908">
        <v>1</v>
      </c>
      <c r="F3908">
        <v>6126083313</v>
      </c>
      <c r="G3908">
        <v>69900</v>
      </c>
      <c r="H3908" t="s">
        <v>40293</v>
      </c>
      <c r="I3908">
        <v>25861</v>
      </c>
      <c r="J3908">
        <v>34</v>
      </c>
      <c r="K3908">
        <v>78</v>
      </c>
    </row>
    <row r="3909" spans="1:11">
      <c r="A3909">
        <v>90</v>
      </c>
      <c r="B3909" t="b">
        <v>0</v>
      </c>
      <c r="C3909" t="s">
        <v>43704</v>
      </c>
      <c r="D3909">
        <v>1037022454355</v>
      </c>
      <c r="E3909">
        <v>1</v>
      </c>
      <c r="F3909">
        <v>6116302916</v>
      </c>
      <c r="G3909">
        <v>54990</v>
      </c>
      <c r="H3909" t="s">
        <v>40293</v>
      </c>
      <c r="I3909">
        <v>25861</v>
      </c>
      <c r="J3909">
        <v>35</v>
      </c>
      <c r="K3909">
        <v>60</v>
      </c>
    </row>
    <row r="3910" spans="1:11">
      <c r="A3910">
        <v>90</v>
      </c>
      <c r="B3910" t="b">
        <v>0</v>
      </c>
      <c r="C3910" t="s">
        <v>43668</v>
      </c>
      <c r="D3910">
        <v>1037022454355</v>
      </c>
      <c r="E3910">
        <v>1</v>
      </c>
      <c r="F3910">
        <v>6116760372</v>
      </c>
      <c r="G3910">
        <v>53340</v>
      </c>
      <c r="H3910" t="s">
        <v>40293</v>
      </c>
      <c r="I3910">
        <v>25861</v>
      </c>
      <c r="J3910">
        <v>275</v>
      </c>
      <c r="K3910">
        <v>300</v>
      </c>
    </row>
    <row r="3911" spans="1:11">
      <c r="A3911">
        <v>90</v>
      </c>
      <c r="B3911" t="b">
        <v>0</v>
      </c>
      <c r="C3911" t="s">
        <v>46281</v>
      </c>
      <c r="D3911">
        <v>1037022454355</v>
      </c>
      <c r="E3911">
        <v>1</v>
      </c>
      <c r="F3911">
        <v>6153108899</v>
      </c>
      <c r="G3911">
        <v>49890</v>
      </c>
      <c r="H3911" t="s">
        <v>40293</v>
      </c>
      <c r="I3911">
        <v>25861</v>
      </c>
      <c r="J3911">
        <v>6</v>
      </c>
      <c r="K3911">
        <v>25</v>
      </c>
    </row>
    <row r="3912" spans="1:11">
      <c r="A3912">
        <v>90</v>
      </c>
      <c r="B3912" t="b">
        <v>0</v>
      </c>
      <c r="C3912" t="s">
        <v>45185</v>
      </c>
      <c r="D3912">
        <v>1037022454355</v>
      </c>
      <c r="E3912">
        <v>1</v>
      </c>
      <c r="F3912">
        <v>6156143065</v>
      </c>
      <c r="G3912">
        <v>9940000</v>
      </c>
      <c r="H3912" t="s">
        <v>40293</v>
      </c>
      <c r="I3912">
        <v>25894</v>
      </c>
      <c r="J3912">
        <v>24</v>
      </c>
      <c r="K3912">
        <v>28</v>
      </c>
    </row>
    <row r="3913" spans="1:11">
      <c r="A3913">
        <v>30</v>
      </c>
      <c r="B3913" t="b">
        <v>0</v>
      </c>
      <c r="C3913" t="s">
        <v>44351</v>
      </c>
      <c r="D3913">
        <v>1037022454355</v>
      </c>
      <c r="E3913">
        <v>1</v>
      </c>
      <c r="F3913">
        <v>6151433607</v>
      </c>
      <c r="G3913">
        <v>10110000</v>
      </c>
      <c r="H3913" t="s">
        <v>40293</v>
      </c>
      <c r="I3913">
        <v>25896</v>
      </c>
      <c r="J3913">
        <v>19</v>
      </c>
      <c r="K3913">
        <v>20</v>
      </c>
    </row>
    <row r="3914" spans="1:11">
      <c r="A3914">
        <v>90</v>
      </c>
      <c r="B3914" t="b">
        <v>0</v>
      </c>
      <c r="C3914" t="s">
        <v>42738</v>
      </c>
      <c r="D3914">
        <v>1037022454355</v>
      </c>
      <c r="E3914">
        <v>1</v>
      </c>
      <c r="F3914">
        <v>6135604183</v>
      </c>
      <c r="G3914">
        <v>8950000</v>
      </c>
      <c r="H3914" t="s">
        <v>40293</v>
      </c>
      <c r="I3914">
        <v>25898</v>
      </c>
      <c r="J3914">
        <v>9</v>
      </c>
      <c r="K3914">
        <v>10</v>
      </c>
    </row>
    <row r="3915" spans="1:11">
      <c r="A3915">
        <v>90</v>
      </c>
      <c r="B3915" t="b">
        <v>0</v>
      </c>
      <c r="C3915" t="s">
        <v>42764</v>
      </c>
      <c r="D3915">
        <v>1037022454355</v>
      </c>
      <c r="E3915">
        <v>1</v>
      </c>
      <c r="F3915">
        <v>6135605650</v>
      </c>
      <c r="G3915">
        <v>7000000</v>
      </c>
      <c r="H3915" t="s">
        <v>40293</v>
      </c>
      <c r="I3915">
        <v>25908</v>
      </c>
      <c r="J3915">
        <v>9</v>
      </c>
      <c r="K3915">
        <v>10</v>
      </c>
    </row>
    <row r="3916" spans="1:11">
      <c r="A3916">
        <v>90</v>
      </c>
      <c r="B3916" t="b">
        <v>0</v>
      </c>
      <c r="C3916" t="s">
        <v>41612</v>
      </c>
      <c r="D3916">
        <v>1037022454355</v>
      </c>
      <c r="E3916">
        <v>1</v>
      </c>
      <c r="F3916">
        <v>6122533477</v>
      </c>
      <c r="G3916">
        <v>14990000</v>
      </c>
      <c r="H3916" t="s">
        <v>40293</v>
      </c>
      <c r="I3916">
        <v>25948</v>
      </c>
      <c r="J3916">
        <v>2</v>
      </c>
      <c r="K3916">
        <v>19</v>
      </c>
    </row>
    <row r="3917" spans="1:11">
      <c r="A3917">
        <v>90</v>
      </c>
      <c r="B3917" t="b">
        <v>0</v>
      </c>
      <c r="C3917" t="s">
        <v>40892</v>
      </c>
      <c r="D3917">
        <v>1037022454355</v>
      </c>
      <c r="E3917">
        <v>1</v>
      </c>
      <c r="F3917">
        <v>6125237773</v>
      </c>
      <c r="G3917">
        <v>18920000</v>
      </c>
      <c r="H3917" t="s">
        <v>40293</v>
      </c>
      <c r="I3917">
        <v>25956</v>
      </c>
      <c r="J3917">
        <v>11</v>
      </c>
      <c r="K3917">
        <v>20</v>
      </c>
    </row>
    <row r="3918" spans="1:11">
      <c r="A3918">
        <v>90</v>
      </c>
      <c r="B3918" t="b">
        <v>0</v>
      </c>
      <c r="C3918" t="s">
        <v>43626</v>
      </c>
      <c r="D3918">
        <v>1037022454355</v>
      </c>
      <c r="E3918">
        <v>1</v>
      </c>
      <c r="F3918">
        <v>6145725631</v>
      </c>
      <c r="G3918">
        <v>18510000</v>
      </c>
      <c r="H3918" t="s">
        <v>40293</v>
      </c>
      <c r="I3918">
        <v>25956</v>
      </c>
      <c r="J3918">
        <v>3</v>
      </c>
      <c r="K3918">
        <v>10</v>
      </c>
    </row>
    <row r="3919" spans="1:11">
      <c r="A3919">
        <v>90</v>
      </c>
      <c r="B3919" t="b">
        <v>0</v>
      </c>
      <c r="C3919" t="s">
        <v>44616</v>
      </c>
      <c r="D3919">
        <v>1037022454355</v>
      </c>
      <c r="E3919">
        <v>1</v>
      </c>
      <c r="F3919">
        <v>6152994044</v>
      </c>
      <c r="G3919">
        <v>2500000</v>
      </c>
      <c r="H3919" t="s">
        <v>40293</v>
      </c>
      <c r="I3919">
        <v>25970</v>
      </c>
      <c r="J3919">
        <v>10</v>
      </c>
      <c r="K3919">
        <v>10</v>
      </c>
    </row>
    <row r="3920" spans="1:11">
      <c r="A3920">
        <v>90</v>
      </c>
      <c r="B3920" t="b">
        <v>0</v>
      </c>
      <c r="C3920" t="s">
        <v>44083</v>
      </c>
      <c r="D3920">
        <v>1037022454355</v>
      </c>
      <c r="E3920">
        <v>1</v>
      </c>
      <c r="F3920">
        <v>6151733808</v>
      </c>
      <c r="G3920">
        <v>1500000</v>
      </c>
      <c r="H3920" t="s">
        <v>40293</v>
      </c>
      <c r="I3920">
        <v>25972</v>
      </c>
      <c r="J3920">
        <v>8</v>
      </c>
      <c r="K3920">
        <v>10</v>
      </c>
    </row>
    <row r="3921" spans="1:11">
      <c r="A3921">
        <v>90</v>
      </c>
      <c r="B3921" t="b">
        <v>0</v>
      </c>
      <c r="C3921" t="s">
        <v>45232</v>
      </c>
      <c r="D3921">
        <v>1037022454355</v>
      </c>
      <c r="E3921">
        <v>1</v>
      </c>
      <c r="F3921">
        <v>6152994210</v>
      </c>
      <c r="G3921">
        <v>5250000</v>
      </c>
      <c r="H3921" t="s">
        <v>40293</v>
      </c>
      <c r="I3921">
        <v>25974</v>
      </c>
      <c r="J3921">
        <v>2</v>
      </c>
      <c r="K3921">
        <v>5</v>
      </c>
    </row>
    <row r="3922" spans="1:11">
      <c r="A3922">
        <v>90</v>
      </c>
      <c r="B3922" t="b">
        <v>0</v>
      </c>
      <c r="C3922" t="s">
        <v>43392</v>
      </c>
      <c r="D3922">
        <v>1037022454355</v>
      </c>
      <c r="E3922">
        <v>1</v>
      </c>
      <c r="F3922">
        <v>6146865021</v>
      </c>
      <c r="G3922">
        <v>2500000</v>
      </c>
      <c r="H3922" t="s">
        <v>40293</v>
      </c>
      <c r="I3922">
        <v>25978</v>
      </c>
      <c r="J3922">
        <v>9</v>
      </c>
      <c r="K3922">
        <v>10</v>
      </c>
    </row>
    <row r="3923" spans="1:11">
      <c r="A3923">
        <v>90</v>
      </c>
      <c r="B3923" t="b">
        <v>0</v>
      </c>
      <c r="C3923" t="s">
        <v>43525</v>
      </c>
      <c r="D3923">
        <v>1037022454355</v>
      </c>
      <c r="E3923">
        <v>1</v>
      </c>
      <c r="F3923">
        <v>6145132449</v>
      </c>
      <c r="G3923">
        <v>2500000</v>
      </c>
      <c r="H3923" t="s">
        <v>40293</v>
      </c>
      <c r="I3923">
        <v>25980</v>
      </c>
      <c r="J3923">
        <v>9</v>
      </c>
      <c r="K3923">
        <v>9</v>
      </c>
    </row>
    <row r="3924" spans="1:11">
      <c r="A3924">
        <v>90</v>
      </c>
      <c r="B3924" t="b">
        <v>0</v>
      </c>
      <c r="C3924" t="s">
        <v>44733</v>
      </c>
      <c r="D3924">
        <v>1037022454355</v>
      </c>
      <c r="E3924">
        <v>1</v>
      </c>
      <c r="F3924">
        <v>6151316703</v>
      </c>
      <c r="G3924">
        <v>15500000</v>
      </c>
      <c r="H3924" t="s">
        <v>40293</v>
      </c>
      <c r="I3924">
        <v>26008</v>
      </c>
      <c r="J3924">
        <v>3</v>
      </c>
      <c r="K3924">
        <v>3</v>
      </c>
    </row>
    <row r="3925" spans="1:11">
      <c r="A3925">
        <v>90</v>
      </c>
      <c r="B3925" t="b">
        <v>0</v>
      </c>
      <c r="C3925" t="s">
        <v>45614</v>
      </c>
      <c r="D3925">
        <v>1037022454355</v>
      </c>
      <c r="E3925">
        <v>1</v>
      </c>
      <c r="F3925">
        <v>6149099666</v>
      </c>
      <c r="G3925">
        <v>10000000</v>
      </c>
      <c r="H3925" t="s">
        <v>40293</v>
      </c>
      <c r="I3925">
        <v>26020</v>
      </c>
      <c r="J3925">
        <v>5</v>
      </c>
      <c r="K3925">
        <v>5</v>
      </c>
    </row>
    <row r="3926" spans="1:11">
      <c r="A3926">
        <v>90</v>
      </c>
      <c r="B3926" t="b">
        <v>0</v>
      </c>
      <c r="C3926" t="s">
        <v>45860</v>
      </c>
      <c r="D3926">
        <v>1037022454355</v>
      </c>
      <c r="E3926">
        <v>1</v>
      </c>
      <c r="F3926">
        <v>6147562435</v>
      </c>
      <c r="G3926">
        <v>5000000</v>
      </c>
      <c r="H3926" t="s">
        <v>40293</v>
      </c>
      <c r="I3926">
        <v>26046</v>
      </c>
      <c r="J3926">
        <v>10</v>
      </c>
      <c r="K3926">
        <v>10</v>
      </c>
    </row>
    <row r="3927" spans="1:11">
      <c r="A3927">
        <v>90</v>
      </c>
      <c r="B3927" t="b">
        <v>0</v>
      </c>
      <c r="C3927" t="s">
        <v>43425</v>
      </c>
      <c r="D3927">
        <v>1037022454355</v>
      </c>
      <c r="E3927">
        <v>1</v>
      </c>
      <c r="F3927">
        <v>6146865945</v>
      </c>
      <c r="G3927">
        <v>3000000</v>
      </c>
      <c r="H3927" t="s">
        <v>40293</v>
      </c>
      <c r="I3927">
        <v>26048</v>
      </c>
      <c r="J3927">
        <v>10</v>
      </c>
      <c r="K3927">
        <v>10</v>
      </c>
    </row>
    <row r="3928" spans="1:11">
      <c r="A3928">
        <v>90</v>
      </c>
      <c r="B3928" t="b">
        <v>0</v>
      </c>
      <c r="C3928" t="s">
        <v>43934</v>
      </c>
      <c r="D3928">
        <v>1037022454355</v>
      </c>
      <c r="E3928">
        <v>1</v>
      </c>
      <c r="F3928">
        <v>6143382646</v>
      </c>
      <c r="G3928">
        <v>9000000</v>
      </c>
      <c r="H3928" t="s">
        <v>40293</v>
      </c>
      <c r="I3928">
        <v>26068</v>
      </c>
      <c r="J3928">
        <v>1</v>
      </c>
      <c r="K3928">
        <v>2</v>
      </c>
    </row>
    <row r="3929" spans="1:11">
      <c r="A3929">
        <v>90</v>
      </c>
      <c r="B3929" t="b">
        <v>0</v>
      </c>
      <c r="C3929" t="s">
        <v>40905</v>
      </c>
      <c r="D3929">
        <v>1037022454355</v>
      </c>
      <c r="E3929">
        <v>1</v>
      </c>
      <c r="F3929">
        <v>6123304684</v>
      </c>
      <c r="G3929">
        <v>5000000</v>
      </c>
      <c r="H3929" t="s">
        <v>40293</v>
      </c>
      <c r="I3929">
        <v>26072</v>
      </c>
      <c r="J3929">
        <v>45</v>
      </c>
      <c r="K3929">
        <v>45</v>
      </c>
    </row>
    <row r="3930" spans="1:11">
      <c r="A3930">
        <v>90</v>
      </c>
      <c r="B3930" t="b">
        <v>0</v>
      </c>
      <c r="C3930" t="s">
        <v>40561</v>
      </c>
      <c r="D3930">
        <v>1037022454355</v>
      </c>
      <c r="E3930">
        <v>1</v>
      </c>
      <c r="F3930">
        <v>6098851907</v>
      </c>
      <c r="G3930">
        <v>714000</v>
      </c>
      <c r="H3930" t="s">
        <v>40293</v>
      </c>
      <c r="I3930">
        <v>26076</v>
      </c>
      <c r="J3930">
        <v>25</v>
      </c>
      <c r="K3930">
        <v>40</v>
      </c>
    </row>
    <row r="3931" spans="1:11">
      <c r="A3931">
        <v>90</v>
      </c>
      <c r="B3931" t="b">
        <v>0</v>
      </c>
      <c r="C3931" t="s">
        <v>43829</v>
      </c>
      <c r="D3931">
        <v>1037022454355</v>
      </c>
      <c r="E3931">
        <v>1</v>
      </c>
      <c r="F3931">
        <v>6076133017</v>
      </c>
      <c r="G3931">
        <v>699800</v>
      </c>
      <c r="H3931" t="s">
        <v>40293</v>
      </c>
      <c r="I3931">
        <v>26076</v>
      </c>
      <c r="J3931">
        <v>62</v>
      </c>
      <c r="K3931">
        <v>104</v>
      </c>
    </row>
    <row r="3932" spans="1:11">
      <c r="A3932">
        <v>90</v>
      </c>
      <c r="B3932" t="b">
        <v>0</v>
      </c>
      <c r="C3932" t="s">
        <v>45306</v>
      </c>
      <c r="D3932">
        <v>1037022454355</v>
      </c>
      <c r="E3932">
        <v>1</v>
      </c>
      <c r="F3932">
        <v>6142050873</v>
      </c>
      <c r="G3932">
        <v>675000</v>
      </c>
      <c r="H3932" t="s">
        <v>40293</v>
      </c>
      <c r="I3932">
        <v>26076</v>
      </c>
      <c r="J3932">
        <v>10</v>
      </c>
      <c r="K3932">
        <v>10</v>
      </c>
    </row>
    <row r="3933" spans="1:11">
      <c r="A3933">
        <v>30</v>
      </c>
      <c r="B3933" t="b">
        <v>0</v>
      </c>
      <c r="C3933" t="s">
        <v>45642</v>
      </c>
      <c r="D3933">
        <v>1037022454355</v>
      </c>
      <c r="E3933">
        <v>1</v>
      </c>
      <c r="F3933">
        <v>6155882957</v>
      </c>
      <c r="G3933">
        <v>674900</v>
      </c>
      <c r="H3933" t="s">
        <v>40293</v>
      </c>
      <c r="I3933">
        <v>26076</v>
      </c>
      <c r="J3933">
        <v>6</v>
      </c>
      <c r="K3933">
        <v>6</v>
      </c>
    </row>
    <row r="3934" spans="1:11">
      <c r="A3934">
        <v>90</v>
      </c>
      <c r="B3934" t="b">
        <v>0</v>
      </c>
      <c r="C3934" t="s">
        <v>41949</v>
      </c>
      <c r="D3934">
        <v>1037022454355</v>
      </c>
      <c r="E3934">
        <v>1</v>
      </c>
      <c r="F3934">
        <v>6127018461</v>
      </c>
      <c r="G3934">
        <v>1500000</v>
      </c>
      <c r="H3934" t="s">
        <v>40293</v>
      </c>
      <c r="I3934">
        <v>26078</v>
      </c>
      <c r="J3934">
        <v>7</v>
      </c>
      <c r="K3934">
        <v>7</v>
      </c>
    </row>
    <row r="3935" spans="1:11">
      <c r="A3935">
        <v>30</v>
      </c>
      <c r="B3935" t="b">
        <v>0</v>
      </c>
      <c r="C3935" t="s">
        <v>42426</v>
      </c>
      <c r="D3935">
        <v>1037022454355</v>
      </c>
      <c r="E3935">
        <v>1</v>
      </c>
      <c r="F3935">
        <v>6137586642</v>
      </c>
      <c r="G3935">
        <v>8960000</v>
      </c>
      <c r="H3935" t="s">
        <v>40293</v>
      </c>
      <c r="I3935">
        <v>26082</v>
      </c>
      <c r="J3935">
        <v>19</v>
      </c>
      <c r="K3935">
        <v>20</v>
      </c>
    </row>
    <row r="3936" spans="1:11">
      <c r="A3936">
        <v>90</v>
      </c>
      <c r="B3936" t="b">
        <v>0</v>
      </c>
      <c r="C3936" t="s">
        <v>40674</v>
      </c>
      <c r="D3936">
        <v>1037022454355</v>
      </c>
      <c r="E3936">
        <v>1</v>
      </c>
      <c r="F3936">
        <v>6119956605</v>
      </c>
      <c r="G3936">
        <v>4311000</v>
      </c>
      <c r="H3936" t="s">
        <v>40293</v>
      </c>
      <c r="I3936">
        <v>26084</v>
      </c>
      <c r="J3936">
        <v>1</v>
      </c>
      <c r="K3936">
        <v>6</v>
      </c>
    </row>
    <row r="3937" spans="1:11">
      <c r="A3937">
        <v>90</v>
      </c>
      <c r="B3937" t="b">
        <v>0</v>
      </c>
      <c r="C3937" t="s">
        <v>44544</v>
      </c>
      <c r="D3937">
        <v>1037022454355</v>
      </c>
      <c r="E3937">
        <v>1</v>
      </c>
      <c r="F3937">
        <v>6155475920</v>
      </c>
      <c r="G3937">
        <v>4447000</v>
      </c>
      <c r="H3937" t="s">
        <v>40293</v>
      </c>
      <c r="I3937">
        <v>26088</v>
      </c>
      <c r="J3937">
        <v>7</v>
      </c>
      <c r="K3937">
        <v>7</v>
      </c>
    </row>
    <row r="3938" spans="1:11">
      <c r="A3938">
        <v>90</v>
      </c>
      <c r="B3938" t="b">
        <v>0</v>
      </c>
      <c r="C3938" t="s">
        <v>45719</v>
      </c>
      <c r="D3938">
        <v>1037022454355</v>
      </c>
      <c r="E3938">
        <v>1</v>
      </c>
      <c r="F3938">
        <v>6107026917</v>
      </c>
      <c r="G3938">
        <v>4447000</v>
      </c>
      <c r="H3938" t="s">
        <v>40293</v>
      </c>
      <c r="I3938">
        <v>26088</v>
      </c>
      <c r="J3938">
        <v>1</v>
      </c>
      <c r="K3938">
        <v>9</v>
      </c>
    </row>
    <row r="3939" spans="1:11">
      <c r="A3939">
        <v>30</v>
      </c>
      <c r="B3939" t="b">
        <v>0</v>
      </c>
      <c r="C3939" t="s">
        <v>45275</v>
      </c>
      <c r="D3939">
        <v>1037022454355</v>
      </c>
      <c r="E3939">
        <v>1</v>
      </c>
      <c r="F3939">
        <v>6155059380</v>
      </c>
      <c r="G3939">
        <v>4446000</v>
      </c>
      <c r="H3939" t="s">
        <v>40293</v>
      </c>
      <c r="I3939">
        <v>26088</v>
      </c>
      <c r="J3939">
        <v>7</v>
      </c>
      <c r="K3939">
        <v>7</v>
      </c>
    </row>
    <row r="3940" spans="1:11">
      <c r="A3940">
        <v>90</v>
      </c>
      <c r="B3940" t="b">
        <v>0</v>
      </c>
      <c r="C3940" t="s">
        <v>41977</v>
      </c>
      <c r="D3940">
        <v>1037022454355</v>
      </c>
      <c r="E3940">
        <v>1</v>
      </c>
      <c r="F3940">
        <v>6128560283</v>
      </c>
      <c r="G3940">
        <v>250100</v>
      </c>
      <c r="H3940" t="s">
        <v>40293</v>
      </c>
      <c r="I3940">
        <v>26258</v>
      </c>
      <c r="J3940">
        <v>1</v>
      </c>
      <c r="K3940">
        <v>1</v>
      </c>
    </row>
    <row r="3941" spans="1:11">
      <c r="A3941">
        <v>90</v>
      </c>
      <c r="B3941" t="b">
        <v>0</v>
      </c>
      <c r="C3941" t="s">
        <v>40940</v>
      </c>
      <c r="D3941">
        <v>1037022454355</v>
      </c>
      <c r="E3941">
        <v>1</v>
      </c>
      <c r="F3941">
        <v>6123567597</v>
      </c>
      <c r="G3941">
        <v>1000</v>
      </c>
      <c r="H3941" t="s">
        <v>40293</v>
      </c>
      <c r="I3941">
        <v>26258</v>
      </c>
      <c r="J3941">
        <v>2</v>
      </c>
      <c r="K3941">
        <v>2</v>
      </c>
    </row>
    <row r="3942" spans="1:11">
      <c r="A3942">
        <v>90</v>
      </c>
      <c r="B3942" t="b">
        <v>0</v>
      </c>
      <c r="C3942" t="s">
        <v>41224</v>
      </c>
      <c r="D3942">
        <v>1037022454355</v>
      </c>
      <c r="E3942">
        <v>1</v>
      </c>
      <c r="F3942">
        <v>6123304812</v>
      </c>
      <c r="G3942">
        <v>55000000</v>
      </c>
      <c r="H3942" t="s">
        <v>40293</v>
      </c>
      <c r="I3942">
        <v>26304</v>
      </c>
      <c r="J3942">
        <v>8</v>
      </c>
      <c r="K3942">
        <v>8</v>
      </c>
    </row>
    <row r="3943" spans="1:11">
      <c r="A3943">
        <v>90</v>
      </c>
      <c r="B3943" t="b">
        <v>0</v>
      </c>
      <c r="C3943" t="s">
        <v>42759</v>
      </c>
      <c r="D3943">
        <v>1037022454355</v>
      </c>
      <c r="E3943">
        <v>1</v>
      </c>
      <c r="F3943">
        <v>6135638074</v>
      </c>
      <c r="G3943">
        <v>23360000</v>
      </c>
      <c r="H3943" t="s">
        <v>40293</v>
      </c>
      <c r="I3943">
        <v>26368</v>
      </c>
      <c r="J3943">
        <v>2</v>
      </c>
      <c r="K3943">
        <v>2</v>
      </c>
    </row>
    <row r="3944" spans="1:11">
      <c r="A3944">
        <v>90</v>
      </c>
      <c r="B3944" t="b">
        <v>0</v>
      </c>
      <c r="C3944" t="s">
        <v>42043</v>
      </c>
      <c r="D3944">
        <v>1037022454355</v>
      </c>
      <c r="E3944">
        <v>1</v>
      </c>
      <c r="F3944">
        <v>6130995640</v>
      </c>
      <c r="G3944">
        <v>53070000</v>
      </c>
      <c r="H3944" t="s">
        <v>40293</v>
      </c>
      <c r="I3944">
        <v>26374</v>
      </c>
      <c r="J3944">
        <v>1</v>
      </c>
      <c r="K3944">
        <v>2</v>
      </c>
    </row>
    <row r="3945" spans="1:11">
      <c r="A3945">
        <v>90</v>
      </c>
      <c r="B3945" t="b">
        <v>0</v>
      </c>
      <c r="C3945" t="s">
        <v>44972</v>
      </c>
      <c r="D3945">
        <v>1037022454355</v>
      </c>
      <c r="E3945">
        <v>1</v>
      </c>
      <c r="F3945">
        <v>6156677820</v>
      </c>
      <c r="G3945">
        <v>52000000</v>
      </c>
      <c r="H3945" t="s">
        <v>40293</v>
      </c>
      <c r="I3945">
        <v>26374</v>
      </c>
      <c r="J3945">
        <v>1</v>
      </c>
      <c r="K3945">
        <v>1</v>
      </c>
    </row>
    <row r="3946" spans="1:11">
      <c r="A3946">
        <v>90</v>
      </c>
      <c r="B3946" t="b">
        <v>0</v>
      </c>
      <c r="C3946" t="s">
        <v>43523</v>
      </c>
      <c r="D3946">
        <v>1037022454355</v>
      </c>
      <c r="E3946">
        <v>1</v>
      </c>
      <c r="F3946">
        <v>6145132379</v>
      </c>
      <c r="G3946">
        <v>10000000</v>
      </c>
      <c r="H3946" t="s">
        <v>40293</v>
      </c>
      <c r="I3946">
        <v>26382</v>
      </c>
      <c r="J3946">
        <v>3</v>
      </c>
      <c r="K3946">
        <v>5</v>
      </c>
    </row>
    <row r="3947" spans="1:11">
      <c r="A3947">
        <v>90</v>
      </c>
      <c r="B3947" t="b">
        <v>0</v>
      </c>
      <c r="C3947" t="s">
        <v>43223</v>
      </c>
      <c r="D3947">
        <v>1037022454355</v>
      </c>
      <c r="E3947">
        <v>1</v>
      </c>
      <c r="F3947">
        <v>6145517402</v>
      </c>
      <c r="G3947">
        <v>3840000</v>
      </c>
      <c r="H3947" t="s">
        <v>40293</v>
      </c>
      <c r="I3947">
        <v>26386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44712</v>
      </c>
      <c r="D3948">
        <v>1037022454355</v>
      </c>
      <c r="E3948">
        <v>1</v>
      </c>
      <c r="F3948">
        <v>6151316497</v>
      </c>
      <c r="G3948">
        <v>17000000</v>
      </c>
      <c r="H3948" t="s">
        <v>40293</v>
      </c>
      <c r="I3948">
        <v>26396</v>
      </c>
      <c r="J3948">
        <v>3</v>
      </c>
      <c r="K3948">
        <v>4</v>
      </c>
    </row>
    <row r="3949" spans="1:11">
      <c r="A3949">
        <v>90</v>
      </c>
      <c r="B3949" t="b">
        <v>0</v>
      </c>
      <c r="C3949" t="s">
        <v>46431</v>
      </c>
      <c r="D3949">
        <v>1037022454355</v>
      </c>
      <c r="E3949">
        <v>1</v>
      </c>
      <c r="F3949">
        <v>6151109207</v>
      </c>
      <c r="G3949">
        <v>59800000</v>
      </c>
      <c r="H3949" t="s">
        <v>40293</v>
      </c>
      <c r="I3949">
        <v>26406</v>
      </c>
      <c r="J3949">
        <v>4</v>
      </c>
      <c r="K3949">
        <v>4</v>
      </c>
    </row>
    <row r="3950" spans="1:11">
      <c r="A3950">
        <v>90</v>
      </c>
      <c r="B3950" t="b">
        <v>0</v>
      </c>
      <c r="C3950" t="s">
        <v>41397</v>
      </c>
      <c r="D3950">
        <v>1037022454355</v>
      </c>
      <c r="E3950">
        <v>1</v>
      </c>
      <c r="F3950">
        <v>6123445435</v>
      </c>
      <c r="G3950">
        <v>60000000</v>
      </c>
      <c r="H3950" t="s">
        <v>40293</v>
      </c>
      <c r="I3950">
        <v>26430</v>
      </c>
      <c r="J3950">
        <v>4</v>
      </c>
      <c r="K3950">
        <v>4</v>
      </c>
    </row>
    <row r="3951" spans="1:11">
      <c r="A3951">
        <v>90</v>
      </c>
      <c r="B3951" t="b">
        <v>0</v>
      </c>
      <c r="C3951" t="s">
        <v>42635</v>
      </c>
      <c r="D3951">
        <v>1037022454355</v>
      </c>
      <c r="E3951">
        <v>1</v>
      </c>
      <c r="F3951">
        <v>6133315478</v>
      </c>
      <c r="G3951">
        <v>60000000</v>
      </c>
      <c r="H3951" t="s">
        <v>40293</v>
      </c>
      <c r="I3951">
        <v>26430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43904</v>
      </c>
      <c r="D3952">
        <v>1037022454355</v>
      </c>
      <c r="E3952">
        <v>1</v>
      </c>
      <c r="F3952">
        <v>6138984210</v>
      </c>
      <c r="G3952">
        <v>25000000</v>
      </c>
      <c r="H3952" t="s">
        <v>40293</v>
      </c>
      <c r="I3952">
        <v>26436</v>
      </c>
      <c r="J3952">
        <v>2</v>
      </c>
      <c r="K3952">
        <v>2</v>
      </c>
    </row>
    <row r="3953" spans="1:11">
      <c r="A3953">
        <v>90</v>
      </c>
      <c r="B3953" t="b">
        <v>0</v>
      </c>
      <c r="C3953" t="s">
        <v>41308</v>
      </c>
      <c r="D3953">
        <v>1037022454355</v>
      </c>
      <c r="E3953">
        <v>1</v>
      </c>
      <c r="F3953">
        <v>6125604418</v>
      </c>
      <c r="G3953">
        <v>24890000</v>
      </c>
      <c r="H3953" t="s">
        <v>40293</v>
      </c>
      <c r="I3953">
        <v>26436</v>
      </c>
      <c r="J3953">
        <v>1</v>
      </c>
      <c r="K3953">
        <v>1</v>
      </c>
    </row>
    <row r="3954" spans="1:11">
      <c r="A3954">
        <v>90</v>
      </c>
      <c r="B3954" t="b">
        <v>0</v>
      </c>
      <c r="C3954" t="s">
        <v>43881</v>
      </c>
      <c r="D3954">
        <v>1037022454355</v>
      </c>
      <c r="E3954">
        <v>1</v>
      </c>
      <c r="F3954">
        <v>6142850332</v>
      </c>
      <c r="G3954">
        <v>23000000</v>
      </c>
      <c r="H3954" t="s">
        <v>40293</v>
      </c>
      <c r="I3954">
        <v>26436</v>
      </c>
      <c r="J3954">
        <v>1</v>
      </c>
      <c r="K3954">
        <v>2</v>
      </c>
    </row>
    <row r="3955" spans="1:11">
      <c r="A3955">
        <v>30</v>
      </c>
      <c r="B3955" t="b">
        <v>0</v>
      </c>
      <c r="C3955" t="s">
        <v>46285</v>
      </c>
      <c r="D3955">
        <v>1037022454355</v>
      </c>
      <c r="E3955">
        <v>1</v>
      </c>
      <c r="F3955">
        <v>6156612101</v>
      </c>
      <c r="G3955">
        <v>22890000</v>
      </c>
      <c r="H3955" t="s">
        <v>40293</v>
      </c>
      <c r="I3955">
        <v>26436</v>
      </c>
      <c r="J3955">
        <v>13</v>
      </c>
      <c r="K3955">
        <v>13</v>
      </c>
    </row>
    <row r="3956" spans="1:11">
      <c r="A3956">
        <v>90</v>
      </c>
      <c r="B3956" t="b">
        <v>0</v>
      </c>
      <c r="C3956" t="s">
        <v>43487</v>
      </c>
      <c r="D3956">
        <v>1037022454355</v>
      </c>
      <c r="E3956">
        <v>1</v>
      </c>
      <c r="F3956">
        <v>6142850514</v>
      </c>
      <c r="G3956">
        <v>23000000</v>
      </c>
      <c r="H3956" t="s">
        <v>40293</v>
      </c>
      <c r="I3956">
        <v>26440</v>
      </c>
      <c r="J3956">
        <v>3</v>
      </c>
      <c r="K3956">
        <v>3</v>
      </c>
    </row>
    <row r="3957" spans="1:11">
      <c r="A3957">
        <v>90</v>
      </c>
      <c r="B3957" t="b">
        <v>0</v>
      </c>
      <c r="C3957" t="s">
        <v>43896</v>
      </c>
      <c r="D3957">
        <v>1037022454355</v>
      </c>
      <c r="E3957">
        <v>1</v>
      </c>
      <c r="F3957">
        <v>6142850654</v>
      </c>
      <c r="G3957">
        <v>23000000</v>
      </c>
      <c r="H3957" t="s">
        <v>40293</v>
      </c>
      <c r="I3957">
        <v>26442</v>
      </c>
      <c r="J3957">
        <v>2</v>
      </c>
      <c r="K3957">
        <v>2</v>
      </c>
    </row>
    <row r="3958" spans="1:11">
      <c r="A3958">
        <v>30</v>
      </c>
      <c r="B3958" t="b">
        <v>0</v>
      </c>
      <c r="C3958" t="s">
        <v>45016</v>
      </c>
      <c r="D3958">
        <v>1037022454355</v>
      </c>
      <c r="E3958">
        <v>1</v>
      </c>
      <c r="F3958">
        <v>6128087618</v>
      </c>
      <c r="G3958">
        <v>22820000</v>
      </c>
      <c r="H3958" t="s">
        <v>40293</v>
      </c>
      <c r="I3958">
        <v>26442</v>
      </c>
      <c r="J3958">
        <v>4</v>
      </c>
      <c r="K3958">
        <v>5</v>
      </c>
    </row>
    <row r="3959" spans="1:11">
      <c r="A3959">
        <v>14</v>
      </c>
      <c r="B3959" t="b">
        <v>0</v>
      </c>
      <c r="C3959" t="s">
        <v>46082</v>
      </c>
      <c r="D3959">
        <v>1037022454355</v>
      </c>
      <c r="E3959">
        <v>1</v>
      </c>
      <c r="F3959">
        <v>6125119261</v>
      </c>
      <c r="G3959">
        <v>22810000</v>
      </c>
      <c r="H3959" t="s">
        <v>40293</v>
      </c>
      <c r="I3959">
        <v>26442</v>
      </c>
      <c r="J3959">
        <v>9</v>
      </c>
      <c r="K3959">
        <v>20</v>
      </c>
    </row>
    <row r="3960" spans="1:11">
      <c r="A3960">
        <v>90</v>
      </c>
      <c r="B3960" t="b">
        <v>0</v>
      </c>
      <c r="C3960" t="s">
        <v>41566</v>
      </c>
      <c r="D3960">
        <v>1037022454355</v>
      </c>
      <c r="E3960">
        <v>1</v>
      </c>
      <c r="F3960">
        <v>6100807205</v>
      </c>
      <c r="G3960">
        <v>108200000</v>
      </c>
      <c r="H3960" t="s">
        <v>40293</v>
      </c>
      <c r="I3960">
        <v>26448</v>
      </c>
      <c r="J3960">
        <v>3</v>
      </c>
      <c r="K3960">
        <v>10</v>
      </c>
    </row>
    <row r="3961" spans="1:11">
      <c r="A3961">
        <v>30</v>
      </c>
      <c r="B3961" t="b">
        <v>0</v>
      </c>
      <c r="C3961" t="s">
        <v>45970</v>
      </c>
      <c r="D3961">
        <v>1037022454355</v>
      </c>
      <c r="E3961">
        <v>1</v>
      </c>
      <c r="F3961">
        <v>6153461953</v>
      </c>
      <c r="G3961">
        <v>107500000</v>
      </c>
      <c r="H3961" t="s">
        <v>40293</v>
      </c>
      <c r="I3961">
        <v>26448</v>
      </c>
      <c r="J3961">
        <v>1</v>
      </c>
      <c r="K3961">
        <v>3</v>
      </c>
    </row>
    <row r="3962" spans="1:11">
      <c r="A3962">
        <v>90</v>
      </c>
      <c r="B3962" t="b">
        <v>0</v>
      </c>
      <c r="C3962" t="s">
        <v>46554</v>
      </c>
      <c r="D3962">
        <v>1037022454355</v>
      </c>
      <c r="E3962">
        <v>1</v>
      </c>
      <c r="F3962">
        <v>6156123937</v>
      </c>
      <c r="G3962">
        <v>107400000</v>
      </c>
      <c r="H3962" t="s">
        <v>40293</v>
      </c>
      <c r="I3962">
        <v>26448</v>
      </c>
      <c r="J3962">
        <v>5</v>
      </c>
      <c r="K3962">
        <v>5</v>
      </c>
    </row>
    <row r="3963" spans="1:11">
      <c r="A3963">
        <v>90</v>
      </c>
      <c r="B3963" t="b">
        <v>0</v>
      </c>
      <c r="C3963" t="s">
        <v>40899</v>
      </c>
      <c r="D3963">
        <v>1037022454355</v>
      </c>
      <c r="E3963">
        <v>1</v>
      </c>
      <c r="F3963">
        <v>6122976879</v>
      </c>
      <c r="G3963">
        <v>90000000</v>
      </c>
      <c r="H3963" t="s">
        <v>40293</v>
      </c>
      <c r="I3963">
        <v>26450</v>
      </c>
      <c r="J3963">
        <v>3</v>
      </c>
      <c r="K3963">
        <v>6</v>
      </c>
    </row>
    <row r="3964" spans="1:11">
      <c r="A3964">
        <v>90</v>
      </c>
      <c r="B3964" t="b">
        <v>0</v>
      </c>
      <c r="C3964" t="s">
        <v>41114</v>
      </c>
      <c r="D3964">
        <v>1037022454355</v>
      </c>
      <c r="E3964">
        <v>1</v>
      </c>
      <c r="F3964">
        <v>6112757861</v>
      </c>
      <c r="G3964">
        <v>48980000</v>
      </c>
      <c r="H3964" t="s">
        <v>40293</v>
      </c>
      <c r="I3964">
        <v>26888</v>
      </c>
      <c r="J3964">
        <v>5</v>
      </c>
      <c r="K3964">
        <v>5</v>
      </c>
    </row>
    <row r="3965" spans="1:11">
      <c r="A3965">
        <v>90</v>
      </c>
      <c r="B3965" t="b">
        <v>0</v>
      </c>
      <c r="C3965" t="s">
        <v>42012</v>
      </c>
      <c r="D3965">
        <v>1037022454355</v>
      </c>
      <c r="E3965">
        <v>1</v>
      </c>
      <c r="F3965">
        <v>6130501648</v>
      </c>
      <c r="G3965">
        <v>34000000</v>
      </c>
      <c r="H3965" t="s">
        <v>40293</v>
      </c>
      <c r="I3965">
        <v>26888</v>
      </c>
      <c r="J3965">
        <v>3</v>
      </c>
      <c r="K3965">
        <v>3</v>
      </c>
    </row>
    <row r="3966" spans="1:11">
      <c r="A3966">
        <v>90</v>
      </c>
      <c r="B3966" t="b">
        <v>0</v>
      </c>
      <c r="C3966" t="s">
        <v>43811</v>
      </c>
      <c r="D3966">
        <v>1037022454355</v>
      </c>
      <c r="E3966">
        <v>1</v>
      </c>
      <c r="F3966">
        <v>6125960407</v>
      </c>
      <c r="G3966">
        <v>14920000</v>
      </c>
      <c r="H3966" t="s">
        <v>40293</v>
      </c>
      <c r="I3966">
        <v>26890</v>
      </c>
      <c r="J3966">
        <v>4</v>
      </c>
      <c r="K3966">
        <v>5</v>
      </c>
    </row>
    <row r="3967" spans="1:11">
      <c r="A3967">
        <v>90</v>
      </c>
      <c r="B3967" t="b">
        <v>0</v>
      </c>
      <c r="C3967" t="s">
        <v>44125</v>
      </c>
      <c r="D3967">
        <v>1037022454355</v>
      </c>
      <c r="E3967">
        <v>1</v>
      </c>
      <c r="F3967">
        <v>6149899368</v>
      </c>
      <c r="G3967">
        <v>14910000</v>
      </c>
      <c r="H3967" t="s">
        <v>40293</v>
      </c>
      <c r="I3967">
        <v>26890</v>
      </c>
      <c r="J3967">
        <v>15</v>
      </c>
      <c r="K3967">
        <v>15</v>
      </c>
    </row>
    <row r="3968" spans="1:11">
      <c r="A3968">
        <v>90</v>
      </c>
      <c r="B3968" t="b">
        <v>0</v>
      </c>
      <c r="C3968" t="s">
        <v>43473</v>
      </c>
      <c r="D3968">
        <v>1037022454355</v>
      </c>
      <c r="E3968">
        <v>1</v>
      </c>
      <c r="F3968">
        <v>6125961573</v>
      </c>
      <c r="G3968">
        <v>4969000</v>
      </c>
      <c r="H3968" t="s">
        <v>40293</v>
      </c>
      <c r="I3968">
        <v>26892</v>
      </c>
      <c r="J3968">
        <v>5</v>
      </c>
      <c r="K3968">
        <v>7</v>
      </c>
    </row>
    <row r="3969" spans="1:11">
      <c r="A3969">
        <v>90</v>
      </c>
      <c r="B3969" t="b">
        <v>0</v>
      </c>
      <c r="C3969" t="s">
        <v>43741</v>
      </c>
      <c r="D3969">
        <v>1037022454355</v>
      </c>
      <c r="E3969">
        <v>1</v>
      </c>
      <c r="F3969">
        <v>6126134493</v>
      </c>
      <c r="G3969">
        <v>4968000</v>
      </c>
      <c r="H3969" t="s">
        <v>40293</v>
      </c>
      <c r="I3969">
        <v>26892</v>
      </c>
      <c r="J3969">
        <v>14</v>
      </c>
      <c r="K3969">
        <v>15</v>
      </c>
    </row>
    <row r="3970" spans="1:11">
      <c r="A3970">
        <v>90</v>
      </c>
      <c r="B3970" t="b">
        <v>0</v>
      </c>
      <c r="C3970" t="s">
        <v>43266</v>
      </c>
      <c r="D3970">
        <v>1037022454355</v>
      </c>
      <c r="E3970">
        <v>1</v>
      </c>
      <c r="F3970">
        <v>6143486729</v>
      </c>
      <c r="G3970">
        <v>4960000</v>
      </c>
      <c r="H3970" t="s">
        <v>40293</v>
      </c>
      <c r="I3970">
        <v>26892</v>
      </c>
      <c r="J3970">
        <v>2</v>
      </c>
      <c r="K3970">
        <v>2</v>
      </c>
    </row>
    <row r="3971" spans="1:11">
      <c r="A3971">
        <v>90</v>
      </c>
      <c r="B3971" t="b">
        <v>0</v>
      </c>
      <c r="C3971" t="s">
        <v>42164</v>
      </c>
      <c r="D3971">
        <v>1037022454355</v>
      </c>
      <c r="E3971">
        <v>1</v>
      </c>
      <c r="F3971">
        <v>6106403608</v>
      </c>
      <c r="G3971">
        <v>2030000</v>
      </c>
      <c r="H3971" t="s">
        <v>40293</v>
      </c>
      <c r="I3971">
        <v>26912</v>
      </c>
      <c r="J3971">
        <v>25</v>
      </c>
      <c r="K3971">
        <v>40</v>
      </c>
    </row>
    <row r="3972" spans="1:11">
      <c r="A3972">
        <v>90</v>
      </c>
      <c r="B3972" t="b">
        <v>0</v>
      </c>
      <c r="C3972" t="s">
        <v>43807</v>
      </c>
      <c r="D3972">
        <v>1037022454355</v>
      </c>
      <c r="E3972">
        <v>1</v>
      </c>
      <c r="F3972">
        <v>6142061726</v>
      </c>
      <c r="G3972">
        <v>2029000</v>
      </c>
      <c r="H3972" t="s">
        <v>40293</v>
      </c>
      <c r="I3972">
        <v>26912</v>
      </c>
      <c r="J3972">
        <v>22</v>
      </c>
      <c r="K3972">
        <v>25</v>
      </c>
    </row>
    <row r="3973" spans="1:11">
      <c r="A3973">
        <v>30</v>
      </c>
      <c r="B3973" t="b">
        <v>0</v>
      </c>
      <c r="C3973" t="s">
        <v>44709</v>
      </c>
      <c r="D3973">
        <v>1037022454355</v>
      </c>
      <c r="E3973">
        <v>1</v>
      </c>
      <c r="F3973">
        <v>6149514221</v>
      </c>
      <c r="G3973">
        <v>2000000</v>
      </c>
      <c r="H3973" t="s">
        <v>40293</v>
      </c>
      <c r="I3973">
        <v>26912</v>
      </c>
      <c r="J3973">
        <v>2</v>
      </c>
      <c r="K3973">
        <v>3</v>
      </c>
    </row>
    <row r="3974" spans="1:11">
      <c r="A3974">
        <v>90</v>
      </c>
      <c r="B3974" t="b">
        <v>0</v>
      </c>
      <c r="C3974" t="s">
        <v>45797</v>
      </c>
      <c r="D3974">
        <v>1037022454355</v>
      </c>
      <c r="E3974">
        <v>1</v>
      </c>
      <c r="F3974">
        <v>6151166300</v>
      </c>
      <c r="G3974">
        <v>1999000</v>
      </c>
      <c r="H3974" t="s">
        <v>40293</v>
      </c>
      <c r="I3974">
        <v>26912</v>
      </c>
      <c r="J3974">
        <v>1</v>
      </c>
      <c r="K3974">
        <v>1</v>
      </c>
    </row>
    <row r="3975" spans="1:11">
      <c r="A3975">
        <v>90</v>
      </c>
      <c r="B3975" t="b">
        <v>0</v>
      </c>
      <c r="C3975" t="s">
        <v>44381</v>
      </c>
      <c r="D3975">
        <v>1037022454355</v>
      </c>
      <c r="E3975">
        <v>1</v>
      </c>
      <c r="F3975">
        <v>6155408124</v>
      </c>
      <c r="G3975">
        <v>2827000</v>
      </c>
      <c r="H3975" t="s">
        <v>40293</v>
      </c>
      <c r="I3975">
        <v>26913</v>
      </c>
      <c r="J3975">
        <v>12</v>
      </c>
      <c r="K3975">
        <v>19</v>
      </c>
    </row>
    <row r="3976" spans="1:11">
      <c r="A3976">
        <v>90</v>
      </c>
      <c r="B3976" t="b">
        <v>0</v>
      </c>
      <c r="C3976" t="s">
        <v>41035</v>
      </c>
      <c r="D3976">
        <v>1037022454355</v>
      </c>
      <c r="E3976">
        <v>1</v>
      </c>
      <c r="F3976">
        <v>6125666765</v>
      </c>
      <c r="G3976">
        <v>3995000</v>
      </c>
      <c r="H3976" t="s">
        <v>40293</v>
      </c>
      <c r="I3976">
        <v>26914</v>
      </c>
      <c r="J3976">
        <v>2</v>
      </c>
      <c r="K3976">
        <v>2</v>
      </c>
    </row>
    <row r="3977" spans="1:11">
      <c r="A3977">
        <v>90</v>
      </c>
      <c r="B3977" t="b">
        <v>0</v>
      </c>
      <c r="C3977" t="s">
        <v>42623</v>
      </c>
      <c r="D3977">
        <v>1037022454355</v>
      </c>
      <c r="E3977">
        <v>1</v>
      </c>
      <c r="F3977">
        <v>6110295843</v>
      </c>
      <c r="G3977">
        <v>3992000</v>
      </c>
      <c r="H3977" t="s">
        <v>40293</v>
      </c>
      <c r="I3977">
        <v>26914</v>
      </c>
      <c r="J3977">
        <v>3</v>
      </c>
      <c r="K3977">
        <v>8</v>
      </c>
    </row>
    <row r="3978" spans="1:11">
      <c r="A3978">
        <v>90</v>
      </c>
      <c r="B3978" t="b">
        <v>0</v>
      </c>
      <c r="C3978" t="s">
        <v>45783</v>
      </c>
      <c r="D3978">
        <v>1037022454355</v>
      </c>
      <c r="E3978">
        <v>1</v>
      </c>
      <c r="F3978">
        <v>6151166095</v>
      </c>
      <c r="G3978">
        <v>3990000</v>
      </c>
      <c r="H3978" t="s">
        <v>40293</v>
      </c>
      <c r="I3978">
        <v>26914</v>
      </c>
      <c r="J3978">
        <v>2</v>
      </c>
      <c r="K3978">
        <v>2</v>
      </c>
    </row>
    <row r="3979" spans="1:11">
      <c r="A3979">
        <v>90</v>
      </c>
      <c r="B3979" t="b">
        <v>0</v>
      </c>
      <c r="C3979" t="s">
        <v>44216</v>
      </c>
      <c r="D3979">
        <v>1037022454355</v>
      </c>
      <c r="E3979">
        <v>1</v>
      </c>
      <c r="F3979">
        <v>6153406850</v>
      </c>
      <c r="G3979">
        <v>3980000</v>
      </c>
      <c r="H3979" t="s">
        <v>40293</v>
      </c>
      <c r="I3979">
        <v>26914</v>
      </c>
      <c r="J3979">
        <v>10</v>
      </c>
      <c r="K3979">
        <v>10</v>
      </c>
    </row>
    <row r="3980" spans="1:11">
      <c r="A3980">
        <v>90</v>
      </c>
      <c r="B3980" t="b">
        <v>0</v>
      </c>
      <c r="C3980" t="s">
        <v>45671</v>
      </c>
      <c r="D3980">
        <v>1037022454355</v>
      </c>
      <c r="E3980">
        <v>1</v>
      </c>
      <c r="F3980">
        <v>6098932667</v>
      </c>
      <c r="G3980">
        <v>3979000</v>
      </c>
      <c r="H3980" t="s">
        <v>40293</v>
      </c>
      <c r="I3980">
        <v>26914</v>
      </c>
      <c r="J3980">
        <v>2</v>
      </c>
      <c r="K3980">
        <v>25</v>
      </c>
    </row>
    <row r="3981" spans="1:11">
      <c r="A3981">
        <v>90</v>
      </c>
      <c r="B3981" t="b">
        <v>0</v>
      </c>
      <c r="C3981" t="s">
        <v>45680</v>
      </c>
      <c r="D3981">
        <v>1037022454355</v>
      </c>
      <c r="E3981">
        <v>1</v>
      </c>
      <c r="F3981">
        <v>6156843185</v>
      </c>
      <c r="G3981">
        <v>599900</v>
      </c>
      <c r="H3981" t="s">
        <v>40293</v>
      </c>
      <c r="I3981">
        <v>26929</v>
      </c>
      <c r="J3981">
        <v>7</v>
      </c>
      <c r="K3981">
        <v>10</v>
      </c>
    </row>
    <row r="3982" spans="1:11">
      <c r="A3982">
        <v>90</v>
      </c>
      <c r="B3982" t="b">
        <v>0</v>
      </c>
      <c r="C3982" t="s">
        <v>46054</v>
      </c>
      <c r="D3982">
        <v>1037022454355</v>
      </c>
      <c r="E3982">
        <v>1</v>
      </c>
      <c r="F3982">
        <v>6155644992</v>
      </c>
      <c r="G3982">
        <v>3305000</v>
      </c>
      <c r="H3982" t="s">
        <v>40293</v>
      </c>
      <c r="I3982">
        <v>26931</v>
      </c>
      <c r="J3982">
        <v>28</v>
      </c>
      <c r="K3982">
        <v>30</v>
      </c>
    </row>
    <row r="3983" spans="1:11">
      <c r="A3983">
        <v>90</v>
      </c>
      <c r="B3983" t="b">
        <v>0</v>
      </c>
      <c r="C3983" t="s">
        <v>45080</v>
      </c>
      <c r="D3983">
        <v>1037022454355</v>
      </c>
      <c r="E3983">
        <v>1</v>
      </c>
      <c r="F3983">
        <v>6156662141</v>
      </c>
      <c r="G3983">
        <v>1600000</v>
      </c>
      <c r="H3983" t="s">
        <v>40293</v>
      </c>
      <c r="I3983">
        <v>26931</v>
      </c>
      <c r="J3983">
        <v>17</v>
      </c>
      <c r="K3983">
        <v>21</v>
      </c>
    </row>
    <row r="3984" spans="1:11">
      <c r="A3984">
        <v>90</v>
      </c>
      <c r="B3984" t="b">
        <v>0</v>
      </c>
      <c r="C3984" t="s">
        <v>44325</v>
      </c>
      <c r="D3984">
        <v>1037022454355</v>
      </c>
      <c r="E3984">
        <v>1</v>
      </c>
      <c r="F3984">
        <v>6153596234</v>
      </c>
      <c r="G3984">
        <v>966000</v>
      </c>
      <c r="H3984" t="s">
        <v>40293</v>
      </c>
      <c r="I3984">
        <v>27072</v>
      </c>
      <c r="J3984">
        <v>52</v>
      </c>
      <c r="K3984">
        <v>52</v>
      </c>
    </row>
    <row r="3985" spans="1:11">
      <c r="A3985">
        <v>90</v>
      </c>
      <c r="B3985" t="b">
        <v>0</v>
      </c>
      <c r="C3985" t="s">
        <v>46160</v>
      </c>
      <c r="D3985">
        <v>1037022454355</v>
      </c>
      <c r="E3985">
        <v>1</v>
      </c>
      <c r="F3985">
        <v>6153595787</v>
      </c>
      <c r="G3985">
        <v>1181000</v>
      </c>
      <c r="H3985" t="s">
        <v>40293</v>
      </c>
      <c r="I3985">
        <v>27074</v>
      </c>
      <c r="J3985">
        <v>32</v>
      </c>
      <c r="K3985">
        <v>32</v>
      </c>
    </row>
    <row r="3986" spans="1:11">
      <c r="A3986">
        <v>90</v>
      </c>
      <c r="B3986" t="b">
        <v>0</v>
      </c>
      <c r="C3986" t="s">
        <v>41230</v>
      </c>
      <c r="D3986">
        <v>1037022454355</v>
      </c>
      <c r="E3986">
        <v>1</v>
      </c>
      <c r="F3986">
        <v>6089298099</v>
      </c>
      <c r="G3986">
        <v>699000</v>
      </c>
      <c r="H3986" t="s">
        <v>40293</v>
      </c>
      <c r="I3986">
        <v>27076</v>
      </c>
      <c r="J3986">
        <v>36</v>
      </c>
      <c r="K3986">
        <v>37</v>
      </c>
    </row>
    <row r="3987" spans="1:11">
      <c r="A3987">
        <v>90</v>
      </c>
      <c r="B3987" t="b">
        <v>0</v>
      </c>
      <c r="C3987" t="s">
        <v>41230</v>
      </c>
      <c r="D3987">
        <v>1037022454355</v>
      </c>
      <c r="E3987">
        <v>1</v>
      </c>
      <c r="F3987">
        <v>6089298101</v>
      </c>
      <c r="G3987">
        <v>799000</v>
      </c>
      <c r="H3987" t="s">
        <v>40293</v>
      </c>
      <c r="I3987">
        <v>27083</v>
      </c>
      <c r="J3987">
        <v>14</v>
      </c>
      <c r="K3987">
        <v>16</v>
      </c>
    </row>
    <row r="3988" spans="1:11">
      <c r="A3988">
        <v>90</v>
      </c>
      <c r="B3988" t="b">
        <v>0</v>
      </c>
      <c r="C3988" t="s">
        <v>41479</v>
      </c>
      <c r="D3988">
        <v>1037022454355</v>
      </c>
      <c r="E3988">
        <v>1</v>
      </c>
      <c r="F3988">
        <v>6087108183</v>
      </c>
      <c r="G3988">
        <v>1090000</v>
      </c>
      <c r="H3988" t="s">
        <v>40293</v>
      </c>
      <c r="I3988">
        <v>27091</v>
      </c>
      <c r="J3988">
        <v>11</v>
      </c>
      <c r="K3988">
        <v>22</v>
      </c>
    </row>
    <row r="3989" spans="1:11">
      <c r="A3989">
        <v>90</v>
      </c>
      <c r="B3989" t="b">
        <v>0</v>
      </c>
      <c r="C3989" t="s">
        <v>41230</v>
      </c>
      <c r="D3989">
        <v>1037022454355</v>
      </c>
      <c r="E3989">
        <v>1</v>
      </c>
      <c r="F3989">
        <v>6089298102</v>
      </c>
      <c r="G3989">
        <v>1090000</v>
      </c>
      <c r="H3989" t="s">
        <v>40293</v>
      </c>
      <c r="I3989">
        <v>27092</v>
      </c>
      <c r="J3989">
        <v>20</v>
      </c>
      <c r="K3989">
        <v>22</v>
      </c>
    </row>
    <row r="3990" spans="1:11">
      <c r="A3990">
        <v>90</v>
      </c>
      <c r="B3990" t="b">
        <v>0</v>
      </c>
      <c r="C3990" t="s">
        <v>41382</v>
      </c>
      <c r="D3990">
        <v>1037022454355</v>
      </c>
      <c r="E3990">
        <v>1</v>
      </c>
      <c r="F3990">
        <v>6081502159</v>
      </c>
      <c r="G3990">
        <v>1080000</v>
      </c>
      <c r="H3990" t="s">
        <v>40293</v>
      </c>
      <c r="I3990">
        <v>27092</v>
      </c>
      <c r="J3990">
        <v>11</v>
      </c>
      <c r="K3990">
        <v>12</v>
      </c>
    </row>
    <row r="3991" spans="1:11">
      <c r="A3991">
        <v>90</v>
      </c>
      <c r="B3991" t="b">
        <v>0</v>
      </c>
      <c r="C3991" t="s">
        <v>42204</v>
      </c>
      <c r="D3991">
        <v>1037022454355</v>
      </c>
      <c r="E3991">
        <v>1</v>
      </c>
      <c r="F3991">
        <v>6074563455</v>
      </c>
      <c r="G3991">
        <v>1079000</v>
      </c>
      <c r="H3991" t="s">
        <v>40293</v>
      </c>
      <c r="I3991">
        <v>27092</v>
      </c>
      <c r="J3991">
        <v>1</v>
      </c>
      <c r="K3991">
        <v>2</v>
      </c>
    </row>
    <row r="3992" spans="1:11">
      <c r="A3992">
        <v>90</v>
      </c>
      <c r="B3992" t="b">
        <v>0</v>
      </c>
      <c r="C3992" t="s">
        <v>43605</v>
      </c>
      <c r="D3992">
        <v>1037022454355</v>
      </c>
      <c r="E3992">
        <v>1</v>
      </c>
      <c r="F3992">
        <v>6143004984</v>
      </c>
      <c r="G3992">
        <v>1070000</v>
      </c>
      <c r="H3992" t="s">
        <v>40293</v>
      </c>
      <c r="I3992">
        <v>27092</v>
      </c>
      <c r="J3992">
        <v>18</v>
      </c>
      <c r="K3992">
        <v>20</v>
      </c>
    </row>
    <row r="3993" spans="1:11">
      <c r="A3993">
        <v>90</v>
      </c>
      <c r="B3993" t="b">
        <v>0</v>
      </c>
      <c r="C3993" t="s">
        <v>43407</v>
      </c>
      <c r="D3993">
        <v>1037022454355</v>
      </c>
      <c r="E3993">
        <v>1</v>
      </c>
      <c r="F3993">
        <v>6142474710</v>
      </c>
      <c r="G3993">
        <v>1200000</v>
      </c>
      <c r="H3993" t="s">
        <v>40293</v>
      </c>
      <c r="I3993">
        <v>27094</v>
      </c>
      <c r="J3993">
        <v>1</v>
      </c>
      <c r="K3993">
        <v>5</v>
      </c>
    </row>
    <row r="3994" spans="1:11">
      <c r="A3994">
        <v>90</v>
      </c>
      <c r="B3994" t="b">
        <v>0</v>
      </c>
      <c r="C3994" t="s">
        <v>41230</v>
      </c>
      <c r="D3994">
        <v>1037022454355</v>
      </c>
      <c r="E3994">
        <v>1</v>
      </c>
      <c r="F3994">
        <v>6089298103</v>
      </c>
      <c r="G3994">
        <v>999000</v>
      </c>
      <c r="H3994" t="s">
        <v>40293</v>
      </c>
      <c r="I3994">
        <v>27095</v>
      </c>
      <c r="J3994">
        <v>2</v>
      </c>
      <c r="K3994">
        <v>6</v>
      </c>
    </row>
    <row r="3995" spans="1:11">
      <c r="A3995">
        <v>90</v>
      </c>
      <c r="B3995" t="b">
        <v>0</v>
      </c>
      <c r="C3995" t="s">
        <v>41481</v>
      </c>
      <c r="D3995">
        <v>1037022454355</v>
      </c>
      <c r="E3995">
        <v>1</v>
      </c>
      <c r="F3995">
        <v>6087108185</v>
      </c>
      <c r="G3995">
        <v>998000</v>
      </c>
      <c r="H3995" t="s">
        <v>40293</v>
      </c>
      <c r="I3995">
        <v>27095</v>
      </c>
      <c r="J3995">
        <v>25</v>
      </c>
      <c r="K3995">
        <v>33</v>
      </c>
    </row>
    <row r="3996" spans="1:11">
      <c r="A3996">
        <v>90</v>
      </c>
      <c r="B3996" t="b">
        <v>0</v>
      </c>
      <c r="C3996" t="s">
        <v>41361</v>
      </c>
      <c r="D3996">
        <v>1037022454355</v>
      </c>
      <c r="E3996">
        <v>1</v>
      </c>
      <c r="F3996">
        <v>6117743005</v>
      </c>
      <c r="G3996">
        <v>8000000</v>
      </c>
      <c r="H3996" t="s">
        <v>40293</v>
      </c>
      <c r="I3996">
        <v>27096</v>
      </c>
      <c r="J3996">
        <v>4</v>
      </c>
      <c r="K3996">
        <v>5</v>
      </c>
    </row>
    <row r="3997" spans="1:11">
      <c r="A3997">
        <v>90</v>
      </c>
      <c r="B3997" t="b">
        <v>0</v>
      </c>
      <c r="C3997" t="s">
        <v>41230</v>
      </c>
      <c r="D3997">
        <v>1037022454355</v>
      </c>
      <c r="E3997">
        <v>1</v>
      </c>
      <c r="F3997">
        <v>6089298106</v>
      </c>
      <c r="G3997">
        <v>1240000</v>
      </c>
      <c r="H3997" t="s">
        <v>40293</v>
      </c>
      <c r="I3997">
        <v>27099</v>
      </c>
      <c r="J3997">
        <v>15</v>
      </c>
      <c r="K3997">
        <v>18</v>
      </c>
    </row>
    <row r="3998" spans="1:11">
      <c r="A3998">
        <v>90</v>
      </c>
      <c r="B3998" t="b">
        <v>0</v>
      </c>
      <c r="C3998" t="s">
        <v>40726</v>
      </c>
      <c r="D3998">
        <v>1037022454355</v>
      </c>
      <c r="E3998">
        <v>1</v>
      </c>
      <c r="F3998">
        <v>6095275576</v>
      </c>
      <c r="G3998">
        <v>912000</v>
      </c>
      <c r="H3998" t="s">
        <v>40293</v>
      </c>
      <c r="I3998">
        <v>27099</v>
      </c>
      <c r="J3998">
        <v>107</v>
      </c>
      <c r="K3998">
        <v>112</v>
      </c>
    </row>
    <row r="3999" spans="1:11">
      <c r="A3999">
        <v>90</v>
      </c>
      <c r="B3999" t="b">
        <v>0</v>
      </c>
      <c r="C3999" t="s">
        <v>41385</v>
      </c>
      <c r="D3999">
        <v>1037022454355</v>
      </c>
      <c r="E3999">
        <v>1</v>
      </c>
      <c r="F3999">
        <v>6081502162</v>
      </c>
      <c r="G3999">
        <v>911900</v>
      </c>
      <c r="H3999" t="s">
        <v>40293</v>
      </c>
      <c r="I3999">
        <v>27099</v>
      </c>
      <c r="J3999">
        <v>23</v>
      </c>
      <c r="K3999">
        <v>28</v>
      </c>
    </row>
    <row r="4000" spans="1:11">
      <c r="A4000">
        <v>90</v>
      </c>
      <c r="B4000" t="b">
        <v>0</v>
      </c>
      <c r="C4000" t="s">
        <v>43407</v>
      </c>
      <c r="D4000">
        <v>1037022454355</v>
      </c>
      <c r="E4000">
        <v>1</v>
      </c>
      <c r="F4000">
        <v>6142474711</v>
      </c>
      <c r="G4000">
        <v>850000</v>
      </c>
      <c r="H4000" t="s">
        <v>40293</v>
      </c>
      <c r="I4000">
        <v>27099</v>
      </c>
      <c r="J4000">
        <v>5</v>
      </c>
      <c r="K4000">
        <v>5</v>
      </c>
    </row>
    <row r="4001" spans="1:11">
      <c r="A4001">
        <v>90</v>
      </c>
      <c r="B4001" t="b">
        <v>0</v>
      </c>
      <c r="C4001" t="s">
        <v>42358</v>
      </c>
      <c r="D4001">
        <v>1037022454355</v>
      </c>
      <c r="E4001">
        <v>1</v>
      </c>
      <c r="F4001">
        <v>6132077445</v>
      </c>
      <c r="G4001">
        <v>850000</v>
      </c>
      <c r="H4001" t="s">
        <v>40293</v>
      </c>
      <c r="I4001">
        <v>27099</v>
      </c>
      <c r="J4001">
        <v>36</v>
      </c>
      <c r="K4001">
        <v>40</v>
      </c>
    </row>
    <row r="4002" spans="1:11">
      <c r="A4002">
        <v>90</v>
      </c>
      <c r="B4002" t="b">
        <v>0</v>
      </c>
      <c r="C4002" t="s">
        <v>43349</v>
      </c>
      <c r="D4002">
        <v>1037022454355</v>
      </c>
      <c r="E4002">
        <v>1</v>
      </c>
      <c r="F4002">
        <v>6074610491</v>
      </c>
      <c r="G4002">
        <v>1201000</v>
      </c>
      <c r="H4002" t="s">
        <v>40293</v>
      </c>
      <c r="I4002">
        <v>27102</v>
      </c>
      <c r="J4002">
        <v>111</v>
      </c>
      <c r="K4002">
        <v>155</v>
      </c>
    </row>
    <row r="4003" spans="1:11">
      <c r="A4003">
        <v>90</v>
      </c>
      <c r="B4003" t="b">
        <v>0</v>
      </c>
      <c r="C4003" t="s">
        <v>42155</v>
      </c>
      <c r="D4003">
        <v>1037022454355</v>
      </c>
      <c r="E4003">
        <v>1</v>
      </c>
      <c r="F4003">
        <v>6131765112</v>
      </c>
      <c r="G4003">
        <v>1050000</v>
      </c>
      <c r="H4003" t="s">
        <v>40293</v>
      </c>
      <c r="I4003">
        <v>27102</v>
      </c>
      <c r="J4003">
        <v>14</v>
      </c>
      <c r="K4003">
        <v>20</v>
      </c>
    </row>
    <row r="4004" spans="1:11">
      <c r="A4004">
        <v>90</v>
      </c>
      <c r="B4004" t="b">
        <v>0</v>
      </c>
      <c r="C4004" t="s">
        <v>44359</v>
      </c>
      <c r="D4004">
        <v>1037022454355</v>
      </c>
      <c r="E4004">
        <v>1</v>
      </c>
      <c r="F4004">
        <v>6152720820</v>
      </c>
      <c r="G4004">
        <v>499000</v>
      </c>
      <c r="H4004" t="s">
        <v>40293</v>
      </c>
      <c r="I4004">
        <v>27102</v>
      </c>
      <c r="J4004">
        <v>100</v>
      </c>
      <c r="K4004">
        <v>100</v>
      </c>
    </row>
    <row r="4005" spans="1:11">
      <c r="A4005">
        <v>90</v>
      </c>
      <c r="B4005" t="b">
        <v>0</v>
      </c>
      <c r="C4005" t="s">
        <v>44385</v>
      </c>
      <c r="D4005">
        <v>1037022454355</v>
      </c>
      <c r="E4005">
        <v>1</v>
      </c>
      <c r="F4005">
        <v>6152721168</v>
      </c>
      <c r="G4005">
        <v>499000</v>
      </c>
      <c r="H4005" t="s">
        <v>40293</v>
      </c>
      <c r="I4005">
        <v>27103</v>
      </c>
      <c r="J4005">
        <v>97</v>
      </c>
      <c r="K4005">
        <v>100</v>
      </c>
    </row>
    <row r="4006" spans="1:11">
      <c r="A4006">
        <v>90</v>
      </c>
      <c r="B4006" t="b">
        <v>0</v>
      </c>
      <c r="C4006" t="s">
        <v>41625</v>
      </c>
      <c r="D4006">
        <v>1037022454355</v>
      </c>
      <c r="E4006">
        <v>1</v>
      </c>
      <c r="F4006">
        <v>6106837974</v>
      </c>
      <c r="G4006">
        <v>28500000</v>
      </c>
      <c r="H4006" t="s">
        <v>40293</v>
      </c>
      <c r="I4006">
        <v>27108</v>
      </c>
      <c r="J4006">
        <v>4</v>
      </c>
      <c r="K4006">
        <v>5</v>
      </c>
    </row>
    <row r="4007" spans="1:11">
      <c r="A4007">
        <v>90</v>
      </c>
      <c r="B4007" t="b">
        <v>0</v>
      </c>
      <c r="C4007" t="s">
        <v>41619</v>
      </c>
      <c r="D4007">
        <v>1037022454355</v>
      </c>
      <c r="E4007">
        <v>1</v>
      </c>
      <c r="F4007">
        <v>6106837830</v>
      </c>
      <c r="G4007">
        <v>28500000</v>
      </c>
      <c r="H4007" t="s">
        <v>40293</v>
      </c>
      <c r="I4007">
        <v>27109</v>
      </c>
      <c r="J4007">
        <v>1</v>
      </c>
      <c r="K4007">
        <v>5</v>
      </c>
    </row>
    <row r="4008" spans="1:11">
      <c r="A4008">
        <v>90</v>
      </c>
      <c r="B4008" t="b">
        <v>0</v>
      </c>
      <c r="C4008" t="s">
        <v>44996</v>
      </c>
      <c r="D4008">
        <v>1037022454355</v>
      </c>
      <c r="E4008">
        <v>1</v>
      </c>
      <c r="F4008">
        <v>6155710838</v>
      </c>
      <c r="G4008">
        <v>3003000</v>
      </c>
      <c r="H4008" t="s">
        <v>40293</v>
      </c>
      <c r="I4008">
        <v>27115</v>
      </c>
      <c r="J4008">
        <v>13</v>
      </c>
      <c r="K4008">
        <v>13</v>
      </c>
    </row>
    <row r="4009" spans="1:11">
      <c r="A4009">
        <v>90</v>
      </c>
      <c r="B4009" t="b">
        <v>0</v>
      </c>
      <c r="C4009" t="s">
        <v>41531</v>
      </c>
      <c r="D4009">
        <v>1037022454355</v>
      </c>
      <c r="E4009">
        <v>1</v>
      </c>
      <c r="F4009">
        <v>6114732771</v>
      </c>
      <c r="G4009">
        <v>3002000</v>
      </c>
      <c r="H4009" t="s">
        <v>40293</v>
      </c>
      <c r="I4009">
        <v>27115</v>
      </c>
      <c r="J4009">
        <v>2</v>
      </c>
      <c r="K4009">
        <v>6</v>
      </c>
    </row>
    <row r="4010" spans="1:11">
      <c r="A4010">
        <v>90</v>
      </c>
      <c r="B4010" t="b">
        <v>0</v>
      </c>
      <c r="C4010" t="s">
        <v>45304</v>
      </c>
      <c r="D4010">
        <v>1037022454355</v>
      </c>
      <c r="E4010">
        <v>1</v>
      </c>
      <c r="F4010">
        <v>6156116059</v>
      </c>
      <c r="G4010">
        <v>229900000</v>
      </c>
      <c r="H4010" t="s">
        <v>40293</v>
      </c>
      <c r="I4010">
        <v>27116</v>
      </c>
      <c r="J4010">
        <v>3</v>
      </c>
      <c r="K4010">
        <v>3</v>
      </c>
    </row>
    <row r="4011" spans="1:11">
      <c r="A4011">
        <v>90</v>
      </c>
      <c r="B4011" t="b">
        <v>0</v>
      </c>
      <c r="C4011" t="s">
        <v>46091</v>
      </c>
      <c r="D4011">
        <v>1037022454355</v>
      </c>
      <c r="E4011">
        <v>1</v>
      </c>
      <c r="F4011">
        <v>6156117884</v>
      </c>
      <c r="G4011">
        <v>229900000</v>
      </c>
      <c r="H4011" t="s">
        <v>40293</v>
      </c>
      <c r="I4011">
        <v>27118</v>
      </c>
      <c r="J4011">
        <v>3</v>
      </c>
      <c r="K4011">
        <v>3</v>
      </c>
    </row>
    <row r="4012" spans="1:11">
      <c r="A4012">
        <v>90</v>
      </c>
      <c r="B4012" t="b">
        <v>0</v>
      </c>
      <c r="C4012" t="s">
        <v>41380</v>
      </c>
      <c r="D4012">
        <v>1037022454355</v>
      </c>
      <c r="E4012">
        <v>1</v>
      </c>
      <c r="F4012">
        <v>6081502155</v>
      </c>
      <c r="G4012">
        <v>1090000</v>
      </c>
      <c r="H4012" t="s">
        <v>40293</v>
      </c>
      <c r="I4012">
        <v>27119</v>
      </c>
      <c r="J4012">
        <v>2</v>
      </c>
      <c r="K4012">
        <v>26</v>
      </c>
    </row>
    <row r="4013" spans="1:11">
      <c r="A4013">
        <v>90</v>
      </c>
      <c r="B4013" t="b">
        <v>0</v>
      </c>
      <c r="C4013" t="s">
        <v>46091</v>
      </c>
      <c r="D4013">
        <v>1037022454355</v>
      </c>
      <c r="E4013">
        <v>1</v>
      </c>
      <c r="F4013">
        <v>6156117885</v>
      </c>
      <c r="G4013">
        <v>229900000</v>
      </c>
      <c r="H4013" t="s">
        <v>40293</v>
      </c>
      <c r="I4013">
        <v>27126</v>
      </c>
      <c r="J4013">
        <v>3</v>
      </c>
      <c r="K4013">
        <v>3</v>
      </c>
    </row>
    <row r="4014" spans="1:11">
      <c r="A4014">
        <v>90</v>
      </c>
      <c r="B4014" t="b">
        <v>0</v>
      </c>
      <c r="C4014" t="s">
        <v>41230</v>
      </c>
      <c r="D4014">
        <v>1037022454355</v>
      </c>
      <c r="E4014">
        <v>1</v>
      </c>
      <c r="F4014">
        <v>6089298098</v>
      </c>
      <c r="G4014">
        <v>1290000</v>
      </c>
      <c r="H4014" t="s">
        <v>40293</v>
      </c>
      <c r="I4014">
        <v>27127</v>
      </c>
      <c r="J4014">
        <v>39</v>
      </c>
      <c r="K4014">
        <v>40</v>
      </c>
    </row>
    <row r="4015" spans="1:11">
      <c r="A4015">
        <v>90</v>
      </c>
      <c r="B4015" t="b">
        <v>0</v>
      </c>
      <c r="C4015" t="s">
        <v>41636</v>
      </c>
      <c r="D4015">
        <v>1037022454355</v>
      </c>
      <c r="E4015">
        <v>1</v>
      </c>
      <c r="F4015">
        <v>6089438439</v>
      </c>
      <c r="G4015">
        <v>1290000</v>
      </c>
      <c r="H4015" t="s">
        <v>40293</v>
      </c>
      <c r="I4015">
        <v>27127</v>
      </c>
      <c r="J4015">
        <v>15</v>
      </c>
      <c r="K4015">
        <v>15</v>
      </c>
    </row>
    <row r="4016" spans="1:11">
      <c r="A4016">
        <v>90</v>
      </c>
      <c r="B4016" t="b">
        <v>0</v>
      </c>
      <c r="C4016" t="s">
        <v>41270</v>
      </c>
      <c r="D4016">
        <v>1037022454355</v>
      </c>
      <c r="E4016">
        <v>1</v>
      </c>
      <c r="F4016">
        <v>6076184720</v>
      </c>
      <c r="G4016">
        <v>1288000</v>
      </c>
      <c r="H4016" t="s">
        <v>40293</v>
      </c>
      <c r="I4016">
        <v>27127</v>
      </c>
      <c r="J4016">
        <v>6</v>
      </c>
      <c r="K4016">
        <v>9</v>
      </c>
    </row>
    <row r="4017" spans="1:11">
      <c r="A4017">
        <v>90</v>
      </c>
      <c r="B4017" t="b">
        <v>0</v>
      </c>
      <c r="C4017" t="s">
        <v>41381</v>
      </c>
      <c r="D4017">
        <v>1037022454355</v>
      </c>
      <c r="E4017">
        <v>1</v>
      </c>
      <c r="F4017">
        <v>6081502157</v>
      </c>
      <c r="G4017">
        <v>1285000</v>
      </c>
      <c r="H4017" t="s">
        <v>40293</v>
      </c>
      <c r="I4017">
        <v>27127</v>
      </c>
      <c r="J4017">
        <v>46</v>
      </c>
      <c r="K4017">
        <v>46</v>
      </c>
    </row>
    <row r="4018" spans="1:11">
      <c r="A4018">
        <v>90</v>
      </c>
      <c r="B4018" t="b">
        <v>0</v>
      </c>
      <c r="C4018" t="s">
        <v>41511</v>
      </c>
      <c r="D4018">
        <v>1037022454355</v>
      </c>
      <c r="E4018">
        <v>1</v>
      </c>
      <c r="F4018">
        <v>6097365183</v>
      </c>
      <c r="G4018">
        <v>1284000</v>
      </c>
      <c r="H4018" t="s">
        <v>40293</v>
      </c>
      <c r="I4018">
        <v>27127</v>
      </c>
      <c r="J4018">
        <v>3</v>
      </c>
      <c r="K4018">
        <v>25</v>
      </c>
    </row>
    <row r="4019" spans="1:11">
      <c r="A4019">
        <v>90</v>
      </c>
      <c r="B4019" t="b">
        <v>0</v>
      </c>
      <c r="C4019" t="s">
        <v>40530</v>
      </c>
      <c r="D4019">
        <v>1037022454355</v>
      </c>
      <c r="E4019">
        <v>1</v>
      </c>
      <c r="F4019">
        <v>6108517935</v>
      </c>
      <c r="G4019">
        <v>870000</v>
      </c>
      <c r="H4019" t="s">
        <v>40293</v>
      </c>
      <c r="I4019">
        <v>27127</v>
      </c>
      <c r="J4019">
        <v>33</v>
      </c>
      <c r="K4019">
        <v>159</v>
      </c>
    </row>
    <row r="4020" spans="1:11">
      <c r="A4020">
        <v>90</v>
      </c>
      <c r="B4020" t="b">
        <v>0</v>
      </c>
      <c r="C4020" t="s">
        <v>40916</v>
      </c>
      <c r="D4020">
        <v>1037022454355</v>
      </c>
      <c r="E4020">
        <v>1</v>
      </c>
      <c r="F4020">
        <v>6117930888</v>
      </c>
      <c r="G4020">
        <v>2500000</v>
      </c>
      <c r="H4020" t="s">
        <v>40293</v>
      </c>
      <c r="I4020">
        <v>27131</v>
      </c>
      <c r="J4020">
        <v>1</v>
      </c>
      <c r="K4020">
        <v>6</v>
      </c>
    </row>
    <row r="4021" spans="1:11">
      <c r="A4021">
        <v>90</v>
      </c>
      <c r="B4021" t="b">
        <v>0</v>
      </c>
      <c r="C4021" t="s">
        <v>46091</v>
      </c>
      <c r="D4021">
        <v>1037022454355</v>
      </c>
      <c r="E4021">
        <v>1</v>
      </c>
      <c r="F4021">
        <v>6156117886</v>
      </c>
      <c r="G4021">
        <v>229900000</v>
      </c>
      <c r="H4021" t="s">
        <v>40293</v>
      </c>
      <c r="I4021">
        <v>27142</v>
      </c>
      <c r="J4021">
        <v>3</v>
      </c>
      <c r="K4021">
        <v>3</v>
      </c>
    </row>
    <row r="4022" spans="1:11">
      <c r="A4022">
        <v>90</v>
      </c>
      <c r="B4022" t="b">
        <v>0</v>
      </c>
      <c r="C4022" t="s">
        <v>41635</v>
      </c>
      <c r="D4022">
        <v>1037022454355</v>
      </c>
      <c r="E4022">
        <v>1</v>
      </c>
      <c r="F4022">
        <v>6108517231</v>
      </c>
      <c r="G4022">
        <v>900000</v>
      </c>
      <c r="H4022" t="s">
        <v>40293</v>
      </c>
      <c r="I4022">
        <v>27143</v>
      </c>
      <c r="J4022">
        <v>74</v>
      </c>
      <c r="K4022">
        <v>80</v>
      </c>
    </row>
    <row r="4023" spans="1:11">
      <c r="A4023">
        <v>90</v>
      </c>
      <c r="B4023" t="b">
        <v>0</v>
      </c>
      <c r="C4023" t="s">
        <v>40741</v>
      </c>
      <c r="D4023">
        <v>1037022454355</v>
      </c>
      <c r="E4023">
        <v>1</v>
      </c>
      <c r="F4023">
        <v>6081502158</v>
      </c>
      <c r="G4023">
        <v>899000</v>
      </c>
      <c r="H4023" t="s">
        <v>40293</v>
      </c>
      <c r="I4023">
        <v>27143</v>
      </c>
      <c r="J4023">
        <v>4</v>
      </c>
      <c r="K4023">
        <v>62</v>
      </c>
    </row>
    <row r="4024" spans="1:11">
      <c r="A4024">
        <v>90</v>
      </c>
      <c r="B4024" t="b">
        <v>0</v>
      </c>
      <c r="C4024" t="s">
        <v>41981</v>
      </c>
      <c r="D4024">
        <v>1037022454355</v>
      </c>
      <c r="E4024">
        <v>1</v>
      </c>
      <c r="F4024">
        <v>6067287172</v>
      </c>
      <c r="G4024">
        <v>898900</v>
      </c>
      <c r="H4024" t="s">
        <v>40293</v>
      </c>
      <c r="I4024">
        <v>27143</v>
      </c>
      <c r="J4024">
        <v>42</v>
      </c>
      <c r="K4024">
        <v>72</v>
      </c>
    </row>
    <row r="4025" spans="1:11">
      <c r="A4025">
        <v>90</v>
      </c>
      <c r="B4025" t="b">
        <v>0</v>
      </c>
      <c r="C4025" t="s">
        <v>45198</v>
      </c>
      <c r="D4025">
        <v>1037022454355</v>
      </c>
      <c r="E4025">
        <v>1</v>
      </c>
      <c r="F4025">
        <v>6150503366</v>
      </c>
      <c r="G4025">
        <v>895000</v>
      </c>
      <c r="H4025" t="s">
        <v>40293</v>
      </c>
      <c r="I4025">
        <v>27143</v>
      </c>
      <c r="J4025">
        <v>4</v>
      </c>
      <c r="K4025">
        <v>5</v>
      </c>
    </row>
    <row r="4026" spans="1:11">
      <c r="A4026">
        <v>90</v>
      </c>
      <c r="B4026" t="b">
        <v>0</v>
      </c>
      <c r="C4026" t="s">
        <v>45220</v>
      </c>
      <c r="D4026">
        <v>1037022454355</v>
      </c>
      <c r="E4026">
        <v>1</v>
      </c>
      <c r="F4026">
        <v>6145654090</v>
      </c>
      <c r="G4026">
        <v>894900</v>
      </c>
      <c r="H4026" t="s">
        <v>40293</v>
      </c>
      <c r="I4026">
        <v>27143</v>
      </c>
      <c r="J4026">
        <v>12</v>
      </c>
      <c r="K4026">
        <v>25</v>
      </c>
    </row>
    <row r="4027" spans="1:11">
      <c r="A4027">
        <v>90</v>
      </c>
      <c r="B4027" t="b">
        <v>0</v>
      </c>
      <c r="C4027" t="s">
        <v>41524</v>
      </c>
      <c r="D4027">
        <v>1037022454355</v>
      </c>
      <c r="E4027">
        <v>1</v>
      </c>
      <c r="F4027">
        <v>6121679404</v>
      </c>
      <c r="G4027">
        <v>30000000</v>
      </c>
      <c r="H4027" t="s">
        <v>40293</v>
      </c>
      <c r="I4027">
        <v>27149</v>
      </c>
      <c r="J4027">
        <v>3</v>
      </c>
      <c r="K4027">
        <v>3</v>
      </c>
    </row>
    <row r="4028" spans="1:11">
      <c r="A4028">
        <v>90</v>
      </c>
      <c r="B4028" t="b">
        <v>0</v>
      </c>
      <c r="C4028" t="s">
        <v>41386</v>
      </c>
      <c r="D4028">
        <v>1037022454355</v>
      </c>
      <c r="E4028">
        <v>1</v>
      </c>
      <c r="F4028">
        <v>6081502163</v>
      </c>
      <c r="G4028">
        <v>779500</v>
      </c>
      <c r="H4028" t="s">
        <v>40293</v>
      </c>
      <c r="I4028">
        <v>27170</v>
      </c>
      <c r="J4028">
        <v>39</v>
      </c>
      <c r="K4028">
        <v>42</v>
      </c>
    </row>
    <row r="4029" spans="1:11">
      <c r="A4029">
        <v>90</v>
      </c>
      <c r="B4029" t="b">
        <v>0</v>
      </c>
      <c r="C4029" t="s">
        <v>46543</v>
      </c>
      <c r="D4029">
        <v>1037022454355</v>
      </c>
      <c r="E4029">
        <v>1</v>
      </c>
      <c r="F4029">
        <v>6153633472</v>
      </c>
      <c r="G4029">
        <v>770000</v>
      </c>
      <c r="H4029" t="s">
        <v>40293</v>
      </c>
      <c r="I4029">
        <v>27170</v>
      </c>
      <c r="J4029">
        <v>14</v>
      </c>
      <c r="K4029">
        <v>14</v>
      </c>
    </row>
    <row r="4030" spans="1:11">
      <c r="A4030">
        <v>90</v>
      </c>
      <c r="B4030" t="b">
        <v>0</v>
      </c>
      <c r="C4030" t="s">
        <v>41183</v>
      </c>
      <c r="D4030">
        <v>1037022454355</v>
      </c>
      <c r="E4030">
        <v>1</v>
      </c>
      <c r="F4030">
        <v>6090509607</v>
      </c>
      <c r="G4030">
        <v>320000000</v>
      </c>
      <c r="H4030" t="s">
        <v>40293</v>
      </c>
      <c r="I4030">
        <v>27171</v>
      </c>
      <c r="J4030">
        <v>1</v>
      </c>
      <c r="K4030">
        <v>1</v>
      </c>
    </row>
    <row r="4031" spans="1:11">
      <c r="A4031">
        <v>90</v>
      </c>
      <c r="B4031" t="b">
        <v>0</v>
      </c>
      <c r="C4031" t="s">
        <v>41441</v>
      </c>
      <c r="D4031">
        <v>1037022454355</v>
      </c>
      <c r="E4031">
        <v>1</v>
      </c>
      <c r="F4031">
        <v>6067773871</v>
      </c>
      <c r="G4031">
        <v>39960000</v>
      </c>
      <c r="H4031" t="s">
        <v>40293</v>
      </c>
      <c r="I4031">
        <v>27186</v>
      </c>
      <c r="J4031">
        <v>14</v>
      </c>
      <c r="K4031">
        <v>14</v>
      </c>
    </row>
    <row r="4032" spans="1:11">
      <c r="A4032">
        <v>90</v>
      </c>
      <c r="B4032" t="b">
        <v>0</v>
      </c>
      <c r="C4032" t="s">
        <v>40514</v>
      </c>
      <c r="D4032">
        <v>1037022454355</v>
      </c>
      <c r="E4032">
        <v>1</v>
      </c>
      <c r="F4032">
        <v>6121680403</v>
      </c>
      <c r="G4032">
        <v>52000000</v>
      </c>
      <c r="H4032" t="s">
        <v>40293</v>
      </c>
      <c r="I4032">
        <v>27187</v>
      </c>
      <c r="J4032">
        <v>2</v>
      </c>
      <c r="K4032">
        <v>2</v>
      </c>
    </row>
    <row r="4033" spans="1:11">
      <c r="A4033">
        <v>90</v>
      </c>
      <c r="B4033" t="b">
        <v>0</v>
      </c>
      <c r="C4033" t="s">
        <v>42198</v>
      </c>
      <c r="D4033">
        <v>1037022454355</v>
      </c>
      <c r="E4033">
        <v>1</v>
      </c>
      <c r="F4033">
        <v>6067773774</v>
      </c>
      <c r="G4033">
        <v>42420000</v>
      </c>
      <c r="H4033" t="s">
        <v>40293</v>
      </c>
      <c r="I4033">
        <v>27187</v>
      </c>
      <c r="J4033">
        <v>1</v>
      </c>
      <c r="K4033">
        <v>5</v>
      </c>
    </row>
    <row r="4034" spans="1:11">
      <c r="A4034">
        <v>90</v>
      </c>
      <c r="B4034" t="b">
        <v>0</v>
      </c>
      <c r="C4034" t="s">
        <v>41448</v>
      </c>
      <c r="D4034">
        <v>1037022454355</v>
      </c>
      <c r="E4034">
        <v>1</v>
      </c>
      <c r="F4034">
        <v>6067774073</v>
      </c>
      <c r="G4034">
        <v>39990000</v>
      </c>
      <c r="H4034" t="s">
        <v>40293</v>
      </c>
      <c r="I4034">
        <v>27188</v>
      </c>
      <c r="J4034">
        <v>4</v>
      </c>
      <c r="K4034">
        <v>9</v>
      </c>
    </row>
    <row r="4035" spans="1:11">
      <c r="A4035">
        <v>90</v>
      </c>
      <c r="B4035" t="b">
        <v>0</v>
      </c>
      <c r="C4035" t="s">
        <v>41953</v>
      </c>
      <c r="D4035">
        <v>1037022454355</v>
      </c>
      <c r="E4035">
        <v>1</v>
      </c>
      <c r="F4035">
        <v>6129050961</v>
      </c>
      <c r="G4035">
        <v>220100000</v>
      </c>
      <c r="H4035" t="s">
        <v>40293</v>
      </c>
      <c r="I4035">
        <v>27190</v>
      </c>
      <c r="J4035">
        <v>2</v>
      </c>
      <c r="K4035">
        <v>2</v>
      </c>
    </row>
    <row r="4036" spans="1:11">
      <c r="A4036">
        <v>90</v>
      </c>
      <c r="B4036" t="b">
        <v>0</v>
      </c>
      <c r="C4036" t="s">
        <v>41925</v>
      </c>
      <c r="D4036">
        <v>1037022454355</v>
      </c>
      <c r="E4036">
        <v>1</v>
      </c>
      <c r="F4036">
        <v>6126064901</v>
      </c>
      <c r="G4036">
        <v>220000000</v>
      </c>
      <c r="H4036" t="s">
        <v>40293</v>
      </c>
      <c r="I4036">
        <v>27190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42189</v>
      </c>
      <c r="D4037">
        <v>1037022454355</v>
      </c>
      <c r="E4037">
        <v>1</v>
      </c>
      <c r="F4037">
        <v>6067772708</v>
      </c>
      <c r="G4037">
        <v>3001000</v>
      </c>
      <c r="H4037" t="s">
        <v>40293</v>
      </c>
      <c r="I4037">
        <v>27191</v>
      </c>
      <c r="J4037">
        <v>12</v>
      </c>
      <c r="K4037">
        <v>20</v>
      </c>
    </row>
    <row r="4038" spans="1:11">
      <c r="A4038">
        <v>90</v>
      </c>
      <c r="B4038" t="b">
        <v>0</v>
      </c>
      <c r="C4038" t="s">
        <v>41940</v>
      </c>
      <c r="D4038">
        <v>1037022454355</v>
      </c>
      <c r="E4038">
        <v>1</v>
      </c>
      <c r="F4038">
        <v>6129050832</v>
      </c>
      <c r="G4038">
        <v>220100000</v>
      </c>
      <c r="H4038" t="s">
        <v>40293</v>
      </c>
      <c r="I4038">
        <v>27192</v>
      </c>
      <c r="J4038">
        <v>2</v>
      </c>
      <c r="K4038">
        <v>2</v>
      </c>
    </row>
    <row r="4039" spans="1:11">
      <c r="A4039">
        <v>90</v>
      </c>
      <c r="B4039" t="b">
        <v>0</v>
      </c>
      <c r="C4039" t="s">
        <v>41923</v>
      </c>
      <c r="D4039">
        <v>1037022454355</v>
      </c>
      <c r="E4039">
        <v>1</v>
      </c>
      <c r="F4039">
        <v>6126064778</v>
      </c>
      <c r="G4039">
        <v>220000000</v>
      </c>
      <c r="H4039" t="s">
        <v>40293</v>
      </c>
      <c r="I4039">
        <v>27192</v>
      </c>
      <c r="J4039">
        <v>1</v>
      </c>
      <c r="K4039">
        <v>1</v>
      </c>
    </row>
    <row r="4040" spans="1:11">
      <c r="A4040">
        <v>90</v>
      </c>
      <c r="B4040" t="b">
        <v>0</v>
      </c>
      <c r="C4040" t="s">
        <v>42193</v>
      </c>
      <c r="D4040">
        <v>1037022454355</v>
      </c>
      <c r="E4040">
        <v>1</v>
      </c>
      <c r="F4040">
        <v>6067773003</v>
      </c>
      <c r="G4040">
        <v>3001000</v>
      </c>
      <c r="H4040" t="s">
        <v>40293</v>
      </c>
      <c r="I4040">
        <v>27193</v>
      </c>
      <c r="J4040">
        <v>12</v>
      </c>
      <c r="K4040">
        <v>20</v>
      </c>
    </row>
    <row r="4041" spans="1:11">
      <c r="A4041">
        <v>90</v>
      </c>
      <c r="B4041" t="b">
        <v>0</v>
      </c>
      <c r="C4041" t="s">
        <v>41951</v>
      </c>
      <c r="D4041">
        <v>1037022454355</v>
      </c>
      <c r="E4041">
        <v>1</v>
      </c>
      <c r="F4041">
        <v>6129050758</v>
      </c>
      <c r="G4041">
        <v>220000000</v>
      </c>
      <c r="H4041" t="s">
        <v>40293</v>
      </c>
      <c r="I4041">
        <v>27194</v>
      </c>
      <c r="J4041">
        <v>2</v>
      </c>
      <c r="K4041">
        <v>3</v>
      </c>
    </row>
    <row r="4042" spans="1:11">
      <c r="A4042">
        <v>90</v>
      </c>
      <c r="B4042" t="b">
        <v>0</v>
      </c>
      <c r="C4042" t="s">
        <v>42194</v>
      </c>
      <c r="D4042">
        <v>1037022454355</v>
      </c>
      <c r="E4042">
        <v>1</v>
      </c>
      <c r="F4042">
        <v>6067773173</v>
      </c>
      <c r="G4042">
        <v>3001000</v>
      </c>
      <c r="H4042" t="s">
        <v>40293</v>
      </c>
      <c r="I4042">
        <v>27195</v>
      </c>
      <c r="J4042">
        <v>12</v>
      </c>
      <c r="K4042">
        <v>20</v>
      </c>
    </row>
    <row r="4043" spans="1:11">
      <c r="A4043">
        <v>90</v>
      </c>
      <c r="B4043" t="b">
        <v>0</v>
      </c>
      <c r="C4043" t="s">
        <v>43053</v>
      </c>
      <c r="D4043">
        <v>1037022454355</v>
      </c>
      <c r="E4043">
        <v>1</v>
      </c>
      <c r="F4043">
        <v>6147241516</v>
      </c>
      <c r="G4043">
        <v>3000000</v>
      </c>
      <c r="H4043" t="s">
        <v>40293</v>
      </c>
      <c r="I4043">
        <v>27195</v>
      </c>
      <c r="J4043">
        <v>2</v>
      </c>
      <c r="K4043">
        <v>3</v>
      </c>
    </row>
    <row r="4044" spans="1:11">
      <c r="A4044">
        <v>90</v>
      </c>
      <c r="B4044" t="b">
        <v>0</v>
      </c>
      <c r="C4044" t="s">
        <v>40499</v>
      </c>
      <c r="D4044">
        <v>1037022454355</v>
      </c>
      <c r="E4044">
        <v>1</v>
      </c>
      <c r="F4044">
        <v>6121680347</v>
      </c>
      <c r="G4044">
        <v>47000000</v>
      </c>
      <c r="H4044" t="s">
        <v>40293</v>
      </c>
      <c r="I4044">
        <v>27196</v>
      </c>
      <c r="J4044">
        <v>2</v>
      </c>
      <c r="K4044">
        <v>2</v>
      </c>
    </row>
    <row r="4045" spans="1:11">
      <c r="A4045">
        <v>90</v>
      </c>
      <c r="B4045" t="b">
        <v>0</v>
      </c>
      <c r="C4045" t="s">
        <v>43507</v>
      </c>
      <c r="D4045">
        <v>1037022454355</v>
      </c>
      <c r="E4045">
        <v>1</v>
      </c>
      <c r="F4045">
        <v>6144804047</v>
      </c>
      <c r="G4045">
        <v>45000000</v>
      </c>
      <c r="H4045" t="s">
        <v>40293</v>
      </c>
      <c r="I4045">
        <v>27196</v>
      </c>
      <c r="J4045">
        <v>2</v>
      </c>
      <c r="K4045">
        <v>2</v>
      </c>
    </row>
    <row r="4046" spans="1:11">
      <c r="A4046">
        <v>90</v>
      </c>
      <c r="B4046" t="b">
        <v>0</v>
      </c>
      <c r="C4046" t="s">
        <v>41591</v>
      </c>
      <c r="D4046">
        <v>1037022454355</v>
      </c>
      <c r="E4046">
        <v>1</v>
      </c>
      <c r="F4046">
        <v>6121681028</v>
      </c>
      <c r="G4046">
        <v>50000000</v>
      </c>
      <c r="H4046" t="s">
        <v>40293</v>
      </c>
      <c r="I4046">
        <v>27197</v>
      </c>
      <c r="J4046">
        <v>2</v>
      </c>
      <c r="K4046">
        <v>2</v>
      </c>
    </row>
    <row r="4047" spans="1:11">
      <c r="A4047">
        <v>90</v>
      </c>
      <c r="B4047" t="b">
        <v>0</v>
      </c>
      <c r="C4047" t="s">
        <v>41514</v>
      </c>
      <c r="D4047">
        <v>1037022454355</v>
      </c>
      <c r="E4047">
        <v>1</v>
      </c>
      <c r="F4047">
        <v>6114502940</v>
      </c>
      <c r="G4047">
        <v>24440000</v>
      </c>
      <c r="H4047" t="s">
        <v>40293</v>
      </c>
      <c r="I4047">
        <v>27198</v>
      </c>
      <c r="J4047">
        <v>2</v>
      </c>
      <c r="K4047">
        <v>2</v>
      </c>
    </row>
    <row r="4048" spans="1:11">
      <c r="A4048">
        <v>90</v>
      </c>
      <c r="B4048" t="b">
        <v>0</v>
      </c>
      <c r="C4048" t="s">
        <v>41061</v>
      </c>
      <c r="D4048">
        <v>1037022454355</v>
      </c>
      <c r="E4048">
        <v>1</v>
      </c>
      <c r="F4048">
        <v>6100468681</v>
      </c>
      <c r="G4048">
        <v>23000000</v>
      </c>
      <c r="H4048" t="s">
        <v>40293</v>
      </c>
      <c r="I4048">
        <v>27198</v>
      </c>
      <c r="J4048">
        <v>1</v>
      </c>
      <c r="K4048">
        <v>1</v>
      </c>
    </row>
    <row r="4049" spans="1:11">
      <c r="A4049">
        <v>90</v>
      </c>
      <c r="B4049" t="b">
        <v>0</v>
      </c>
      <c r="C4049" t="s">
        <v>41601</v>
      </c>
      <c r="D4049">
        <v>1037022454355</v>
      </c>
      <c r="E4049">
        <v>1</v>
      </c>
      <c r="F4049">
        <v>6121681202</v>
      </c>
      <c r="G4049">
        <v>22500000</v>
      </c>
      <c r="H4049" t="s">
        <v>40293</v>
      </c>
      <c r="I4049">
        <v>27198</v>
      </c>
      <c r="J4049">
        <v>1</v>
      </c>
      <c r="K4049">
        <v>1</v>
      </c>
    </row>
    <row r="4050" spans="1:11">
      <c r="A4050">
        <v>90</v>
      </c>
      <c r="B4050" t="b">
        <v>0</v>
      </c>
      <c r="C4050" t="s">
        <v>43485</v>
      </c>
      <c r="D4050">
        <v>1037022454355</v>
      </c>
      <c r="E4050">
        <v>1</v>
      </c>
      <c r="F4050">
        <v>6144803496</v>
      </c>
      <c r="G4050">
        <v>22400000</v>
      </c>
      <c r="H4050" t="s">
        <v>40293</v>
      </c>
      <c r="I4050">
        <v>27198</v>
      </c>
      <c r="J4050">
        <v>2</v>
      </c>
      <c r="K4050">
        <v>2</v>
      </c>
    </row>
    <row r="4051" spans="1:11">
      <c r="A4051">
        <v>90</v>
      </c>
      <c r="B4051" t="b">
        <v>0</v>
      </c>
      <c r="C4051" t="s">
        <v>41514</v>
      </c>
      <c r="D4051">
        <v>1037022454355</v>
      </c>
      <c r="E4051">
        <v>1</v>
      </c>
      <c r="F4051">
        <v>6114502939</v>
      </c>
      <c r="G4051">
        <v>21700000</v>
      </c>
      <c r="H4051" t="s">
        <v>40293</v>
      </c>
      <c r="I4051">
        <v>27238</v>
      </c>
      <c r="J4051">
        <v>2</v>
      </c>
      <c r="K4051">
        <v>2</v>
      </c>
    </row>
    <row r="4052" spans="1:11">
      <c r="A4052">
        <v>90</v>
      </c>
      <c r="B4052" t="b">
        <v>0</v>
      </c>
      <c r="C4052" t="s">
        <v>40743</v>
      </c>
      <c r="D4052">
        <v>1037022454355</v>
      </c>
      <c r="E4052">
        <v>1</v>
      </c>
      <c r="F4052">
        <v>6081502164</v>
      </c>
      <c r="G4052">
        <v>998000</v>
      </c>
      <c r="H4052" t="s">
        <v>40293</v>
      </c>
      <c r="I4052">
        <v>27240</v>
      </c>
      <c r="J4052">
        <v>52</v>
      </c>
      <c r="K4052">
        <v>52</v>
      </c>
    </row>
    <row r="4053" spans="1:11">
      <c r="A4053">
        <v>90</v>
      </c>
      <c r="B4053" t="b">
        <v>0</v>
      </c>
      <c r="C4053" t="s">
        <v>44338</v>
      </c>
      <c r="D4053">
        <v>1037022454355</v>
      </c>
      <c r="E4053">
        <v>1</v>
      </c>
      <c r="F4053">
        <v>6152720462</v>
      </c>
      <c r="G4053">
        <v>499000</v>
      </c>
      <c r="H4053" t="s">
        <v>40293</v>
      </c>
      <c r="I4053">
        <v>27240</v>
      </c>
      <c r="J4053">
        <v>96</v>
      </c>
      <c r="K4053">
        <v>96</v>
      </c>
    </row>
    <row r="4054" spans="1:11">
      <c r="A4054">
        <v>90</v>
      </c>
      <c r="B4054" t="b">
        <v>0</v>
      </c>
      <c r="C4054" t="s">
        <v>41480</v>
      </c>
      <c r="D4054">
        <v>1037022454355</v>
      </c>
      <c r="E4054">
        <v>1</v>
      </c>
      <c r="F4054">
        <v>6087108184</v>
      </c>
      <c r="G4054">
        <v>612000</v>
      </c>
      <c r="H4054" t="s">
        <v>40293</v>
      </c>
      <c r="I4054">
        <v>27246</v>
      </c>
      <c r="J4054">
        <v>31</v>
      </c>
      <c r="K4054">
        <v>32</v>
      </c>
    </row>
    <row r="4055" spans="1:11">
      <c r="A4055">
        <v>90</v>
      </c>
      <c r="B4055" t="b">
        <v>0</v>
      </c>
      <c r="C4055" t="s">
        <v>41230</v>
      </c>
      <c r="D4055">
        <v>1037022454355</v>
      </c>
      <c r="E4055">
        <v>1</v>
      </c>
      <c r="F4055">
        <v>6089298104</v>
      </c>
      <c r="G4055">
        <v>999000</v>
      </c>
      <c r="H4055" t="s">
        <v>40293</v>
      </c>
      <c r="I4055">
        <v>27251</v>
      </c>
      <c r="J4055">
        <v>32</v>
      </c>
      <c r="K4055">
        <v>32</v>
      </c>
    </row>
    <row r="4056" spans="1:11">
      <c r="A4056">
        <v>90</v>
      </c>
      <c r="B4056" t="b">
        <v>0</v>
      </c>
      <c r="C4056" t="s">
        <v>41384</v>
      </c>
      <c r="D4056">
        <v>1037022454355</v>
      </c>
      <c r="E4056">
        <v>1</v>
      </c>
      <c r="F4056">
        <v>6081502161</v>
      </c>
      <c r="G4056">
        <v>998900</v>
      </c>
      <c r="H4056" t="s">
        <v>40293</v>
      </c>
      <c r="I4056">
        <v>27251</v>
      </c>
      <c r="J4056">
        <v>15</v>
      </c>
      <c r="K4056">
        <v>15</v>
      </c>
    </row>
    <row r="4057" spans="1:11">
      <c r="A4057">
        <v>90</v>
      </c>
      <c r="B4057" t="b">
        <v>0</v>
      </c>
      <c r="C4057" t="s">
        <v>41230</v>
      </c>
      <c r="D4057">
        <v>1037022454355</v>
      </c>
      <c r="E4057">
        <v>1</v>
      </c>
      <c r="F4057">
        <v>6089298105</v>
      </c>
      <c r="G4057">
        <v>839000</v>
      </c>
      <c r="H4057" t="s">
        <v>40293</v>
      </c>
      <c r="I4057">
        <v>27255</v>
      </c>
      <c r="J4057">
        <v>41</v>
      </c>
      <c r="K4057">
        <v>41</v>
      </c>
    </row>
    <row r="4058" spans="1:11">
      <c r="A4058">
        <v>90</v>
      </c>
      <c r="B4058" t="b">
        <v>0</v>
      </c>
      <c r="C4058" t="s">
        <v>41261</v>
      </c>
      <c r="D4058">
        <v>1037022454355</v>
      </c>
      <c r="E4058">
        <v>1</v>
      </c>
      <c r="F4058">
        <v>6117741225</v>
      </c>
      <c r="G4058">
        <v>197000000</v>
      </c>
      <c r="H4058" t="s">
        <v>40293</v>
      </c>
      <c r="I4058">
        <v>27256</v>
      </c>
      <c r="J4058">
        <v>2</v>
      </c>
      <c r="K4058">
        <v>2</v>
      </c>
    </row>
    <row r="4059" spans="1:11">
      <c r="A4059">
        <v>90</v>
      </c>
      <c r="B4059" t="b">
        <v>0</v>
      </c>
      <c r="C4059" t="s">
        <v>41383</v>
      </c>
      <c r="D4059">
        <v>1037022454355</v>
      </c>
      <c r="E4059">
        <v>1</v>
      </c>
      <c r="F4059">
        <v>6081502160</v>
      </c>
      <c r="G4059">
        <v>849000</v>
      </c>
      <c r="H4059" t="s">
        <v>40293</v>
      </c>
      <c r="I4059">
        <v>27259</v>
      </c>
      <c r="J4059">
        <v>39</v>
      </c>
      <c r="K4059">
        <v>40</v>
      </c>
    </row>
    <row r="4060" spans="1:11">
      <c r="A4060">
        <v>90</v>
      </c>
      <c r="B4060" t="b">
        <v>0</v>
      </c>
      <c r="C4060" t="s">
        <v>43870</v>
      </c>
      <c r="D4060">
        <v>1037022454355</v>
      </c>
      <c r="E4060">
        <v>1</v>
      </c>
      <c r="F4060">
        <v>6140097615</v>
      </c>
      <c r="G4060">
        <v>817</v>
      </c>
      <c r="H4060" t="s">
        <v>40293</v>
      </c>
      <c r="I4060">
        <v>27315</v>
      </c>
      <c r="J4060">
        <v>709089</v>
      </c>
      <c r="K4060">
        <v>709089</v>
      </c>
    </row>
    <row r="4061" spans="1:11">
      <c r="A4061">
        <v>90</v>
      </c>
      <c r="B4061" t="b">
        <v>0</v>
      </c>
      <c r="C4061" t="s">
        <v>40572</v>
      </c>
      <c r="D4061">
        <v>1037022454355</v>
      </c>
      <c r="E4061">
        <v>1</v>
      </c>
      <c r="F4061">
        <v>6119954682</v>
      </c>
      <c r="G4061">
        <v>749.9</v>
      </c>
      <c r="H4061" t="s">
        <v>40293</v>
      </c>
      <c r="I4061">
        <v>27315</v>
      </c>
      <c r="J4061">
        <v>15498</v>
      </c>
      <c r="K4061">
        <v>41724</v>
      </c>
    </row>
    <row r="4062" spans="1:11">
      <c r="A4062">
        <v>90</v>
      </c>
      <c r="B4062" t="b">
        <v>0</v>
      </c>
      <c r="C4062" t="s">
        <v>44037</v>
      </c>
      <c r="D4062">
        <v>1037022454355</v>
      </c>
      <c r="E4062">
        <v>1</v>
      </c>
      <c r="F4062">
        <v>6152912931</v>
      </c>
      <c r="G4062">
        <v>749</v>
      </c>
      <c r="H4062" t="s">
        <v>40293</v>
      </c>
      <c r="I4062">
        <v>27315</v>
      </c>
      <c r="J4062">
        <v>237</v>
      </c>
      <c r="K4062">
        <v>487</v>
      </c>
    </row>
    <row r="4063" spans="1:11">
      <c r="A4063">
        <v>90</v>
      </c>
      <c r="B4063" t="b">
        <v>0</v>
      </c>
      <c r="C4063" t="s">
        <v>40574</v>
      </c>
      <c r="D4063">
        <v>1037022454355</v>
      </c>
      <c r="E4063">
        <v>1</v>
      </c>
      <c r="F4063">
        <v>6119954715</v>
      </c>
      <c r="G4063">
        <v>880</v>
      </c>
      <c r="H4063" t="s">
        <v>40293</v>
      </c>
      <c r="I4063">
        <v>27321</v>
      </c>
      <c r="J4063">
        <v>59935</v>
      </c>
      <c r="K4063">
        <v>92680</v>
      </c>
    </row>
    <row r="4064" spans="1:11">
      <c r="A4064">
        <v>90</v>
      </c>
      <c r="B4064" t="b">
        <v>0</v>
      </c>
      <c r="C4064" t="s">
        <v>43882</v>
      </c>
      <c r="D4064">
        <v>1037022454355</v>
      </c>
      <c r="E4064">
        <v>1</v>
      </c>
      <c r="F4064">
        <v>6140097821</v>
      </c>
      <c r="G4064">
        <v>778</v>
      </c>
      <c r="H4064" t="s">
        <v>40293</v>
      </c>
      <c r="I4064">
        <v>27321</v>
      </c>
      <c r="J4064">
        <v>211434</v>
      </c>
      <c r="K4064">
        <v>225630</v>
      </c>
    </row>
    <row r="4065" spans="1:11">
      <c r="A4065">
        <v>90</v>
      </c>
      <c r="B4065" t="b">
        <v>0</v>
      </c>
      <c r="C4065" t="s">
        <v>46228</v>
      </c>
      <c r="D4065">
        <v>1037022454355</v>
      </c>
      <c r="E4065">
        <v>1</v>
      </c>
      <c r="F4065">
        <v>6157400492</v>
      </c>
      <c r="G4065">
        <v>777</v>
      </c>
      <c r="H4065" t="s">
        <v>40293</v>
      </c>
      <c r="I4065">
        <v>27321</v>
      </c>
      <c r="J4065">
        <v>764</v>
      </c>
      <c r="K4065">
        <v>764</v>
      </c>
    </row>
    <row r="4066" spans="1:11">
      <c r="A4066">
        <v>90</v>
      </c>
      <c r="B4066" t="b">
        <v>0</v>
      </c>
      <c r="C4066" t="s">
        <v>42993</v>
      </c>
      <c r="D4066">
        <v>1037022454355</v>
      </c>
      <c r="E4066">
        <v>1</v>
      </c>
      <c r="F4066">
        <v>6073847488</v>
      </c>
      <c r="G4066">
        <v>893.1</v>
      </c>
      <c r="H4066" t="s">
        <v>40293</v>
      </c>
      <c r="I4066">
        <v>27327</v>
      </c>
      <c r="J4066">
        <v>138666</v>
      </c>
      <c r="K4066">
        <v>138666</v>
      </c>
    </row>
    <row r="4067" spans="1:11">
      <c r="A4067">
        <v>90</v>
      </c>
      <c r="B4067" t="b">
        <v>0</v>
      </c>
      <c r="C4067" t="s">
        <v>40577</v>
      </c>
      <c r="D4067">
        <v>1037022454355</v>
      </c>
      <c r="E4067">
        <v>1</v>
      </c>
      <c r="F4067">
        <v>6119954758</v>
      </c>
      <c r="G4067">
        <v>699.9</v>
      </c>
      <c r="H4067" t="s">
        <v>40293</v>
      </c>
      <c r="I4067">
        <v>27327</v>
      </c>
      <c r="J4067">
        <v>39827</v>
      </c>
      <c r="K4067">
        <v>89841</v>
      </c>
    </row>
    <row r="4068" spans="1:11">
      <c r="A4068">
        <v>90</v>
      </c>
      <c r="B4068" t="b">
        <v>0</v>
      </c>
      <c r="C4068" t="s">
        <v>42188</v>
      </c>
      <c r="D4068">
        <v>1037022454355</v>
      </c>
      <c r="E4068">
        <v>1</v>
      </c>
      <c r="F4068">
        <v>6130457688</v>
      </c>
      <c r="G4068">
        <v>70</v>
      </c>
      <c r="H4068" t="s">
        <v>40293</v>
      </c>
      <c r="I4068">
        <v>27331</v>
      </c>
      <c r="J4068">
        <v>250</v>
      </c>
      <c r="K4068">
        <v>250</v>
      </c>
    </row>
    <row r="4069" spans="1:11">
      <c r="A4069">
        <v>90</v>
      </c>
      <c r="B4069" t="b">
        <v>0</v>
      </c>
      <c r="C4069" t="s">
        <v>42358</v>
      </c>
      <c r="D4069">
        <v>1037022454355</v>
      </c>
      <c r="E4069">
        <v>1</v>
      </c>
      <c r="F4069">
        <v>6132077444</v>
      </c>
      <c r="G4069">
        <v>69</v>
      </c>
      <c r="H4069" t="s">
        <v>40293</v>
      </c>
      <c r="I4069">
        <v>27331</v>
      </c>
      <c r="J4069">
        <v>350</v>
      </c>
      <c r="K4069">
        <v>350</v>
      </c>
    </row>
    <row r="4070" spans="1:11">
      <c r="A4070">
        <v>90</v>
      </c>
      <c r="B4070" t="b">
        <v>0</v>
      </c>
      <c r="C4070" t="s">
        <v>40579</v>
      </c>
      <c r="D4070">
        <v>1037022454355</v>
      </c>
      <c r="E4070">
        <v>1</v>
      </c>
      <c r="F4070">
        <v>6119954793</v>
      </c>
      <c r="G4070">
        <v>850</v>
      </c>
      <c r="H4070" t="s">
        <v>40293</v>
      </c>
      <c r="I4070">
        <v>27333</v>
      </c>
      <c r="J4070">
        <v>47414</v>
      </c>
      <c r="K4070">
        <v>69622</v>
      </c>
    </row>
    <row r="4071" spans="1:11">
      <c r="A4071">
        <v>90</v>
      </c>
      <c r="B4071" t="b">
        <v>0</v>
      </c>
      <c r="C4071" t="s">
        <v>43895</v>
      </c>
      <c r="D4071">
        <v>1037022454355</v>
      </c>
      <c r="E4071">
        <v>1</v>
      </c>
      <c r="F4071">
        <v>6140098138</v>
      </c>
      <c r="G4071">
        <v>742</v>
      </c>
      <c r="H4071" t="s">
        <v>40293</v>
      </c>
      <c r="I4071">
        <v>27333</v>
      </c>
      <c r="J4071">
        <v>425133</v>
      </c>
      <c r="K4071">
        <v>425133</v>
      </c>
    </row>
    <row r="4072" spans="1:11">
      <c r="A4072">
        <v>90</v>
      </c>
      <c r="B4072" t="b">
        <v>0</v>
      </c>
      <c r="C4072" t="s">
        <v>43662</v>
      </c>
      <c r="D4072">
        <v>1037022454355</v>
      </c>
      <c r="E4072">
        <v>1</v>
      </c>
      <c r="F4072">
        <v>6143015360</v>
      </c>
      <c r="G4072">
        <v>741</v>
      </c>
      <c r="H4072" t="s">
        <v>40293</v>
      </c>
      <c r="I4072">
        <v>27333</v>
      </c>
      <c r="J4072">
        <v>30753</v>
      </c>
      <c r="K4072">
        <v>45020</v>
      </c>
    </row>
    <row r="4073" spans="1:11">
      <c r="A4073">
        <v>90</v>
      </c>
      <c r="B4073" t="b">
        <v>0</v>
      </c>
      <c r="C4073" t="s">
        <v>41879</v>
      </c>
      <c r="D4073">
        <v>1037022454355</v>
      </c>
      <c r="E4073">
        <v>1</v>
      </c>
      <c r="F4073">
        <v>6128549966</v>
      </c>
      <c r="G4073">
        <v>2550</v>
      </c>
      <c r="H4073" t="s">
        <v>40293</v>
      </c>
      <c r="I4073">
        <v>27343</v>
      </c>
      <c r="J4073">
        <v>500</v>
      </c>
      <c r="K4073">
        <v>500</v>
      </c>
    </row>
    <row r="4074" spans="1:11">
      <c r="A4074">
        <v>90</v>
      </c>
      <c r="B4074" t="b">
        <v>0</v>
      </c>
      <c r="C4074" t="s">
        <v>43858</v>
      </c>
      <c r="D4074">
        <v>1037022454355</v>
      </c>
      <c r="E4074">
        <v>1</v>
      </c>
      <c r="F4074">
        <v>6140097305</v>
      </c>
      <c r="G4074">
        <v>2766</v>
      </c>
      <c r="H4074" t="s">
        <v>40293</v>
      </c>
      <c r="I4074">
        <v>27345</v>
      </c>
      <c r="J4074">
        <v>100287</v>
      </c>
      <c r="K4074">
        <v>139588</v>
      </c>
    </row>
    <row r="4075" spans="1:11">
      <c r="A4075">
        <v>90</v>
      </c>
      <c r="B4075" t="b">
        <v>0</v>
      </c>
      <c r="C4075" t="s">
        <v>44891</v>
      </c>
      <c r="D4075">
        <v>1037022454355</v>
      </c>
      <c r="E4075">
        <v>1</v>
      </c>
      <c r="F4075">
        <v>6156627078</v>
      </c>
      <c r="G4075">
        <v>3300</v>
      </c>
      <c r="H4075" t="s">
        <v>40293</v>
      </c>
      <c r="I4075">
        <v>27351</v>
      </c>
      <c r="J4075">
        <v>202722</v>
      </c>
      <c r="K4075">
        <v>208060</v>
      </c>
    </row>
    <row r="4076" spans="1:11">
      <c r="A4076">
        <v>90</v>
      </c>
      <c r="B4076" t="b">
        <v>0</v>
      </c>
      <c r="C4076" t="s">
        <v>41880</v>
      </c>
      <c r="D4076">
        <v>1037022454355</v>
      </c>
      <c r="E4076">
        <v>1</v>
      </c>
      <c r="F4076">
        <v>6128550128</v>
      </c>
      <c r="G4076">
        <v>2550</v>
      </c>
      <c r="H4076" t="s">
        <v>40293</v>
      </c>
      <c r="I4076">
        <v>27357</v>
      </c>
      <c r="J4076">
        <v>1500</v>
      </c>
      <c r="K4076">
        <v>1500</v>
      </c>
    </row>
    <row r="4077" spans="1:11">
      <c r="A4077">
        <v>90</v>
      </c>
      <c r="B4077" t="b">
        <v>0</v>
      </c>
      <c r="C4077" t="s">
        <v>43854</v>
      </c>
      <c r="D4077">
        <v>1037022454355</v>
      </c>
      <c r="E4077">
        <v>1</v>
      </c>
      <c r="F4077">
        <v>6140097057</v>
      </c>
      <c r="G4077">
        <v>3057</v>
      </c>
      <c r="H4077" t="s">
        <v>40293</v>
      </c>
      <c r="I4077">
        <v>27359</v>
      </c>
      <c r="J4077">
        <v>129807</v>
      </c>
      <c r="K4077">
        <v>158303</v>
      </c>
    </row>
    <row r="4078" spans="1:11">
      <c r="A4078">
        <v>90</v>
      </c>
      <c r="B4078" t="b">
        <v>0</v>
      </c>
      <c r="C4078" t="s">
        <v>41846</v>
      </c>
      <c r="D4078">
        <v>1037022454355</v>
      </c>
      <c r="E4078">
        <v>1</v>
      </c>
      <c r="F4078">
        <v>6128398762</v>
      </c>
      <c r="G4078">
        <v>1034</v>
      </c>
      <c r="H4078" t="s">
        <v>40293</v>
      </c>
      <c r="I4078">
        <v>27361</v>
      </c>
      <c r="J4078">
        <v>1360</v>
      </c>
      <c r="K4078">
        <v>1360</v>
      </c>
    </row>
    <row r="4079" spans="1:11">
      <c r="A4079">
        <v>90</v>
      </c>
      <c r="B4079" t="b">
        <v>0</v>
      </c>
      <c r="C4079" t="s">
        <v>42132</v>
      </c>
      <c r="D4079">
        <v>1037022454355</v>
      </c>
      <c r="E4079">
        <v>1</v>
      </c>
      <c r="F4079">
        <v>6131007208</v>
      </c>
      <c r="G4079">
        <v>1030</v>
      </c>
      <c r="H4079" t="s">
        <v>40293</v>
      </c>
      <c r="I4079">
        <v>27361</v>
      </c>
      <c r="J4079">
        <v>31547</v>
      </c>
      <c r="K4079">
        <v>34107</v>
      </c>
    </row>
    <row r="4080" spans="1:11">
      <c r="A4080">
        <v>90</v>
      </c>
      <c r="B4080" t="b">
        <v>0</v>
      </c>
      <c r="C4080" t="s">
        <v>43907</v>
      </c>
      <c r="D4080">
        <v>1037022454355</v>
      </c>
      <c r="E4080">
        <v>1</v>
      </c>
      <c r="F4080">
        <v>6140098381</v>
      </c>
      <c r="G4080">
        <v>1029</v>
      </c>
      <c r="H4080" t="s">
        <v>40293</v>
      </c>
      <c r="I4080">
        <v>27361</v>
      </c>
      <c r="J4080">
        <v>275053</v>
      </c>
      <c r="K4080">
        <v>275053</v>
      </c>
    </row>
    <row r="4081" spans="1:11">
      <c r="A4081">
        <v>14</v>
      </c>
      <c r="B4081" t="b">
        <v>0</v>
      </c>
      <c r="C4081" t="s">
        <v>46542</v>
      </c>
      <c r="D4081">
        <v>1037022454355</v>
      </c>
      <c r="E4081">
        <v>1</v>
      </c>
      <c r="F4081">
        <v>6156517028</v>
      </c>
      <c r="G4081">
        <v>1029</v>
      </c>
      <c r="H4081" t="s">
        <v>40293</v>
      </c>
      <c r="I4081">
        <v>27361</v>
      </c>
      <c r="J4081">
        <v>6000</v>
      </c>
      <c r="K4081">
        <v>6000</v>
      </c>
    </row>
    <row r="4082" spans="1:11">
      <c r="A4082">
        <v>90</v>
      </c>
      <c r="B4082" t="b">
        <v>0</v>
      </c>
      <c r="C4082" t="s">
        <v>43834</v>
      </c>
      <c r="D4082">
        <v>1037022454355</v>
      </c>
      <c r="E4082">
        <v>1</v>
      </c>
      <c r="F4082">
        <v>6106869662</v>
      </c>
      <c r="G4082">
        <v>1028</v>
      </c>
      <c r="H4082" t="s">
        <v>40293</v>
      </c>
      <c r="I4082">
        <v>27361</v>
      </c>
      <c r="J4082">
        <v>526</v>
      </c>
      <c r="K4082">
        <v>200037</v>
      </c>
    </row>
    <row r="4083" spans="1:11">
      <c r="A4083">
        <v>7</v>
      </c>
      <c r="B4083" t="b">
        <v>0</v>
      </c>
      <c r="C4083" t="s">
        <v>46534</v>
      </c>
      <c r="D4083">
        <v>1037022454355</v>
      </c>
      <c r="E4083">
        <v>1</v>
      </c>
      <c r="F4083">
        <v>6155042389</v>
      </c>
      <c r="G4083">
        <v>1027</v>
      </c>
      <c r="H4083" t="s">
        <v>40293</v>
      </c>
      <c r="I4083">
        <v>27361</v>
      </c>
      <c r="J4083">
        <v>8384</v>
      </c>
      <c r="K4083">
        <v>37951</v>
      </c>
    </row>
    <row r="4084" spans="1:11">
      <c r="A4084">
        <v>90</v>
      </c>
      <c r="B4084" t="b">
        <v>0</v>
      </c>
      <c r="C4084" t="s">
        <v>40375</v>
      </c>
      <c r="D4084">
        <v>1037022454355</v>
      </c>
      <c r="E4084">
        <v>1</v>
      </c>
      <c r="F4084">
        <v>6121031661</v>
      </c>
      <c r="G4084">
        <v>1105</v>
      </c>
      <c r="H4084" t="s">
        <v>40293</v>
      </c>
      <c r="I4084">
        <v>27371</v>
      </c>
      <c r="J4084">
        <v>836603</v>
      </c>
      <c r="K4084">
        <v>1063125</v>
      </c>
    </row>
    <row r="4085" spans="1:11">
      <c r="A4085">
        <v>90</v>
      </c>
      <c r="B4085" t="b">
        <v>0</v>
      </c>
      <c r="C4085" t="s">
        <v>44549</v>
      </c>
      <c r="D4085">
        <v>1037022454355</v>
      </c>
      <c r="E4085">
        <v>1</v>
      </c>
      <c r="F4085">
        <v>6147873804</v>
      </c>
      <c r="G4085">
        <v>1600</v>
      </c>
      <c r="H4085" t="s">
        <v>40293</v>
      </c>
      <c r="I4085">
        <v>27373</v>
      </c>
      <c r="J4085">
        <v>9552</v>
      </c>
      <c r="K4085">
        <v>37316</v>
      </c>
    </row>
    <row r="4086" spans="1:11">
      <c r="A4086">
        <v>90</v>
      </c>
      <c r="B4086" t="b">
        <v>0</v>
      </c>
      <c r="C4086" t="s">
        <v>40648</v>
      </c>
      <c r="D4086">
        <v>1037022454355</v>
      </c>
      <c r="E4086">
        <v>1</v>
      </c>
      <c r="F4086">
        <v>6106291907</v>
      </c>
      <c r="G4086">
        <v>2203</v>
      </c>
      <c r="H4086" t="s">
        <v>40293</v>
      </c>
      <c r="I4086">
        <v>27377</v>
      </c>
      <c r="J4086">
        <v>936</v>
      </c>
      <c r="K4086">
        <v>936</v>
      </c>
    </row>
    <row r="4087" spans="1:11">
      <c r="A4087">
        <v>90</v>
      </c>
      <c r="B4087" t="b">
        <v>0</v>
      </c>
      <c r="C4087" t="s">
        <v>41562</v>
      </c>
      <c r="D4087">
        <v>1037022454355</v>
      </c>
      <c r="E4087">
        <v>1</v>
      </c>
      <c r="F4087">
        <v>6095269337</v>
      </c>
      <c r="G4087">
        <v>2202</v>
      </c>
      <c r="H4087" t="s">
        <v>40293</v>
      </c>
      <c r="I4087">
        <v>27377</v>
      </c>
      <c r="J4087">
        <v>329433</v>
      </c>
      <c r="K4087">
        <v>502295</v>
      </c>
    </row>
    <row r="4088" spans="1:11">
      <c r="A4088">
        <v>30</v>
      </c>
      <c r="B4088" t="b">
        <v>0</v>
      </c>
      <c r="C4088" t="s">
        <v>44031</v>
      </c>
      <c r="D4088">
        <v>1037022454355</v>
      </c>
      <c r="E4088">
        <v>1</v>
      </c>
      <c r="F4088">
        <v>6157107211</v>
      </c>
      <c r="G4088">
        <v>2201</v>
      </c>
      <c r="H4088" t="s">
        <v>40293</v>
      </c>
      <c r="I4088">
        <v>27377</v>
      </c>
      <c r="J4088">
        <v>52000</v>
      </c>
      <c r="K4088">
        <v>52000</v>
      </c>
    </row>
    <row r="4089" spans="1:11">
      <c r="A4089">
        <v>90</v>
      </c>
      <c r="B4089" t="b">
        <v>0</v>
      </c>
      <c r="C4089" t="s">
        <v>43398</v>
      </c>
      <c r="D4089">
        <v>1037022454355</v>
      </c>
      <c r="E4089">
        <v>1</v>
      </c>
      <c r="F4089">
        <v>6143916193</v>
      </c>
      <c r="G4089">
        <v>411</v>
      </c>
      <c r="H4089" t="s">
        <v>40293</v>
      </c>
      <c r="I4089">
        <v>27379</v>
      </c>
      <c r="J4089">
        <v>1000</v>
      </c>
      <c r="K4089">
        <v>1000</v>
      </c>
    </row>
    <row r="4090" spans="1:11">
      <c r="A4090">
        <v>90</v>
      </c>
      <c r="B4090" t="b">
        <v>0</v>
      </c>
      <c r="C4090" t="s">
        <v>42416</v>
      </c>
      <c r="D4090">
        <v>1037022454355</v>
      </c>
      <c r="E4090">
        <v>1</v>
      </c>
      <c r="F4090">
        <v>6132605353</v>
      </c>
      <c r="G4090">
        <v>1050</v>
      </c>
      <c r="H4090" t="s">
        <v>40293</v>
      </c>
      <c r="I4090">
        <v>27381</v>
      </c>
      <c r="J4090">
        <v>4599</v>
      </c>
      <c r="K4090">
        <v>11159</v>
      </c>
    </row>
    <row r="4091" spans="1:11">
      <c r="A4091">
        <v>90</v>
      </c>
      <c r="B4091" t="b">
        <v>0</v>
      </c>
      <c r="C4091" t="s">
        <v>42682</v>
      </c>
      <c r="D4091">
        <v>1037022454355</v>
      </c>
      <c r="E4091">
        <v>1</v>
      </c>
      <c r="F4091">
        <v>6068656326</v>
      </c>
      <c r="G4091">
        <v>1049</v>
      </c>
      <c r="H4091" t="s">
        <v>40293</v>
      </c>
      <c r="I4091">
        <v>27381</v>
      </c>
      <c r="J4091">
        <v>7571</v>
      </c>
      <c r="K4091">
        <v>7691</v>
      </c>
    </row>
    <row r="4092" spans="1:11">
      <c r="A4092">
        <v>90</v>
      </c>
      <c r="B4092" t="b">
        <v>0</v>
      </c>
      <c r="C4092" t="s">
        <v>42489</v>
      </c>
      <c r="D4092">
        <v>1037022454355</v>
      </c>
      <c r="E4092">
        <v>1</v>
      </c>
      <c r="F4092">
        <v>6136214010</v>
      </c>
      <c r="G4092">
        <v>1048</v>
      </c>
      <c r="H4092" t="s">
        <v>40293</v>
      </c>
      <c r="I4092">
        <v>27381</v>
      </c>
      <c r="J4092">
        <v>2001</v>
      </c>
      <c r="K4092">
        <v>14827</v>
      </c>
    </row>
    <row r="4093" spans="1:11">
      <c r="A4093">
        <v>90</v>
      </c>
      <c r="B4093" t="b">
        <v>0</v>
      </c>
      <c r="C4093" t="s">
        <v>43903</v>
      </c>
      <c r="D4093">
        <v>1037022454355</v>
      </c>
      <c r="E4093">
        <v>1</v>
      </c>
      <c r="F4093">
        <v>6140098319</v>
      </c>
      <c r="G4093">
        <v>1048</v>
      </c>
      <c r="H4093" t="s">
        <v>40293</v>
      </c>
      <c r="I4093">
        <v>27381</v>
      </c>
      <c r="J4093">
        <v>227705</v>
      </c>
      <c r="K4093">
        <v>227705</v>
      </c>
    </row>
    <row r="4094" spans="1:11">
      <c r="A4094">
        <v>7</v>
      </c>
      <c r="B4094" t="b">
        <v>0</v>
      </c>
      <c r="C4094" t="s">
        <v>46369</v>
      </c>
      <c r="D4094">
        <v>1037022454355</v>
      </c>
      <c r="E4094">
        <v>1</v>
      </c>
      <c r="F4094">
        <v>6155042425</v>
      </c>
      <c r="G4094">
        <v>1045</v>
      </c>
      <c r="H4094" t="s">
        <v>40293</v>
      </c>
      <c r="I4094">
        <v>27381</v>
      </c>
      <c r="J4094">
        <v>30925</v>
      </c>
      <c r="K4094">
        <v>46275</v>
      </c>
    </row>
    <row r="4095" spans="1:11">
      <c r="A4095">
        <v>90</v>
      </c>
      <c r="B4095" t="b">
        <v>0</v>
      </c>
      <c r="C4095" t="s">
        <v>45414</v>
      </c>
      <c r="D4095">
        <v>1037022454355</v>
      </c>
      <c r="E4095">
        <v>1</v>
      </c>
      <c r="F4095">
        <v>6090770237</v>
      </c>
      <c r="G4095">
        <v>1096</v>
      </c>
      <c r="H4095" t="s">
        <v>40293</v>
      </c>
      <c r="I4095">
        <v>27387</v>
      </c>
      <c r="J4095">
        <v>61504</v>
      </c>
      <c r="K4095">
        <v>399628</v>
      </c>
    </row>
    <row r="4096" spans="1:11">
      <c r="A4096">
        <v>90</v>
      </c>
      <c r="B4096" t="b">
        <v>0</v>
      </c>
      <c r="C4096" t="s">
        <v>43746</v>
      </c>
      <c r="D4096">
        <v>1037022454355</v>
      </c>
      <c r="E4096">
        <v>1</v>
      </c>
      <c r="F4096">
        <v>6073836861</v>
      </c>
      <c r="G4096">
        <v>1965</v>
      </c>
      <c r="H4096" t="s">
        <v>40293</v>
      </c>
      <c r="I4096">
        <v>27395</v>
      </c>
      <c r="J4096">
        <v>245040</v>
      </c>
      <c r="K4096">
        <v>248678</v>
      </c>
    </row>
    <row r="4097" spans="1:11">
      <c r="A4097">
        <v>30</v>
      </c>
      <c r="B4097" t="b">
        <v>0</v>
      </c>
      <c r="C4097" t="s">
        <v>42658</v>
      </c>
      <c r="D4097">
        <v>1037022454355</v>
      </c>
      <c r="E4097">
        <v>1</v>
      </c>
      <c r="F4097">
        <v>6124917093</v>
      </c>
      <c r="G4097">
        <v>1850</v>
      </c>
      <c r="H4097" t="s">
        <v>40293</v>
      </c>
      <c r="I4097">
        <v>27395</v>
      </c>
      <c r="J4097">
        <v>91504</v>
      </c>
      <c r="K4097">
        <v>95504</v>
      </c>
    </row>
    <row r="4098" spans="1:11">
      <c r="A4098">
        <v>7</v>
      </c>
      <c r="B4098" t="b">
        <v>0</v>
      </c>
      <c r="C4098" t="s">
        <v>46491</v>
      </c>
      <c r="D4098">
        <v>1037022454355</v>
      </c>
      <c r="E4098">
        <v>1</v>
      </c>
      <c r="F4098">
        <v>6155042017</v>
      </c>
      <c r="G4098">
        <v>1845</v>
      </c>
      <c r="H4098" t="s">
        <v>40293</v>
      </c>
      <c r="I4098">
        <v>27395</v>
      </c>
      <c r="J4098">
        <v>13644</v>
      </c>
      <c r="K4098">
        <v>15144</v>
      </c>
    </row>
    <row r="4099" spans="1:11">
      <c r="A4099">
        <v>30</v>
      </c>
      <c r="B4099" t="b">
        <v>0</v>
      </c>
      <c r="C4099" t="s">
        <v>44444</v>
      </c>
      <c r="D4099">
        <v>1037022454355</v>
      </c>
      <c r="E4099">
        <v>1</v>
      </c>
      <c r="F4099">
        <v>6157112884</v>
      </c>
      <c r="G4099">
        <v>1844</v>
      </c>
      <c r="H4099" t="s">
        <v>40293</v>
      </c>
      <c r="I4099">
        <v>27395</v>
      </c>
      <c r="J4099">
        <v>19000</v>
      </c>
      <c r="K4099">
        <v>19000</v>
      </c>
    </row>
    <row r="4100" spans="1:11">
      <c r="A4100">
        <v>90</v>
      </c>
      <c r="B4100" t="b">
        <v>0</v>
      </c>
      <c r="C4100" t="s">
        <v>41706</v>
      </c>
      <c r="D4100">
        <v>1037022454355</v>
      </c>
      <c r="E4100">
        <v>1</v>
      </c>
      <c r="F4100">
        <v>6108511026</v>
      </c>
      <c r="G4100">
        <v>1447</v>
      </c>
      <c r="H4100" t="s">
        <v>40293</v>
      </c>
      <c r="I4100">
        <v>27401</v>
      </c>
      <c r="J4100">
        <v>139643</v>
      </c>
      <c r="K4100">
        <v>176619</v>
      </c>
    </row>
    <row r="4101" spans="1:11">
      <c r="A4101">
        <v>90</v>
      </c>
      <c r="B4101" t="b">
        <v>0</v>
      </c>
      <c r="C4101" t="s">
        <v>43345</v>
      </c>
      <c r="D4101">
        <v>1037022454355</v>
      </c>
      <c r="E4101">
        <v>1</v>
      </c>
      <c r="F4101">
        <v>6139032256</v>
      </c>
      <c r="G4101">
        <v>1400</v>
      </c>
      <c r="H4101" t="s">
        <v>40293</v>
      </c>
      <c r="I4101">
        <v>27401</v>
      </c>
      <c r="J4101">
        <v>7000</v>
      </c>
      <c r="K4101">
        <v>10000</v>
      </c>
    </row>
    <row r="4102" spans="1:11">
      <c r="A4102">
        <v>90</v>
      </c>
      <c r="B4102" t="b">
        <v>0</v>
      </c>
      <c r="C4102" t="s">
        <v>46169</v>
      </c>
      <c r="D4102">
        <v>1037022454355</v>
      </c>
      <c r="E4102">
        <v>1</v>
      </c>
      <c r="F4102">
        <v>6147140601</v>
      </c>
      <c r="G4102">
        <v>1398</v>
      </c>
      <c r="H4102" t="s">
        <v>40293</v>
      </c>
      <c r="I4102">
        <v>27401</v>
      </c>
      <c r="J4102">
        <v>708</v>
      </c>
      <c r="K4102">
        <v>1500</v>
      </c>
    </row>
    <row r="4103" spans="1:11">
      <c r="A4103">
        <v>7</v>
      </c>
      <c r="B4103" t="b">
        <v>0</v>
      </c>
      <c r="C4103" t="s">
        <v>46509</v>
      </c>
      <c r="D4103">
        <v>1037022454355</v>
      </c>
      <c r="E4103">
        <v>1</v>
      </c>
      <c r="F4103">
        <v>6155042173</v>
      </c>
      <c r="G4103">
        <v>1397</v>
      </c>
      <c r="H4103" t="s">
        <v>40293</v>
      </c>
      <c r="I4103">
        <v>27401</v>
      </c>
      <c r="J4103">
        <v>28500</v>
      </c>
      <c r="K4103">
        <v>28500</v>
      </c>
    </row>
    <row r="4104" spans="1:11">
      <c r="A4104">
        <v>90</v>
      </c>
      <c r="B4104" t="b">
        <v>0</v>
      </c>
      <c r="C4104" t="s">
        <v>43931</v>
      </c>
      <c r="D4104">
        <v>1037022454355</v>
      </c>
      <c r="E4104">
        <v>1</v>
      </c>
      <c r="F4104">
        <v>6073842205</v>
      </c>
      <c r="G4104">
        <v>1417</v>
      </c>
      <c r="H4104" t="s">
        <v>40293</v>
      </c>
      <c r="I4104">
        <v>27405</v>
      </c>
      <c r="J4104">
        <v>445445</v>
      </c>
      <c r="K4104">
        <v>462451</v>
      </c>
    </row>
    <row r="4105" spans="1:11">
      <c r="A4105">
        <v>7</v>
      </c>
      <c r="B4105" t="b">
        <v>0</v>
      </c>
      <c r="C4105" t="s">
        <v>46501</v>
      </c>
      <c r="D4105">
        <v>1037022454355</v>
      </c>
      <c r="E4105">
        <v>1</v>
      </c>
      <c r="F4105">
        <v>6155042116</v>
      </c>
      <c r="G4105">
        <v>1414</v>
      </c>
      <c r="H4105" t="s">
        <v>40293</v>
      </c>
      <c r="I4105">
        <v>27405</v>
      </c>
      <c r="J4105">
        <v>29200</v>
      </c>
      <c r="K4105">
        <v>29200</v>
      </c>
    </row>
    <row r="4106" spans="1:11">
      <c r="A4106">
        <v>90</v>
      </c>
      <c r="B4106" t="b">
        <v>0</v>
      </c>
      <c r="C4106" t="s">
        <v>42659</v>
      </c>
      <c r="D4106">
        <v>1037022454355</v>
      </c>
      <c r="E4106">
        <v>1</v>
      </c>
      <c r="F4106">
        <v>6136025446</v>
      </c>
      <c r="G4106">
        <v>1394</v>
      </c>
      <c r="H4106" t="s">
        <v>40293</v>
      </c>
      <c r="I4106">
        <v>27413</v>
      </c>
      <c r="J4106">
        <v>543159</v>
      </c>
      <c r="K4106">
        <v>613106</v>
      </c>
    </row>
    <row r="4107" spans="1:11">
      <c r="A4107">
        <v>90</v>
      </c>
      <c r="B4107" t="b">
        <v>0</v>
      </c>
      <c r="C4107" t="s">
        <v>44648</v>
      </c>
      <c r="D4107">
        <v>1037022454355</v>
      </c>
      <c r="E4107">
        <v>1</v>
      </c>
      <c r="F4107">
        <v>6152298752</v>
      </c>
      <c r="G4107">
        <v>1780</v>
      </c>
      <c r="H4107" t="s">
        <v>40293</v>
      </c>
      <c r="I4107">
        <v>27419</v>
      </c>
      <c r="J4107">
        <v>52429</v>
      </c>
      <c r="K4107">
        <v>80112</v>
      </c>
    </row>
    <row r="4108" spans="1:11">
      <c r="A4108">
        <v>90</v>
      </c>
      <c r="B4108" t="b">
        <v>0</v>
      </c>
      <c r="C4108" t="s">
        <v>41680</v>
      </c>
      <c r="D4108">
        <v>1037022454355</v>
      </c>
      <c r="E4108">
        <v>1</v>
      </c>
      <c r="F4108">
        <v>6108510259</v>
      </c>
      <c r="G4108">
        <v>2280</v>
      </c>
      <c r="H4108" t="s">
        <v>40293</v>
      </c>
      <c r="I4108">
        <v>27423</v>
      </c>
      <c r="J4108">
        <v>415602</v>
      </c>
      <c r="K4108">
        <v>496688</v>
      </c>
    </row>
    <row r="4109" spans="1:11">
      <c r="A4109">
        <v>90</v>
      </c>
      <c r="B4109" t="b">
        <v>0</v>
      </c>
      <c r="C4109" t="s">
        <v>43582</v>
      </c>
      <c r="D4109">
        <v>1037022454355</v>
      </c>
      <c r="E4109">
        <v>1</v>
      </c>
      <c r="F4109">
        <v>6138121941</v>
      </c>
      <c r="G4109">
        <v>2275</v>
      </c>
      <c r="H4109" t="s">
        <v>40293</v>
      </c>
      <c r="I4109">
        <v>27423</v>
      </c>
      <c r="J4109">
        <v>6905</v>
      </c>
      <c r="K4109">
        <v>6905</v>
      </c>
    </row>
    <row r="4110" spans="1:11">
      <c r="A4110">
        <v>90</v>
      </c>
      <c r="B4110" t="b">
        <v>0</v>
      </c>
      <c r="C4110" t="s">
        <v>44677</v>
      </c>
      <c r="D4110">
        <v>1037022454355</v>
      </c>
      <c r="E4110">
        <v>1</v>
      </c>
      <c r="F4110">
        <v>6154691158</v>
      </c>
      <c r="G4110">
        <v>2271</v>
      </c>
      <c r="H4110" t="s">
        <v>40293</v>
      </c>
      <c r="I4110">
        <v>27423</v>
      </c>
      <c r="J4110">
        <v>4108</v>
      </c>
      <c r="K4110">
        <v>14108</v>
      </c>
    </row>
    <row r="4111" spans="1:11">
      <c r="A4111">
        <v>90</v>
      </c>
      <c r="B4111" t="b">
        <v>0</v>
      </c>
      <c r="C4111" t="s">
        <v>44075</v>
      </c>
      <c r="D4111">
        <v>1037022454355</v>
      </c>
      <c r="E4111">
        <v>1</v>
      </c>
      <c r="F4111">
        <v>6132630009</v>
      </c>
      <c r="G4111">
        <v>2266</v>
      </c>
      <c r="H4111" t="s">
        <v>40293</v>
      </c>
      <c r="I4111">
        <v>27423</v>
      </c>
      <c r="J4111">
        <v>416</v>
      </c>
      <c r="K4111">
        <v>10000</v>
      </c>
    </row>
    <row r="4112" spans="1:11">
      <c r="A4112">
        <v>90</v>
      </c>
      <c r="B4112" t="b">
        <v>0</v>
      </c>
      <c r="C4112" t="s">
        <v>42626</v>
      </c>
      <c r="D4112">
        <v>1037022454355</v>
      </c>
      <c r="E4112">
        <v>1</v>
      </c>
      <c r="F4112">
        <v>6136023932</v>
      </c>
      <c r="G4112">
        <v>2067</v>
      </c>
      <c r="H4112" t="s">
        <v>40293</v>
      </c>
      <c r="I4112">
        <v>27429</v>
      </c>
      <c r="J4112">
        <v>87615</v>
      </c>
      <c r="K4112">
        <v>87615</v>
      </c>
    </row>
    <row r="4113" spans="1:11">
      <c r="A4113">
        <v>7</v>
      </c>
      <c r="B4113" t="b">
        <v>0</v>
      </c>
      <c r="C4113" t="s">
        <v>46167</v>
      </c>
      <c r="D4113">
        <v>1037022454355</v>
      </c>
      <c r="E4113">
        <v>1</v>
      </c>
      <c r="F4113">
        <v>6155041959</v>
      </c>
      <c r="G4113">
        <v>2007</v>
      </c>
      <c r="H4113" t="s">
        <v>40293</v>
      </c>
      <c r="I4113">
        <v>27429</v>
      </c>
      <c r="J4113">
        <v>15000</v>
      </c>
      <c r="K4113">
        <v>15000</v>
      </c>
    </row>
    <row r="4114" spans="1:11">
      <c r="A4114">
        <v>90</v>
      </c>
      <c r="B4114" t="b">
        <v>0</v>
      </c>
      <c r="C4114" t="s">
        <v>44362</v>
      </c>
      <c r="D4114">
        <v>1037022454355</v>
      </c>
      <c r="E4114">
        <v>1</v>
      </c>
      <c r="F4114">
        <v>6132630266</v>
      </c>
      <c r="G4114">
        <v>1997</v>
      </c>
      <c r="H4114" t="s">
        <v>40293</v>
      </c>
      <c r="I4114">
        <v>27429</v>
      </c>
      <c r="J4114">
        <v>8500</v>
      </c>
      <c r="K4114">
        <v>10000</v>
      </c>
    </row>
    <row r="4115" spans="1:11">
      <c r="A4115">
        <v>14</v>
      </c>
      <c r="B4115" t="b">
        <v>0</v>
      </c>
      <c r="C4115" t="s">
        <v>44405</v>
      </c>
      <c r="D4115">
        <v>1037022454355</v>
      </c>
      <c r="E4115">
        <v>1</v>
      </c>
      <c r="F4115">
        <v>6126965793</v>
      </c>
      <c r="G4115">
        <v>1996</v>
      </c>
      <c r="H4115" t="s">
        <v>40293</v>
      </c>
      <c r="I4115">
        <v>27429</v>
      </c>
      <c r="J4115">
        <v>26000</v>
      </c>
      <c r="K4115">
        <v>50000</v>
      </c>
    </row>
    <row r="4116" spans="1:11">
      <c r="A4116">
        <v>14</v>
      </c>
      <c r="B4116" t="b">
        <v>0</v>
      </c>
      <c r="C4116" t="s">
        <v>45092</v>
      </c>
      <c r="D4116">
        <v>1037022454355</v>
      </c>
      <c r="E4116">
        <v>1</v>
      </c>
      <c r="F4116">
        <v>6149781029</v>
      </c>
      <c r="G4116">
        <v>2200</v>
      </c>
      <c r="H4116" t="s">
        <v>40293</v>
      </c>
      <c r="I4116">
        <v>27435</v>
      </c>
      <c r="J4116">
        <v>6400</v>
      </c>
      <c r="K4116">
        <v>10000</v>
      </c>
    </row>
    <row r="4117" spans="1:11">
      <c r="A4117">
        <v>90</v>
      </c>
      <c r="B4117" t="b">
        <v>0</v>
      </c>
      <c r="C4117" t="s">
        <v>45149</v>
      </c>
      <c r="D4117">
        <v>1037022454355</v>
      </c>
      <c r="E4117">
        <v>1</v>
      </c>
      <c r="F4117">
        <v>6151289268</v>
      </c>
      <c r="G4117">
        <v>2198</v>
      </c>
      <c r="H4117" t="s">
        <v>40293</v>
      </c>
      <c r="I4117">
        <v>27435</v>
      </c>
      <c r="J4117">
        <v>4000</v>
      </c>
      <c r="K4117">
        <v>4000</v>
      </c>
    </row>
    <row r="4118" spans="1:11">
      <c r="A4118">
        <v>14</v>
      </c>
      <c r="B4118" t="b">
        <v>0</v>
      </c>
      <c r="C4118" t="s">
        <v>45881</v>
      </c>
      <c r="D4118">
        <v>1037022454355</v>
      </c>
      <c r="E4118">
        <v>1</v>
      </c>
      <c r="F4118">
        <v>6152051858</v>
      </c>
      <c r="G4118">
        <v>2000</v>
      </c>
      <c r="H4118" t="s">
        <v>40293</v>
      </c>
      <c r="I4118">
        <v>27435</v>
      </c>
      <c r="J4118">
        <v>8850</v>
      </c>
      <c r="K4118">
        <v>10000</v>
      </c>
    </row>
    <row r="4119" spans="1:11">
      <c r="A4119">
        <v>30</v>
      </c>
      <c r="B4119" t="b">
        <v>0</v>
      </c>
      <c r="C4119" t="s">
        <v>44077</v>
      </c>
      <c r="D4119">
        <v>1037022454355</v>
      </c>
      <c r="E4119">
        <v>1</v>
      </c>
      <c r="F4119">
        <v>6151701009</v>
      </c>
      <c r="G4119">
        <v>1999</v>
      </c>
      <c r="H4119" t="s">
        <v>40293</v>
      </c>
      <c r="I4119">
        <v>27435</v>
      </c>
      <c r="J4119">
        <v>25036</v>
      </c>
      <c r="K4119">
        <v>50000</v>
      </c>
    </row>
    <row r="4120" spans="1:11">
      <c r="A4120">
        <v>90</v>
      </c>
      <c r="B4120" t="b">
        <v>0</v>
      </c>
      <c r="C4120" t="s">
        <v>46142</v>
      </c>
      <c r="D4120">
        <v>1037022454355</v>
      </c>
      <c r="E4120">
        <v>1</v>
      </c>
      <c r="F4120">
        <v>6157396585</v>
      </c>
      <c r="G4120">
        <v>1998</v>
      </c>
      <c r="H4120" t="s">
        <v>40293</v>
      </c>
      <c r="I4120">
        <v>27435</v>
      </c>
      <c r="J4120">
        <v>31</v>
      </c>
      <c r="K4120">
        <v>500</v>
      </c>
    </row>
    <row r="4121" spans="1:11">
      <c r="A4121">
        <v>90</v>
      </c>
      <c r="B4121" t="b">
        <v>0</v>
      </c>
      <c r="C4121" t="s">
        <v>43962</v>
      </c>
      <c r="D4121">
        <v>1037022454355</v>
      </c>
      <c r="E4121">
        <v>1</v>
      </c>
      <c r="F4121">
        <v>6073843107</v>
      </c>
      <c r="G4121">
        <v>1398</v>
      </c>
      <c r="H4121" t="s">
        <v>40293</v>
      </c>
      <c r="I4121">
        <v>27441</v>
      </c>
      <c r="J4121">
        <v>349351</v>
      </c>
      <c r="K4121">
        <v>373943</v>
      </c>
    </row>
    <row r="4122" spans="1:11">
      <c r="A4122">
        <v>7</v>
      </c>
      <c r="B4122" t="b">
        <v>0</v>
      </c>
      <c r="C4122" t="s">
        <v>46555</v>
      </c>
      <c r="D4122">
        <v>1037022454355</v>
      </c>
      <c r="E4122">
        <v>1</v>
      </c>
      <c r="F4122">
        <v>6155042622</v>
      </c>
      <c r="G4122">
        <v>1397</v>
      </c>
      <c r="H4122" t="s">
        <v>40293</v>
      </c>
      <c r="I4122">
        <v>27441</v>
      </c>
      <c r="J4122">
        <v>2896</v>
      </c>
      <c r="K4122">
        <v>2896</v>
      </c>
    </row>
    <row r="4123" spans="1:11">
      <c r="A4123">
        <v>90</v>
      </c>
      <c r="B4123" t="b">
        <v>0</v>
      </c>
      <c r="C4123" t="s">
        <v>46196</v>
      </c>
      <c r="D4123">
        <v>1037022454355</v>
      </c>
      <c r="E4123">
        <v>1</v>
      </c>
      <c r="F4123">
        <v>6157397346</v>
      </c>
      <c r="G4123">
        <v>1396</v>
      </c>
      <c r="H4123" t="s">
        <v>40293</v>
      </c>
      <c r="I4123">
        <v>27441</v>
      </c>
      <c r="J4123">
        <v>101</v>
      </c>
      <c r="K4123">
        <v>575</v>
      </c>
    </row>
    <row r="4124" spans="1:11">
      <c r="A4124">
        <v>90</v>
      </c>
      <c r="B4124" t="b">
        <v>0</v>
      </c>
      <c r="C4124" t="s">
        <v>41728</v>
      </c>
      <c r="D4124">
        <v>1037022454355</v>
      </c>
      <c r="E4124">
        <v>1</v>
      </c>
      <c r="F4124">
        <v>6108511432</v>
      </c>
      <c r="G4124">
        <v>1560</v>
      </c>
      <c r="H4124" t="s">
        <v>40293</v>
      </c>
      <c r="I4124">
        <v>27447</v>
      </c>
      <c r="J4124">
        <v>225178</v>
      </c>
      <c r="K4124">
        <v>484401</v>
      </c>
    </row>
    <row r="4125" spans="1:11">
      <c r="A4125">
        <v>7</v>
      </c>
      <c r="B4125" t="b">
        <v>0</v>
      </c>
      <c r="C4125" t="s">
        <v>46323</v>
      </c>
      <c r="D4125">
        <v>1037022454355</v>
      </c>
      <c r="E4125">
        <v>1</v>
      </c>
      <c r="F4125">
        <v>6155042282</v>
      </c>
      <c r="G4125">
        <v>1555</v>
      </c>
      <c r="H4125" t="s">
        <v>40293</v>
      </c>
      <c r="I4125">
        <v>27447</v>
      </c>
      <c r="J4125">
        <v>812</v>
      </c>
      <c r="K4125">
        <v>812</v>
      </c>
    </row>
    <row r="4126" spans="1:11">
      <c r="A4126">
        <v>30</v>
      </c>
      <c r="B4126" t="b">
        <v>0</v>
      </c>
      <c r="C4126" t="s">
        <v>44051</v>
      </c>
      <c r="D4126">
        <v>1037022454355</v>
      </c>
      <c r="E4126">
        <v>1</v>
      </c>
      <c r="F4126">
        <v>6151700740</v>
      </c>
      <c r="G4126">
        <v>1554</v>
      </c>
      <c r="H4126" t="s">
        <v>40293</v>
      </c>
      <c r="I4126">
        <v>27447</v>
      </c>
      <c r="J4126">
        <v>47400</v>
      </c>
      <c r="K4126">
        <v>50000</v>
      </c>
    </row>
    <row r="4127" spans="1:11">
      <c r="A4127">
        <v>90</v>
      </c>
      <c r="B4127" t="b">
        <v>0</v>
      </c>
      <c r="C4127" t="s">
        <v>45550</v>
      </c>
      <c r="D4127">
        <v>1037022454355</v>
      </c>
      <c r="E4127">
        <v>1</v>
      </c>
      <c r="F4127">
        <v>6157389203</v>
      </c>
      <c r="G4127">
        <v>1553</v>
      </c>
      <c r="H4127" t="s">
        <v>40293</v>
      </c>
      <c r="I4127">
        <v>27447</v>
      </c>
      <c r="J4127">
        <v>800</v>
      </c>
      <c r="K4127">
        <v>800</v>
      </c>
    </row>
    <row r="4128" spans="1:11">
      <c r="A4128">
        <v>90</v>
      </c>
      <c r="B4128" t="b">
        <v>0</v>
      </c>
      <c r="C4128" t="s">
        <v>42302</v>
      </c>
      <c r="D4128">
        <v>1037022454355</v>
      </c>
      <c r="E4128">
        <v>1</v>
      </c>
      <c r="F4128">
        <v>6132073224</v>
      </c>
      <c r="G4128">
        <v>1400</v>
      </c>
      <c r="H4128" t="s">
        <v>40293</v>
      </c>
      <c r="I4128">
        <v>27451</v>
      </c>
      <c r="J4128">
        <v>1000</v>
      </c>
      <c r="K4128">
        <v>1000</v>
      </c>
    </row>
    <row r="4129" spans="1:11">
      <c r="A4129">
        <v>90</v>
      </c>
      <c r="B4129" t="b">
        <v>0</v>
      </c>
      <c r="C4129" t="s">
        <v>42667</v>
      </c>
      <c r="D4129">
        <v>1037022454355</v>
      </c>
      <c r="E4129">
        <v>1</v>
      </c>
      <c r="F4129">
        <v>6136025858</v>
      </c>
      <c r="G4129">
        <v>1410</v>
      </c>
      <c r="H4129" t="s">
        <v>40293</v>
      </c>
      <c r="I4129">
        <v>27453</v>
      </c>
      <c r="J4129">
        <v>257563</v>
      </c>
      <c r="K4129">
        <v>265355</v>
      </c>
    </row>
    <row r="4130" spans="1:11">
      <c r="A4130">
        <v>90</v>
      </c>
      <c r="B4130" t="b">
        <v>0</v>
      </c>
      <c r="C4130" t="s">
        <v>44837</v>
      </c>
      <c r="D4130">
        <v>1037022454355</v>
      </c>
      <c r="E4130">
        <v>1</v>
      </c>
      <c r="F4130">
        <v>6147353045</v>
      </c>
      <c r="G4130">
        <v>1373</v>
      </c>
      <c r="H4130" t="s">
        <v>40293</v>
      </c>
      <c r="I4130">
        <v>27453</v>
      </c>
      <c r="J4130">
        <v>1411</v>
      </c>
      <c r="K4130">
        <v>7701</v>
      </c>
    </row>
    <row r="4131" spans="1:11">
      <c r="A4131">
        <v>90</v>
      </c>
      <c r="B4131" t="b">
        <v>0</v>
      </c>
      <c r="C4131" t="s">
        <v>45255</v>
      </c>
      <c r="D4131">
        <v>1037022454355</v>
      </c>
      <c r="E4131">
        <v>1</v>
      </c>
      <c r="F4131">
        <v>6154600335</v>
      </c>
      <c r="G4131">
        <v>1372</v>
      </c>
      <c r="H4131" t="s">
        <v>40293</v>
      </c>
      <c r="I4131">
        <v>27453</v>
      </c>
      <c r="J4131">
        <v>2088</v>
      </c>
      <c r="K4131">
        <v>2088</v>
      </c>
    </row>
    <row r="4132" spans="1:11">
      <c r="A4132">
        <v>90</v>
      </c>
      <c r="B4132" t="b">
        <v>0</v>
      </c>
      <c r="C4132" t="s">
        <v>40900</v>
      </c>
      <c r="D4132">
        <v>1037022454355</v>
      </c>
      <c r="E4132">
        <v>1</v>
      </c>
      <c r="F4132">
        <v>6099613357</v>
      </c>
      <c r="G4132">
        <v>75000000</v>
      </c>
      <c r="H4132" t="s">
        <v>40293</v>
      </c>
      <c r="I4132">
        <v>27570</v>
      </c>
      <c r="J4132">
        <v>2</v>
      </c>
      <c r="K4132">
        <v>3</v>
      </c>
    </row>
    <row r="4133" spans="1:11">
      <c r="A4133">
        <v>90</v>
      </c>
      <c r="B4133" t="b">
        <v>0</v>
      </c>
      <c r="C4133" t="s">
        <v>44651</v>
      </c>
      <c r="D4133">
        <v>1037022454355</v>
      </c>
      <c r="E4133">
        <v>1</v>
      </c>
      <c r="F4133">
        <v>6155051291</v>
      </c>
      <c r="G4133">
        <v>12000000</v>
      </c>
      <c r="H4133" t="s">
        <v>40293</v>
      </c>
      <c r="I4133">
        <v>27855</v>
      </c>
      <c r="J4133">
        <v>1</v>
      </c>
      <c r="K4133">
        <v>1</v>
      </c>
    </row>
    <row r="4134" spans="1:11">
      <c r="A4134">
        <v>90</v>
      </c>
      <c r="B4134" t="b">
        <v>0</v>
      </c>
      <c r="C4134" t="s">
        <v>40295</v>
      </c>
      <c r="D4134">
        <v>1037022454355</v>
      </c>
      <c r="E4134">
        <v>1</v>
      </c>
      <c r="F4134">
        <v>6100615186</v>
      </c>
      <c r="G4134">
        <v>1345000</v>
      </c>
      <c r="H4134" t="s">
        <v>40293</v>
      </c>
      <c r="I4134">
        <v>27912</v>
      </c>
      <c r="J4134">
        <v>2</v>
      </c>
      <c r="K4134">
        <v>2</v>
      </c>
    </row>
    <row r="4135" spans="1:11">
      <c r="A4135">
        <v>90</v>
      </c>
      <c r="B4135" t="b">
        <v>0</v>
      </c>
      <c r="C4135" t="s">
        <v>40535</v>
      </c>
      <c r="D4135">
        <v>1037022454355</v>
      </c>
      <c r="E4135">
        <v>1</v>
      </c>
      <c r="F4135">
        <v>6119954038</v>
      </c>
      <c r="G4135">
        <v>1033000</v>
      </c>
      <c r="H4135" t="s">
        <v>40293</v>
      </c>
      <c r="I4135">
        <v>27912</v>
      </c>
      <c r="J4135">
        <v>2</v>
      </c>
      <c r="K4135">
        <v>2</v>
      </c>
    </row>
    <row r="4136" spans="1:11">
      <c r="A4136">
        <v>90</v>
      </c>
      <c r="B4136" t="b">
        <v>0</v>
      </c>
      <c r="C4136" t="s">
        <v>42918</v>
      </c>
      <c r="D4136">
        <v>1037022454355</v>
      </c>
      <c r="E4136">
        <v>1</v>
      </c>
      <c r="F4136">
        <v>6142854230</v>
      </c>
      <c r="G4136">
        <v>999000</v>
      </c>
      <c r="H4136" t="s">
        <v>40293</v>
      </c>
      <c r="I4136">
        <v>27912</v>
      </c>
      <c r="J4136">
        <v>21</v>
      </c>
      <c r="K4136">
        <v>46</v>
      </c>
    </row>
    <row r="4137" spans="1:11">
      <c r="A4137">
        <v>90</v>
      </c>
      <c r="B4137" t="b">
        <v>0</v>
      </c>
      <c r="C4137" t="s">
        <v>41066</v>
      </c>
      <c r="D4137">
        <v>1037022454355</v>
      </c>
      <c r="E4137">
        <v>1</v>
      </c>
      <c r="F4137">
        <v>6119933044</v>
      </c>
      <c r="G4137">
        <v>1998000</v>
      </c>
      <c r="H4137" t="s">
        <v>40293</v>
      </c>
      <c r="I4137">
        <v>27914</v>
      </c>
      <c r="J4137">
        <v>1</v>
      </c>
      <c r="K4137">
        <v>3</v>
      </c>
    </row>
    <row r="4138" spans="1:11">
      <c r="A4138">
        <v>90</v>
      </c>
      <c r="B4138" t="b">
        <v>0</v>
      </c>
      <c r="C4138" t="s">
        <v>40368</v>
      </c>
      <c r="D4138">
        <v>1037022454355</v>
      </c>
      <c r="E4138">
        <v>1</v>
      </c>
      <c r="F4138">
        <v>6122783024</v>
      </c>
      <c r="G4138">
        <v>1979000</v>
      </c>
      <c r="H4138" t="s">
        <v>40293</v>
      </c>
      <c r="I4138">
        <v>27914</v>
      </c>
      <c r="J4138">
        <v>1</v>
      </c>
      <c r="K4138">
        <v>1</v>
      </c>
    </row>
    <row r="4139" spans="1:11">
      <c r="A4139">
        <v>90</v>
      </c>
      <c r="B4139" t="b">
        <v>0</v>
      </c>
      <c r="C4139" t="s">
        <v>42417</v>
      </c>
      <c r="D4139">
        <v>1037022454355</v>
      </c>
      <c r="E4139">
        <v>1</v>
      </c>
      <c r="F4139">
        <v>6132801966</v>
      </c>
      <c r="G4139">
        <v>1692000</v>
      </c>
      <c r="H4139" t="s">
        <v>40293</v>
      </c>
      <c r="I4139">
        <v>27914</v>
      </c>
      <c r="J4139">
        <v>34</v>
      </c>
      <c r="K4139">
        <v>35</v>
      </c>
    </row>
    <row r="4140" spans="1:11">
      <c r="A4140">
        <v>90</v>
      </c>
      <c r="B4140" t="b">
        <v>0</v>
      </c>
      <c r="C4140" t="s">
        <v>45728</v>
      </c>
      <c r="D4140">
        <v>1037022454355</v>
      </c>
      <c r="E4140">
        <v>1</v>
      </c>
      <c r="F4140">
        <v>6152738374</v>
      </c>
      <c r="G4140">
        <v>1688000</v>
      </c>
      <c r="H4140" t="s">
        <v>40293</v>
      </c>
      <c r="I4140">
        <v>27914</v>
      </c>
      <c r="J4140">
        <v>17</v>
      </c>
      <c r="K4140">
        <v>17</v>
      </c>
    </row>
    <row r="4141" spans="1:11">
      <c r="A4141">
        <v>90</v>
      </c>
      <c r="B4141" t="b">
        <v>0</v>
      </c>
      <c r="C4141" t="s">
        <v>45216</v>
      </c>
      <c r="D4141">
        <v>1037022454355</v>
      </c>
      <c r="E4141">
        <v>1</v>
      </c>
      <c r="F4141">
        <v>6153420075</v>
      </c>
      <c r="G4141">
        <v>1655000</v>
      </c>
      <c r="H4141" t="s">
        <v>40293</v>
      </c>
      <c r="I4141">
        <v>27914</v>
      </c>
      <c r="J4141">
        <v>2</v>
      </c>
      <c r="K4141">
        <v>4</v>
      </c>
    </row>
    <row r="4142" spans="1:11">
      <c r="A4142">
        <v>90</v>
      </c>
      <c r="B4142" t="b">
        <v>0</v>
      </c>
      <c r="C4142" t="s">
        <v>45806</v>
      </c>
      <c r="D4142">
        <v>1037022454355</v>
      </c>
      <c r="E4142">
        <v>1</v>
      </c>
      <c r="F4142">
        <v>6132619727</v>
      </c>
      <c r="G4142">
        <v>1654000</v>
      </c>
      <c r="H4142" t="s">
        <v>40293</v>
      </c>
      <c r="I4142">
        <v>27914</v>
      </c>
      <c r="J4142">
        <v>5</v>
      </c>
      <c r="K4142">
        <v>9</v>
      </c>
    </row>
    <row r="4143" spans="1:11">
      <c r="A4143">
        <v>90</v>
      </c>
      <c r="B4143" t="b">
        <v>0</v>
      </c>
      <c r="C4143" t="s">
        <v>40808</v>
      </c>
      <c r="D4143">
        <v>1037022454355</v>
      </c>
      <c r="E4143">
        <v>1</v>
      </c>
      <c r="F4143">
        <v>6100462912</v>
      </c>
      <c r="G4143">
        <v>1693000</v>
      </c>
      <c r="H4143" t="s">
        <v>40293</v>
      </c>
      <c r="I4143">
        <v>27916</v>
      </c>
      <c r="J4143">
        <v>9</v>
      </c>
      <c r="K4143">
        <v>20</v>
      </c>
    </row>
    <row r="4144" spans="1:11">
      <c r="A4144">
        <v>90</v>
      </c>
      <c r="B4144" t="b">
        <v>0</v>
      </c>
      <c r="C4144" t="s">
        <v>45037</v>
      </c>
      <c r="D4144">
        <v>1037022454355</v>
      </c>
      <c r="E4144">
        <v>1</v>
      </c>
      <c r="F4144">
        <v>6148360185</v>
      </c>
      <c r="G4144">
        <v>3450000</v>
      </c>
      <c r="H4144" t="s">
        <v>40293</v>
      </c>
      <c r="I4144">
        <v>27918</v>
      </c>
      <c r="J4144">
        <v>4</v>
      </c>
      <c r="K4144">
        <v>4</v>
      </c>
    </row>
    <row r="4145" spans="1:11">
      <c r="A4145">
        <v>90</v>
      </c>
      <c r="B4145" t="b">
        <v>0</v>
      </c>
      <c r="C4145" t="s">
        <v>45873</v>
      </c>
      <c r="D4145">
        <v>1037022454355</v>
      </c>
      <c r="E4145">
        <v>1</v>
      </c>
      <c r="F4145">
        <v>6147333206</v>
      </c>
      <c r="G4145">
        <v>3449000</v>
      </c>
      <c r="H4145" t="s">
        <v>40293</v>
      </c>
      <c r="I4145">
        <v>27918</v>
      </c>
      <c r="J4145">
        <v>20</v>
      </c>
      <c r="K4145">
        <v>20</v>
      </c>
    </row>
    <row r="4146" spans="1:11">
      <c r="A4146">
        <v>90</v>
      </c>
      <c r="B4146" t="b">
        <v>0</v>
      </c>
      <c r="C4146" t="s">
        <v>45594</v>
      </c>
      <c r="D4146">
        <v>1037022454355</v>
      </c>
      <c r="E4146">
        <v>1</v>
      </c>
      <c r="F4146">
        <v>6149623691</v>
      </c>
      <c r="G4146">
        <v>1601000</v>
      </c>
      <c r="H4146" t="s">
        <v>40293</v>
      </c>
      <c r="I4146">
        <v>27918</v>
      </c>
      <c r="J4146">
        <v>6</v>
      </c>
      <c r="K4146">
        <v>6</v>
      </c>
    </row>
    <row r="4147" spans="1:11">
      <c r="A4147">
        <v>90</v>
      </c>
      <c r="B4147" t="b">
        <v>0</v>
      </c>
      <c r="C4147" t="s">
        <v>44724</v>
      </c>
      <c r="D4147">
        <v>1037022454355</v>
      </c>
      <c r="E4147">
        <v>1</v>
      </c>
      <c r="F4147">
        <v>6151873682</v>
      </c>
      <c r="G4147">
        <v>1600000</v>
      </c>
      <c r="H4147" t="s">
        <v>40293</v>
      </c>
      <c r="I4147">
        <v>27918</v>
      </c>
      <c r="J4147">
        <v>8</v>
      </c>
      <c r="K4147">
        <v>10</v>
      </c>
    </row>
    <row r="4148" spans="1:11">
      <c r="A4148">
        <v>90</v>
      </c>
      <c r="B4148" t="b">
        <v>0</v>
      </c>
      <c r="C4148" t="s">
        <v>46280</v>
      </c>
      <c r="D4148">
        <v>1037022454355</v>
      </c>
      <c r="E4148">
        <v>1</v>
      </c>
      <c r="F4148">
        <v>6153496650</v>
      </c>
      <c r="G4148">
        <v>1600000</v>
      </c>
      <c r="H4148" t="s">
        <v>40293</v>
      </c>
      <c r="I4148">
        <v>27918</v>
      </c>
      <c r="J4148">
        <v>25</v>
      </c>
      <c r="K4148">
        <v>25</v>
      </c>
    </row>
    <row r="4149" spans="1:11">
      <c r="A4149">
        <v>90</v>
      </c>
      <c r="B4149" t="b">
        <v>0</v>
      </c>
      <c r="C4149" t="s">
        <v>44032</v>
      </c>
      <c r="D4149">
        <v>1037022454355</v>
      </c>
      <c r="E4149">
        <v>1</v>
      </c>
      <c r="F4149">
        <v>6156599293</v>
      </c>
      <c r="G4149">
        <v>1200000</v>
      </c>
      <c r="H4149" t="s">
        <v>40293</v>
      </c>
      <c r="I4149">
        <v>27920</v>
      </c>
      <c r="J4149">
        <v>1</v>
      </c>
      <c r="K4149">
        <v>3</v>
      </c>
    </row>
    <row r="4150" spans="1:11">
      <c r="A4150">
        <v>90</v>
      </c>
      <c r="B4150" t="b">
        <v>0</v>
      </c>
      <c r="C4150" t="s">
        <v>41038</v>
      </c>
      <c r="D4150">
        <v>1037022454355</v>
      </c>
      <c r="E4150">
        <v>1</v>
      </c>
      <c r="F4150">
        <v>6109413859</v>
      </c>
      <c r="G4150">
        <v>1490000</v>
      </c>
      <c r="H4150" t="s">
        <v>40293</v>
      </c>
      <c r="I4150">
        <v>27924</v>
      </c>
      <c r="J4150">
        <v>2</v>
      </c>
      <c r="K4150">
        <v>2</v>
      </c>
    </row>
    <row r="4151" spans="1:11">
      <c r="A4151">
        <v>90</v>
      </c>
      <c r="B4151" t="b">
        <v>0</v>
      </c>
      <c r="C4151" t="s">
        <v>43396</v>
      </c>
      <c r="D4151">
        <v>1037022454355</v>
      </c>
      <c r="E4151">
        <v>1</v>
      </c>
      <c r="F4151">
        <v>6138247148</v>
      </c>
      <c r="G4151">
        <v>1100000</v>
      </c>
      <c r="H4151" t="s">
        <v>40293</v>
      </c>
      <c r="I4151">
        <v>27924</v>
      </c>
      <c r="J4151">
        <v>63</v>
      </c>
      <c r="K4151">
        <v>63</v>
      </c>
    </row>
    <row r="4152" spans="1:11">
      <c r="A4152">
        <v>90</v>
      </c>
      <c r="B4152" t="b">
        <v>0</v>
      </c>
      <c r="C4152" t="s">
        <v>43027</v>
      </c>
      <c r="D4152">
        <v>1037022454355</v>
      </c>
      <c r="E4152">
        <v>1</v>
      </c>
      <c r="F4152">
        <v>6130766431</v>
      </c>
      <c r="G4152">
        <v>1098000</v>
      </c>
      <c r="H4152" t="s">
        <v>40293</v>
      </c>
      <c r="I4152">
        <v>27924</v>
      </c>
      <c r="J4152">
        <v>3</v>
      </c>
      <c r="K4152">
        <v>3</v>
      </c>
    </row>
    <row r="4153" spans="1:11">
      <c r="A4153">
        <v>90</v>
      </c>
      <c r="B4153" t="b">
        <v>0</v>
      </c>
      <c r="C4153" t="s">
        <v>45728</v>
      </c>
      <c r="D4153">
        <v>1037022454355</v>
      </c>
      <c r="E4153">
        <v>1</v>
      </c>
      <c r="F4153">
        <v>6152738359</v>
      </c>
      <c r="G4153">
        <v>1051000</v>
      </c>
      <c r="H4153" t="s">
        <v>40293</v>
      </c>
      <c r="I4153">
        <v>27924</v>
      </c>
      <c r="J4153">
        <v>3</v>
      </c>
      <c r="K4153">
        <v>3</v>
      </c>
    </row>
    <row r="4154" spans="1:11">
      <c r="A4154">
        <v>90</v>
      </c>
      <c r="B4154" t="b">
        <v>0</v>
      </c>
      <c r="C4154" t="s">
        <v>44625</v>
      </c>
      <c r="D4154">
        <v>1037022454355</v>
      </c>
      <c r="E4154">
        <v>1</v>
      </c>
      <c r="F4154">
        <v>6153547783</v>
      </c>
      <c r="G4154">
        <v>1040000</v>
      </c>
      <c r="H4154" t="s">
        <v>40293</v>
      </c>
      <c r="I4154">
        <v>27924</v>
      </c>
      <c r="J4154">
        <v>3</v>
      </c>
      <c r="K4154">
        <v>4</v>
      </c>
    </row>
    <row r="4155" spans="1:11">
      <c r="A4155">
        <v>90</v>
      </c>
      <c r="B4155" t="b">
        <v>0</v>
      </c>
      <c r="C4155" t="s">
        <v>45064</v>
      </c>
      <c r="D4155">
        <v>1037022454355</v>
      </c>
      <c r="E4155">
        <v>1</v>
      </c>
      <c r="F4155">
        <v>6128973064</v>
      </c>
      <c r="G4155">
        <v>1039000</v>
      </c>
      <c r="H4155" t="s">
        <v>40293</v>
      </c>
      <c r="I4155">
        <v>27924</v>
      </c>
      <c r="J4155">
        <v>7</v>
      </c>
      <c r="K4155">
        <v>14</v>
      </c>
    </row>
    <row r="4156" spans="1:11">
      <c r="A4156">
        <v>90</v>
      </c>
      <c r="B4156" t="b">
        <v>0</v>
      </c>
      <c r="C4156" t="s">
        <v>44214</v>
      </c>
      <c r="D4156">
        <v>1037022454355</v>
      </c>
      <c r="E4156">
        <v>1</v>
      </c>
      <c r="F4156">
        <v>6121425272</v>
      </c>
      <c r="G4156">
        <v>1036000</v>
      </c>
      <c r="H4156" t="s">
        <v>40293</v>
      </c>
      <c r="I4156">
        <v>27924</v>
      </c>
      <c r="J4156">
        <v>4</v>
      </c>
      <c r="K4156">
        <v>4</v>
      </c>
    </row>
    <row r="4157" spans="1:11">
      <c r="A4157">
        <v>90</v>
      </c>
      <c r="B4157" t="b">
        <v>0</v>
      </c>
      <c r="C4157" t="s">
        <v>41168</v>
      </c>
      <c r="D4157">
        <v>1037022454355</v>
      </c>
      <c r="E4157">
        <v>1</v>
      </c>
      <c r="F4157">
        <v>6092475440</v>
      </c>
      <c r="G4157">
        <v>57500000</v>
      </c>
      <c r="H4157" t="s">
        <v>40293</v>
      </c>
      <c r="I4157">
        <v>27951</v>
      </c>
      <c r="J4157">
        <v>1</v>
      </c>
      <c r="K4157">
        <v>1</v>
      </c>
    </row>
    <row r="4158" spans="1:11">
      <c r="A4158">
        <v>90</v>
      </c>
      <c r="B4158" t="b">
        <v>0</v>
      </c>
      <c r="C4158" t="s">
        <v>45643</v>
      </c>
      <c r="D4158">
        <v>1037022454355</v>
      </c>
      <c r="E4158">
        <v>1</v>
      </c>
      <c r="F4158">
        <v>6156007083</v>
      </c>
      <c r="G4158">
        <v>500000</v>
      </c>
      <c r="H4158" t="s">
        <v>40293</v>
      </c>
      <c r="I4158">
        <v>28201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45845</v>
      </c>
      <c r="D4159">
        <v>1037022454355</v>
      </c>
      <c r="E4159">
        <v>1</v>
      </c>
      <c r="F4159">
        <v>6156704560</v>
      </c>
      <c r="G4159">
        <v>500000</v>
      </c>
      <c r="H4159" t="s">
        <v>40293</v>
      </c>
      <c r="I4159">
        <v>28201</v>
      </c>
      <c r="J4159">
        <v>11</v>
      </c>
      <c r="K4159">
        <v>11</v>
      </c>
    </row>
    <row r="4160" spans="1:11">
      <c r="A4160">
        <v>90</v>
      </c>
      <c r="B4160" t="b">
        <v>0</v>
      </c>
      <c r="C4160" t="s">
        <v>43010</v>
      </c>
      <c r="D4160">
        <v>1037022454355</v>
      </c>
      <c r="E4160">
        <v>1</v>
      </c>
      <c r="F4160">
        <v>6138302665</v>
      </c>
      <c r="G4160">
        <v>3500000</v>
      </c>
      <c r="H4160" t="s">
        <v>40293</v>
      </c>
      <c r="I4160">
        <v>28203</v>
      </c>
      <c r="J4160">
        <v>22</v>
      </c>
      <c r="K4160">
        <v>25</v>
      </c>
    </row>
    <row r="4161" spans="1:11">
      <c r="A4161">
        <v>90</v>
      </c>
      <c r="B4161" t="b">
        <v>0</v>
      </c>
      <c r="C4161" t="s">
        <v>44239</v>
      </c>
      <c r="D4161">
        <v>1037022454355</v>
      </c>
      <c r="E4161">
        <v>1</v>
      </c>
      <c r="F4161">
        <v>6151706332</v>
      </c>
      <c r="G4161">
        <v>1450000</v>
      </c>
      <c r="H4161" t="s">
        <v>40293</v>
      </c>
      <c r="I4161">
        <v>28203</v>
      </c>
      <c r="J4161">
        <v>81</v>
      </c>
      <c r="K4161">
        <v>86</v>
      </c>
    </row>
    <row r="4162" spans="1:11">
      <c r="A4162">
        <v>90</v>
      </c>
      <c r="B4162" t="b">
        <v>0</v>
      </c>
      <c r="C4162" t="s">
        <v>44239</v>
      </c>
      <c r="D4162">
        <v>1037022454355</v>
      </c>
      <c r="E4162">
        <v>1</v>
      </c>
      <c r="F4162">
        <v>6151706333</v>
      </c>
      <c r="G4162">
        <v>2950000</v>
      </c>
      <c r="H4162" t="s">
        <v>40293</v>
      </c>
      <c r="I4162">
        <v>28207</v>
      </c>
      <c r="J4162">
        <v>129</v>
      </c>
      <c r="K4162">
        <v>129</v>
      </c>
    </row>
    <row r="4163" spans="1:11">
      <c r="A4163">
        <v>90</v>
      </c>
      <c r="B4163" t="b">
        <v>0</v>
      </c>
      <c r="C4163" t="s">
        <v>43233</v>
      </c>
      <c r="D4163">
        <v>1037022454355</v>
      </c>
      <c r="E4163">
        <v>1</v>
      </c>
      <c r="F4163">
        <v>6143813828</v>
      </c>
      <c r="G4163">
        <v>2472000</v>
      </c>
      <c r="H4163" t="s">
        <v>40293</v>
      </c>
      <c r="I4163">
        <v>28209</v>
      </c>
      <c r="J4163">
        <v>2</v>
      </c>
      <c r="K4163">
        <v>5</v>
      </c>
    </row>
    <row r="4164" spans="1:11">
      <c r="A4164">
        <v>90</v>
      </c>
      <c r="B4164" t="b">
        <v>0</v>
      </c>
      <c r="C4164" t="s">
        <v>46529</v>
      </c>
      <c r="D4164">
        <v>1037022454355</v>
      </c>
      <c r="E4164">
        <v>1</v>
      </c>
      <c r="F4164">
        <v>6148434521</v>
      </c>
      <c r="G4164">
        <v>2471000</v>
      </c>
      <c r="H4164" t="s">
        <v>40293</v>
      </c>
      <c r="I4164">
        <v>28209</v>
      </c>
      <c r="J4164">
        <v>20</v>
      </c>
      <c r="K4164">
        <v>20</v>
      </c>
    </row>
    <row r="4165" spans="1:11">
      <c r="A4165">
        <v>90</v>
      </c>
      <c r="B4165" t="b">
        <v>0</v>
      </c>
      <c r="C4165" t="s">
        <v>46053</v>
      </c>
      <c r="D4165">
        <v>1037022454355</v>
      </c>
      <c r="E4165">
        <v>1</v>
      </c>
      <c r="F4165">
        <v>6134129956</v>
      </c>
      <c r="G4165">
        <v>2470000</v>
      </c>
      <c r="H4165" t="s">
        <v>40293</v>
      </c>
      <c r="I4165">
        <v>28209</v>
      </c>
      <c r="J4165">
        <v>25</v>
      </c>
      <c r="K4165">
        <v>25</v>
      </c>
    </row>
    <row r="4166" spans="1:11">
      <c r="A4166">
        <v>90</v>
      </c>
      <c r="B4166" t="b">
        <v>0</v>
      </c>
      <c r="C4166" t="s">
        <v>44992</v>
      </c>
      <c r="D4166">
        <v>1037022454355</v>
      </c>
      <c r="E4166">
        <v>1</v>
      </c>
      <c r="F4166">
        <v>6150703153</v>
      </c>
      <c r="G4166">
        <v>2395000</v>
      </c>
      <c r="H4166" t="s">
        <v>40293</v>
      </c>
      <c r="I4166">
        <v>28209</v>
      </c>
      <c r="J4166">
        <v>3</v>
      </c>
      <c r="K4166">
        <v>3</v>
      </c>
    </row>
    <row r="4167" spans="1:11">
      <c r="A4167">
        <v>90</v>
      </c>
      <c r="B4167" t="b">
        <v>0</v>
      </c>
      <c r="C4167" t="s">
        <v>45211</v>
      </c>
      <c r="D4167">
        <v>1037022454355</v>
      </c>
      <c r="E4167">
        <v>1</v>
      </c>
      <c r="F4167">
        <v>6151978218</v>
      </c>
      <c r="G4167">
        <v>2385000</v>
      </c>
      <c r="H4167" t="s">
        <v>40293</v>
      </c>
      <c r="I4167">
        <v>28209</v>
      </c>
      <c r="J4167">
        <v>2</v>
      </c>
      <c r="K4167">
        <v>2</v>
      </c>
    </row>
    <row r="4168" spans="1:11">
      <c r="A4168">
        <v>90</v>
      </c>
      <c r="B4168" t="b">
        <v>0</v>
      </c>
      <c r="C4168" t="s">
        <v>45128</v>
      </c>
      <c r="D4168">
        <v>1037022454355</v>
      </c>
      <c r="E4168">
        <v>1</v>
      </c>
      <c r="F4168">
        <v>6153058300</v>
      </c>
      <c r="G4168">
        <v>1400000</v>
      </c>
      <c r="H4168" t="s">
        <v>40293</v>
      </c>
      <c r="I4168">
        <v>28211</v>
      </c>
      <c r="J4168">
        <v>19</v>
      </c>
      <c r="K4168">
        <v>20</v>
      </c>
    </row>
    <row r="4169" spans="1:11">
      <c r="A4169">
        <v>90</v>
      </c>
      <c r="B4169" t="b">
        <v>0</v>
      </c>
      <c r="C4169" t="s">
        <v>45543</v>
      </c>
      <c r="D4169">
        <v>1037022454355</v>
      </c>
      <c r="E4169">
        <v>1</v>
      </c>
      <c r="F4169">
        <v>6156608045</v>
      </c>
      <c r="G4169">
        <v>1390000</v>
      </c>
      <c r="H4169" t="s">
        <v>40293</v>
      </c>
      <c r="I4169">
        <v>28211</v>
      </c>
      <c r="J4169">
        <v>5</v>
      </c>
      <c r="K4169">
        <v>5</v>
      </c>
    </row>
    <row r="4170" spans="1:11">
      <c r="A4170">
        <v>90</v>
      </c>
      <c r="B4170" t="b">
        <v>0</v>
      </c>
      <c r="C4170" t="s">
        <v>41526</v>
      </c>
      <c r="D4170">
        <v>1037022454355</v>
      </c>
      <c r="E4170">
        <v>1</v>
      </c>
      <c r="F4170">
        <v>6075075991</v>
      </c>
      <c r="G4170">
        <v>1892000</v>
      </c>
      <c r="H4170" t="s">
        <v>40293</v>
      </c>
      <c r="I4170">
        <v>28213</v>
      </c>
      <c r="J4170">
        <v>16</v>
      </c>
      <c r="K4170">
        <v>25</v>
      </c>
    </row>
    <row r="4171" spans="1:11">
      <c r="A4171">
        <v>90</v>
      </c>
      <c r="B4171" t="b">
        <v>0</v>
      </c>
      <c r="C4171" t="s">
        <v>40389</v>
      </c>
      <c r="D4171">
        <v>1037022454355</v>
      </c>
      <c r="E4171">
        <v>1</v>
      </c>
      <c r="F4171">
        <v>6108711217</v>
      </c>
      <c r="G4171">
        <v>1700000</v>
      </c>
      <c r="H4171" t="s">
        <v>40293</v>
      </c>
      <c r="I4171">
        <v>28213</v>
      </c>
      <c r="J4171">
        <v>85</v>
      </c>
      <c r="K4171">
        <v>85</v>
      </c>
    </row>
    <row r="4172" spans="1:11">
      <c r="A4172">
        <v>90</v>
      </c>
      <c r="B4172" t="b">
        <v>0</v>
      </c>
      <c r="C4172" t="s">
        <v>40953</v>
      </c>
      <c r="D4172">
        <v>1037022454355</v>
      </c>
      <c r="E4172">
        <v>1</v>
      </c>
      <c r="F4172">
        <v>6110296878</v>
      </c>
      <c r="G4172">
        <v>1694000</v>
      </c>
      <c r="H4172" t="s">
        <v>40293</v>
      </c>
      <c r="I4172">
        <v>28213</v>
      </c>
      <c r="J4172">
        <v>2</v>
      </c>
      <c r="K4172">
        <v>6</v>
      </c>
    </row>
    <row r="4173" spans="1:11">
      <c r="A4173">
        <v>90</v>
      </c>
      <c r="B4173" t="b">
        <v>0</v>
      </c>
      <c r="C4173" t="s">
        <v>42363</v>
      </c>
      <c r="D4173">
        <v>1037022454355</v>
      </c>
      <c r="E4173">
        <v>1</v>
      </c>
      <c r="F4173">
        <v>6136239334</v>
      </c>
      <c r="G4173">
        <v>1693000</v>
      </c>
      <c r="H4173" t="s">
        <v>40293</v>
      </c>
      <c r="I4173">
        <v>28213</v>
      </c>
      <c r="J4173">
        <v>12</v>
      </c>
      <c r="K4173">
        <v>40</v>
      </c>
    </row>
    <row r="4174" spans="1:11">
      <c r="A4174">
        <v>90</v>
      </c>
      <c r="B4174" t="b">
        <v>0</v>
      </c>
      <c r="C4174" t="s">
        <v>43871</v>
      </c>
      <c r="D4174">
        <v>1037022454355</v>
      </c>
      <c r="E4174">
        <v>1</v>
      </c>
      <c r="F4174">
        <v>6142776163</v>
      </c>
      <c r="G4174">
        <v>1598000</v>
      </c>
      <c r="H4174" t="s">
        <v>40293</v>
      </c>
      <c r="I4174">
        <v>28213</v>
      </c>
      <c r="J4174">
        <v>425</v>
      </c>
      <c r="K4174">
        <v>460</v>
      </c>
    </row>
    <row r="4175" spans="1:11">
      <c r="A4175">
        <v>90</v>
      </c>
      <c r="B4175" t="b">
        <v>0</v>
      </c>
      <c r="C4175" t="s">
        <v>45956</v>
      </c>
      <c r="D4175">
        <v>1037022454355</v>
      </c>
      <c r="E4175">
        <v>1</v>
      </c>
      <c r="F4175">
        <v>6153101330</v>
      </c>
      <c r="G4175">
        <v>1597000</v>
      </c>
      <c r="H4175" t="s">
        <v>40293</v>
      </c>
      <c r="I4175">
        <v>28213</v>
      </c>
      <c r="J4175">
        <v>17</v>
      </c>
      <c r="K4175">
        <v>20</v>
      </c>
    </row>
    <row r="4176" spans="1:11">
      <c r="A4176">
        <v>90</v>
      </c>
      <c r="B4176" t="b">
        <v>0</v>
      </c>
      <c r="C4176" t="s">
        <v>44966</v>
      </c>
      <c r="D4176">
        <v>1037022454355</v>
      </c>
      <c r="E4176">
        <v>1</v>
      </c>
      <c r="F4176">
        <v>6140571681</v>
      </c>
      <c r="G4176">
        <v>1595000</v>
      </c>
      <c r="H4176" t="s">
        <v>40293</v>
      </c>
      <c r="I4176">
        <v>28213</v>
      </c>
      <c r="J4176">
        <v>55</v>
      </c>
      <c r="K4176">
        <v>70</v>
      </c>
    </row>
    <row r="4177" spans="1:11">
      <c r="A4177">
        <v>90</v>
      </c>
      <c r="B4177" t="b">
        <v>0</v>
      </c>
      <c r="C4177" t="s">
        <v>46213</v>
      </c>
      <c r="D4177">
        <v>1037022454355</v>
      </c>
      <c r="E4177">
        <v>1</v>
      </c>
      <c r="F4177">
        <v>6155398716</v>
      </c>
      <c r="G4177">
        <v>2500000</v>
      </c>
      <c r="H4177" t="s">
        <v>40293</v>
      </c>
      <c r="I4177">
        <v>28215</v>
      </c>
      <c r="J4177">
        <v>10</v>
      </c>
      <c r="K4177">
        <v>10</v>
      </c>
    </row>
    <row r="4178" spans="1:11">
      <c r="A4178">
        <v>90</v>
      </c>
      <c r="B4178" t="b">
        <v>0</v>
      </c>
      <c r="C4178" t="s">
        <v>40747</v>
      </c>
      <c r="D4178">
        <v>1037022454355</v>
      </c>
      <c r="E4178">
        <v>1</v>
      </c>
      <c r="F4178">
        <v>6089746372</v>
      </c>
      <c r="G4178">
        <v>474000</v>
      </c>
      <c r="H4178" t="s">
        <v>40293</v>
      </c>
      <c r="I4178">
        <v>28262</v>
      </c>
      <c r="J4178">
        <v>240</v>
      </c>
      <c r="K4178">
        <v>240</v>
      </c>
    </row>
    <row r="4179" spans="1:11">
      <c r="A4179">
        <v>90</v>
      </c>
      <c r="B4179" t="b">
        <v>0</v>
      </c>
      <c r="C4179" t="s">
        <v>41223</v>
      </c>
      <c r="D4179">
        <v>1037022454355</v>
      </c>
      <c r="E4179">
        <v>1</v>
      </c>
      <c r="F4179">
        <v>6092705923</v>
      </c>
      <c r="G4179">
        <v>470000</v>
      </c>
      <c r="H4179" t="s">
        <v>40293</v>
      </c>
      <c r="I4179">
        <v>28262</v>
      </c>
      <c r="J4179">
        <v>5</v>
      </c>
      <c r="K4179">
        <v>5</v>
      </c>
    </row>
    <row r="4180" spans="1:11">
      <c r="A4180">
        <v>90</v>
      </c>
      <c r="B4180" t="b">
        <v>0</v>
      </c>
      <c r="C4180" t="s">
        <v>41445</v>
      </c>
      <c r="D4180">
        <v>1037022454355</v>
      </c>
      <c r="E4180">
        <v>1</v>
      </c>
      <c r="F4180">
        <v>6109389309</v>
      </c>
      <c r="G4180">
        <v>390000</v>
      </c>
      <c r="H4180" t="s">
        <v>40293</v>
      </c>
      <c r="I4180">
        <v>28262</v>
      </c>
      <c r="J4180">
        <v>11</v>
      </c>
      <c r="K4180">
        <v>11</v>
      </c>
    </row>
    <row r="4181" spans="1:11">
      <c r="A4181">
        <v>90</v>
      </c>
      <c r="B4181" t="b">
        <v>0</v>
      </c>
      <c r="C4181" t="s">
        <v>41505</v>
      </c>
      <c r="D4181">
        <v>1037022454355</v>
      </c>
      <c r="E4181">
        <v>1</v>
      </c>
      <c r="F4181">
        <v>6110898228</v>
      </c>
      <c r="G4181">
        <v>390000</v>
      </c>
      <c r="H4181" t="s">
        <v>40293</v>
      </c>
      <c r="I4181">
        <v>28262</v>
      </c>
      <c r="J4181">
        <v>20</v>
      </c>
      <c r="K4181">
        <v>20</v>
      </c>
    </row>
    <row r="4182" spans="1:11">
      <c r="A4182">
        <v>90</v>
      </c>
      <c r="B4182" t="b">
        <v>0</v>
      </c>
      <c r="C4182" t="s">
        <v>40374</v>
      </c>
      <c r="D4182">
        <v>1037022454355</v>
      </c>
      <c r="E4182">
        <v>1</v>
      </c>
      <c r="F4182">
        <v>6114576329</v>
      </c>
      <c r="G4182">
        <v>385000</v>
      </c>
      <c r="H4182" t="s">
        <v>40293</v>
      </c>
      <c r="I4182">
        <v>28262</v>
      </c>
      <c r="J4182">
        <v>67</v>
      </c>
      <c r="K4182">
        <v>120</v>
      </c>
    </row>
    <row r="4183" spans="1:11">
      <c r="A4183">
        <v>14</v>
      </c>
      <c r="B4183" t="b">
        <v>0</v>
      </c>
      <c r="C4183" t="s">
        <v>45656</v>
      </c>
      <c r="D4183">
        <v>1037022454355</v>
      </c>
      <c r="E4183">
        <v>1</v>
      </c>
      <c r="F4183">
        <v>6154811510</v>
      </c>
      <c r="G4183">
        <v>385000</v>
      </c>
      <c r="H4183" t="s">
        <v>40293</v>
      </c>
      <c r="I4183">
        <v>28262</v>
      </c>
      <c r="J4183">
        <v>60</v>
      </c>
      <c r="K4183">
        <v>60</v>
      </c>
    </row>
    <row r="4184" spans="1:11">
      <c r="A4184">
        <v>90</v>
      </c>
      <c r="B4184" t="b">
        <v>0</v>
      </c>
      <c r="C4184" t="s">
        <v>45223</v>
      </c>
      <c r="D4184">
        <v>1037022454355</v>
      </c>
      <c r="E4184">
        <v>1</v>
      </c>
      <c r="F4184">
        <v>6151978346</v>
      </c>
      <c r="G4184">
        <v>384000</v>
      </c>
      <c r="H4184" t="s">
        <v>40293</v>
      </c>
      <c r="I4184">
        <v>28262</v>
      </c>
      <c r="J4184">
        <v>45</v>
      </c>
      <c r="K4184">
        <v>50</v>
      </c>
    </row>
    <row r="4185" spans="1:11">
      <c r="A4185">
        <v>90</v>
      </c>
      <c r="B4185" t="b">
        <v>0</v>
      </c>
      <c r="C4185" t="s">
        <v>44974</v>
      </c>
      <c r="D4185">
        <v>1037022454355</v>
      </c>
      <c r="E4185">
        <v>1</v>
      </c>
      <c r="F4185">
        <v>6155939953</v>
      </c>
      <c r="G4185">
        <v>380000</v>
      </c>
      <c r="H4185" t="s">
        <v>40293</v>
      </c>
      <c r="I4185">
        <v>28262</v>
      </c>
      <c r="J4185">
        <v>29</v>
      </c>
      <c r="K4185">
        <v>29</v>
      </c>
    </row>
    <row r="4186" spans="1:11">
      <c r="A4186">
        <v>90</v>
      </c>
      <c r="B4186" t="b">
        <v>0</v>
      </c>
      <c r="C4186" t="s">
        <v>44128</v>
      </c>
      <c r="D4186">
        <v>1037022454355</v>
      </c>
      <c r="E4186">
        <v>1</v>
      </c>
      <c r="F4186">
        <v>6155961504</v>
      </c>
      <c r="G4186">
        <v>379000</v>
      </c>
      <c r="H4186" t="s">
        <v>40293</v>
      </c>
      <c r="I4186">
        <v>28262</v>
      </c>
      <c r="J4186">
        <v>46</v>
      </c>
      <c r="K4186">
        <v>49</v>
      </c>
    </row>
    <row r="4187" spans="1:11">
      <c r="A4187">
        <v>90</v>
      </c>
      <c r="B4187" t="b">
        <v>0</v>
      </c>
      <c r="C4187" t="s">
        <v>41171</v>
      </c>
      <c r="D4187">
        <v>1037022454355</v>
      </c>
      <c r="E4187">
        <v>1</v>
      </c>
      <c r="F4187">
        <v>6118886501</v>
      </c>
      <c r="G4187">
        <v>21990000</v>
      </c>
      <c r="H4187" t="s">
        <v>40293</v>
      </c>
      <c r="I4187">
        <v>28264</v>
      </c>
      <c r="J4187">
        <v>20</v>
      </c>
      <c r="K4187">
        <v>20</v>
      </c>
    </row>
    <row r="4188" spans="1:11">
      <c r="A4188">
        <v>90</v>
      </c>
      <c r="B4188" t="b">
        <v>0</v>
      </c>
      <c r="C4188" t="s">
        <v>43151</v>
      </c>
      <c r="D4188">
        <v>1037022454355</v>
      </c>
      <c r="E4188">
        <v>1</v>
      </c>
      <c r="F4188">
        <v>6141484658</v>
      </c>
      <c r="G4188">
        <v>20000000</v>
      </c>
      <c r="H4188" t="s">
        <v>40293</v>
      </c>
      <c r="I4188">
        <v>28264</v>
      </c>
      <c r="J4188">
        <v>8</v>
      </c>
      <c r="K4188">
        <v>8</v>
      </c>
    </row>
    <row r="4189" spans="1:11">
      <c r="A4189">
        <v>90</v>
      </c>
      <c r="B4189" t="b">
        <v>0</v>
      </c>
      <c r="C4189" t="s">
        <v>40576</v>
      </c>
      <c r="D4189">
        <v>1037022454355</v>
      </c>
      <c r="E4189">
        <v>1</v>
      </c>
      <c r="F4189">
        <v>6102425642</v>
      </c>
      <c r="G4189">
        <v>19200000</v>
      </c>
      <c r="H4189" t="s">
        <v>40293</v>
      </c>
      <c r="I4189">
        <v>28264</v>
      </c>
      <c r="J4189">
        <v>1</v>
      </c>
      <c r="K4189">
        <v>20</v>
      </c>
    </row>
    <row r="4190" spans="1:11">
      <c r="A4190">
        <v>90</v>
      </c>
      <c r="B4190" t="b">
        <v>0</v>
      </c>
      <c r="C4190" t="s">
        <v>42693</v>
      </c>
      <c r="D4190">
        <v>1037022454355</v>
      </c>
      <c r="E4190">
        <v>1</v>
      </c>
      <c r="F4190">
        <v>6132194007</v>
      </c>
      <c r="G4190">
        <v>19150000</v>
      </c>
      <c r="H4190" t="s">
        <v>40293</v>
      </c>
      <c r="I4190">
        <v>28264</v>
      </c>
      <c r="J4190">
        <v>1</v>
      </c>
      <c r="K4190">
        <v>1</v>
      </c>
    </row>
    <row r="4191" spans="1:11">
      <c r="A4191">
        <v>90</v>
      </c>
      <c r="B4191" t="b">
        <v>0</v>
      </c>
      <c r="C4191" t="s">
        <v>43356</v>
      </c>
      <c r="D4191">
        <v>1037022454355</v>
      </c>
      <c r="E4191">
        <v>1</v>
      </c>
      <c r="F4191">
        <v>6143685550</v>
      </c>
      <c r="G4191">
        <v>19090000</v>
      </c>
      <c r="H4191" t="s">
        <v>40293</v>
      </c>
      <c r="I4191">
        <v>28264</v>
      </c>
      <c r="J4191">
        <v>16</v>
      </c>
      <c r="K4191">
        <v>16</v>
      </c>
    </row>
    <row r="4192" spans="1:11">
      <c r="A4192">
        <v>90</v>
      </c>
      <c r="B4192" t="b">
        <v>0</v>
      </c>
      <c r="C4192" t="s">
        <v>44398</v>
      </c>
      <c r="D4192">
        <v>1037022454355</v>
      </c>
      <c r="E4192">
        <v>1</v>
      </c>
      <c r="F4192">
        <v>6129619860</v>
      </c>
      <c r="G4192">
        <v>19080000</v>
      </c>
      <c r="H4192" t="s">
        <v>40293</v>
      </c>
      <c r="I4192">
        <v>28264</v>
      </c>
      <c r="J4192">
        <v>1</v>
      </c>
      <c r="K4192">
        <v>3</v>
      </c>
    </row>
    <row r="4193" spans="1:11">
      <c r="A4193">
        <v>90</v>
      </c>
      <c r="B4193" t="b">
        <v>0</v>
      </c>
      <c r="C4193" t="s">
        <v>43777</v>
      </c>
      <c r="D4193">
        <v>1037022454355</v>
      </c>
      <c r="E4193">
        <v>1</v>
      </c>
      <c r="F4193">
        <v>6143797572</v>
      </c>
      <c r="G4193">
        <v>1399000</v>
      </c>
      <c r="H4193" t="s">
        <v>40293</v>
      </c>
      <c r="I4193">
        <v>28266</v>
      </c>
      <c r="J4193">
        <v>2</v>
      </c>
      <c r="K4193">
        <v>2</v>
      </c>
    </row>
    <row r="4194" spans="1:11">
      <c r="A4194">
        <v>90</v>
      </c>
      <c r="B4194" t="b">
        <v>0</v>
      </c>
      <c r="C4194" t="s">
        <v>40812</v>
      </c>
      <c r="D4194">
        <v>1037022454355</v>
      </c>
      <c r="E4194">
        <v>1</v>
      </c>
      <c r="F4194">
        <v>6103969226</v>
      </c>
      <c r="G4194">
        <v>27000000</v>
      </c>
      <c r="H4194" t="s">
        <v>40293</v>
      </c>
      <c r="I4194">
        <v>28268</v>
      </c>
      <c r="J4194">
        <v>5</v>
      </c>
      <c r="K4194">
        <v>5</v>
      </c>
    </row>
    <row r="4195" spans="1:11">
      <c r="A4195">
        <v>90</v>
      </c>
      <c r="B4195" t="b">
        <v>0</v>
      </c>
      <c r="C4195" t="s">
        <v>41794</v>
      </c>
      <c r="D4195">
        <v>1037022454355</v>
      </c>
      <c r="E4195">
        <v>1</v>
      </c>
      <c r="F4195">
        <v>6128962632</v>
      </c>
      <c r="G4195">
        <v>25000000</v>
      </c>
      <c r="H4195" t="s">
        <v>40293</v>
      </c>
      <c r="I4195">
        <v>28268</v>
      </c>
      <c r="J4195">
        <v>5</v>
      </c>
      <c r="K4195">
        <v>5</v>
      </c>
    </row>
    <row r="4196" spans="1:11">
      <c r="A4196">
        <v>90</v>
      </c>
      <c r="B4196" t="b">
        <v>0</v>
      </c>
      <c r="C4196" t="s">
        <v>43824</v>
      </c>
      <c r="D4196">
        <v>1037022454355</v>
      </c>
      <c r="E4196">
        <v>1</v>
      </c>
      <c r="F4196">
        <v>6140096001</v>
      </c>
      <c r="G4196">
        <v>20400000</v>
      </c>
      <c r="H4196" t="s">
        <v>40293</v>
      </c>
      <c r="I4196">
        <v>28268</v>
      </c>
      <c r="J4196">
        <v>40</v>
      </c>
      <c r="K4196">
        <v>40</v>
      </c>
    </row>
    <row r="4197" spans="1:11">
      <c r="A4197">
        <v>90</v>
      </c>
      <c r="B4197" t="b">
        <v>0</v>
      </c>
      <c r="C4197" t="s">
        <v>41187</v>
      </c>
      <c r="D4197">
        <v>1037022454355</v>
      </c>
      <c r="E4197">
        <v>1</v>
      </c>
      <c r="F4197">
        <v>6118886867</v>
      </c>
      <c r="G4197">
        <v>20000000</v>
      </c>
      <c r="H4197" t="s">
        <v>40293</v>
      </c>
      <c r="I4197">
        <v>28272</v>
      </c>
      <c r="J4197">
        <v>8</v>
      </c>
      <c r="K4197">
        <v>10</v>
      </c>
    </row>
    <row r="4198" spans="1:11">
      <c r="A4198">
        <v>90</v>
      </c>
      <c r="B4198" t="b">
        <v>0</v>
      </c>
      <c r="C4198" t="s">
        <v>43614</v>
      </c>
      <c r="D4198">
        <v>1037022454355</v>
      </c>
      <c r="E4198">
        <v>1</v>
      </c>
      <c r="F4198">
        <v>6146439284</v>
      </c>
      <c r="G4198">
        <v>19020000</v>
      </c>
      <c r="H4198" t="s">
        <v>40293</v>
      </c>
      <c r="I4198">
        <v>28272</v>
      </c>
      <c r="J4198">
        <v>6</v>
      </c>
      <c r="K4198">
        <v>6</v>
      </c>
    </row>
    <row r="4199" spans="1:11">
      <c r="A4199">
        <v>90</v>
      </c>
      <c r="B4199" t="b">
        <v>0</v>
      </c>
      <c r="C4199" t="s">
        <v>46531</v>
      </c>
      <c r="D4199">
        <v>1037022454355</v>
      </c>
      <c r="E4199">
        <v>1</v>
      </c>
      <c r="F4199">
        <v>6147997233</v>
      </c>
      <c r="G4199">
        <v>19010000</v>
      </c>
      <c r="H4199" t="s">
        <v>40293</v>
      </c>
      <c r="I4199">
        <v>28272</v>
      </c>
      <c r="J4199">
        <v>2</v>
      </c>
      <c r="K4199">
        <v>2</v>
      </c>
    </row>
    <row r="4200" spans="1:11">
      <c r="A4200">
        <v>90</v>
      </c>
      <c r="B4200" t="b">
        <v>0</v>
      </c>
      <c r="C4200" t="s">
        <v>41109</v>
      </c>
      <c r="D4200">
        <v>1037022454355</v>
      </c>
      <c r="E4200">
        <v>1</v>
      </c>
      <c r="F4200">
        <v>6114002978</v>
      </c>
      <c r="G4200">
        <v>950000</v>
      </c>
      <c r="H4200" t="s">
        <v>40293</v>
      </c>
      <c r="I4200">
        <v>28274</v>
      </c>
      <c r="J4200">
        <v>3</v>
      </c>
      <c r="K4200">
        <v>5</v>
      </c>
    </row>
    <row r="4201" spans="1:11">
      <c r="A4201">
        <v>90</v>
      </c>
      <c r="B4201" t="b">
        <v>0</v>
      </c>
      <c r="C4201" t="s">
        <v>42553</v>
      </c>
      <c r="D4201">
        <v>1037022454355</v>
      </c>
      <c r="E4201">
        <v>1</v>
      </c>
      <c r="F4201">
        <v>6133071483</v>
      </c>
      <c r="G4201">
        <v>900000</v>
      </c>
      <c r="H4201" t="s">
        <v>40293</v>
      </c>
      <c r="I4201">
        <v>28274</v>
      </c>
      <c r="J4201">
        <v>3</v>
      </c>
      <c r="K4201">
        <v>3</v>
      </c>
    </row>
    <row r="4202" spans="1:11">
      <c r="A4202">
        <v>90</v>
      </c>
      <c r="B4202" t="b">
        <v>0</v>
      </c>
      <c r="C4202" t="s">
        <v>41637</v>
      </c>
      <c r="D4202">
        <v>1037022454355</v>
      </c>
      <c r="E4202">
        <v>1</v>
      </c>
      <c r="F4202">
        <v>6118887138</v>
      </c>
      <c r="G4202">
        <v>8000000</v>
      </c>
      <c r="H4202" t="s">
        <v>40293</v>
      </c>
      <c r="I4202">
        <v>28276</v>
      </c>
      <c r="J4202">
        <v>10</v>
      </c>
      <c r="K4202">
        <v>10</v>
      </c>
    </row>
    <row r="4203" spans="1:11">
      <c r="A4203">
        <v>90</v>
      </c>
      <c r="B4203" t="b">
        <v>0</v>
      </c>
      <c r="C4203" t="s">
        <v>45632</v>
      </c>
      <c r="D4203">
        <v>1037022454355</v>
      </c>
      <c r="E4203">
        <v>1</v>
      </c>
      <c r="F4203">
        <v>6090772793</v>
      </c>
      <c r="G4203">
        <v>6531000</v>
      </c>
      <c r="H4203" t="s">
        <v>40293</v>
      </c>
      <c r="I4203">
        <v>28276</v>
      </c>
      <c r="J4203">
        <v>7</v>
      </c>
      <c r="K4203">
        <v>80</v>
      </c>
    </row>
    <row r="4204" spans="1:11">
      <c r="A4204">
        <v>90</v>
      </c>
      <c r="B4204" t="b">
        <v>0</v>
      </c>
      <c r="C4204" t="s">
        <v>45061</v>
      </c>
      <c r="D4204">
        <v>1037022454355</v>
      </c>
      <c r="E4204">
        <v>1</v>
      </c>
      <c r="F4204">
        <v>6155613418</v>
      </c>
      <c r="G4204">
        <v>6520000</v>
      </c>
      <c r="H4204" t="s">
        <v>40293</v>
      </c>
      <c r="I4204">
        <v>28276</v>
      </c>
      <c r="J4204">
        <v>5</v>
      </c>
      <c r="K4204">
        <v>5</v>
      </c>
    </row>
    <row r="4205" spans="1:11">
      <c r="A4205">
        <v>90</v>
      </c>
      <c r="B4205" t="b">
        <v>0</v>
      </c>
      <c r="C4205" t="s">
        <v>40957</v>
      </c>
      <c r="D4205">
        <v>1037022454355</v>
      </c>
      <c r="E4205">
        <v>1</v>
      </c>
      <c r="F4205">
        <v>6091127675</v>
      </c>
      <c r="G4205">
        <v>1000000</v>
      </c>
      <c r="H4205" t="s">
        <v>40293</v>
      </c>
      <c r="I4205">
        <v>28282</v>
      </c>
      <c r="J4205">
        <v>187</v>
      </c>
      <c r="K4205">
        <v>193</v>
      </c>
    </row>
    <row r="4206" spans="1:11">
      <c r="A4206">
        <v>90</v>
      </c>
      <c r="B4206" t="b">
        <v>0</v>
      </c>
      <c r="C4206" t="s">
        <v>40480</v>
      </c>
      <c r="D4206">
        <v>1037022454355</v>
      </c>
      <c r="E4206">
        <v>1</v>
      </c>
      <c r="F4206">
        <v>6113857757</v>
      </c>
      <c r="G4206">
        <v>850000</v>
      </c>
      <c r="H4206" t="s">
        <v>40293</v>
      </c>
      <c r="I4206">
        <v>28282</v>
      </c>
      <c r="J4206">
        <v>60</v>
      </c>
      <c r="K4206">
        <v>60</v>
      </c>
    </row>
    <row r="4207" spans="1:11">
      <c r="A4207">
        <v>90</v>
      </c>
      <c r="B4207" t="b">
        <v>0</v>
      </c>
      <c r="C4207" t="s">
        <v>41120</v>
      </c>
      <c r="D4207">
        <v>1037022454355</v>
      </c>
      <c r="E4207">
        <v>1</v>
      </c>
      <c r="F4207">
        <v>6114003129</v>
      </c>
      <c r="G4207">
        <v>840000</v>
      </c>
      <c r="H4207" t="s">
        <v>40293</v>
      </c>
      <c r="I4207">
        <v>28282</v>
      </c>
      <c r="J4207">
        <v>5</v>
      </c>
      <c r="K4207">
        <v>5</v>
      </c>
    </row>
    <row r="4208" spans="1:11">
      <c r="A4208">
        <v>90</v>
      </c>
      <c r="B4208" t="b">
        <v>0</v>
      </c>
      <c r="C4208" t="s">
        <v>40315</v>
      </c>
      <c r="D4208">
        <v>1037022454355</v>
      </c>
      <c r="E4208">
        <v>1</v>
      </c>
      <c r="F4208">
        <v>6113395411</v>
      </c>
      <c r="G4208">
        <v>835000</v>
      </c>
      <c r="H4208" t="s">
        <v>40293</v>
      </c>
      <c r="I4208">
        <v>28282</v>
      </c>
      <c r="J4208">
        <v>7</v>
      </c>
      <c r="K4208">
        <v>30</v>
      </c>
    </row>
    <row r="4209" spans="1:11">
      <c r="A4209">
        <v>90</v>
      </c>
      <c r="B4209" t="b">
        <v>0</v>
      </c>
      <c r="C4209" t="s">
        <v>41827</v>
      </c>
      <c r="D4209">
        <v>1037022454355</v>
      </c>
      <c r="E4209">
        <v>1</v>
      </c>
      <c r="F4209">
        <v>6122544493</v>
      </c>
      <c r="G4209">
        <v>834900</v>
      </c>
      <c r="H4209" t="s">
        <v>40293</v>
      </c>
      <c r="I4209">
        <v>28282</v>
      </c>
      <c r="J4209">
        <v>18</v>
      </c>
      <c r="K4209">
        <v>28</v>
      </c>
    </row>
    <row r="4210" spans="1:11">
      <c r="A4210">
        <v>30</v>
      </c>
      <c r="B4210" t="b">
        <v>0</v>
      </c>
      <c r="C4210" t="s">
        <v>43079</v>
      </c>
      <c r="D4210">
        <v>1037022454355</v>
      </c>
      <c r="E4210">
        <v>1</v>
      </c>
      <c r="F4210">
        <v>6106519404</v>
      </c>
      <c r="G4210">
        <v>655100</v>
      </c>
      <c r="H4210" t="s">
        <v>40293</v>
      </c>
      <c r="I4210">
        <v>28282</v>
      </c>
      <c r="J4210">
        <v>43</v>
      </c>
      <c r="K4210">
        <v>126</v>
      </c>
    </row>
    <row r="4211" spans="1:11">
      <c r="A4211">
        <v>14</v>
      </c>
      <c r="B4211" t="b">
        <v>0</v>
      </c>
      <c r="C4211" t="s">
        <v>45656</v>
      </c>
      <c r="D4211">
        <v>1037022454355</v>
      </c>
      <c r="E4211">
        <v>1</v>
      </c>
      <c r="F4211">
        <v>6154811509</v>
      </c>
      <c r="G4211">
        <v>655100</v>
      </c>
      <c r="H4211" t="s">
        <v>40293</v>
      </c>
      <c r="I4211">
        <v>28282</v>
      </c>
      <c r="J4211">
        <v>39</v>
      </c>
      <c r="K4211">
        <v>39</v>
      </c>
    </row>
    <row r="4212" spans="1:11">
      <c r="A4212">
        <v>14</v>
      </c>
      <c r="B4212" t="b">
        <v>0</v>
      </c>
      <c r="C4212" t="s">
        <v>45830</v>
      </c>
      <c r="D4212">
        <v>1037022454355</v>
      </c>
      <c r="E4212">
        <v>1</v>
      </c>
      <c r="F4212">
        <v>6153820839</v>
      </c>
      <c r="G4212">
        <v>655100</v>
      </c>
      <c r="H4212" t="s">
        <v>40293</v>
      </c>
      <c r="I4212">
        <v>28282</v>
      </c>
      <c r="J4212">
        <v>20</v>
      </c>
      <c r="K4212">
        <v>20</v>
      </c>
    </row>
    <row r="4213" spans="1:11">
      <c r="A4213">
        <v>90</v>
      </c>
      <c r="B4213" t="b">
        <v>0</v>
      </c>
      <c r="C4213" t="s">
        <v>41162</v>
      </c>
      <c r="D4213">
        <v>1037022454355</v>
      </c>
      <c r="E4213">
        <v>1</v>
      </c>
      <c r="F4213">
        <v>6102426096</v>
      </c>
      <c r="G4213">
        <v>43200000</v>
      </c>
      <c r="H4213" t="s">
        <v>40293</v>
      </c>
      <c r="I4213">
        <v>28284</v>
      </c>
      <c r="J4213">
        <v>16</v>
      </c>
      <c r="K4213">
        <v>20</v>
      </c>
    </row>
    <row r="4214" spans="1:11">
      <c r="A4214">
        <v>90</v>
      </c>
      <c r="B4214" t="b">
        <v>0</v>
      </c>
      <c r="C4214" t="s">
        <v>41842</v>
      </c>
      <c r="D4214">
        <v>1037022454355</v>
      </c>
      <c r="E4214">
        <v>1</v>
      </c>
      <c r="F4214">
        <v>6127363881</v>
      </c>
      <c r="G4214">
        <v>40000000</v>
      </c>
      <c r="H4214" t="s">
        <v>40293</v>
      </c>
      <c r="I4214">
        <v>28284</v>
      </c>
      <c r="J4214">
        <v>1</v>
      </c>
      <c r="K4214">
        <v>3</v>
      </c>
    </row>
    <row r="4215" spans="1:11">
      <c r="A4215">
        <v>30</v>
      </c>
      <c r="B4215" t="b">
        <v>0</v>
      </c>
      <c r="C4215" t="s">
        <v>45471</v>
      </c>
      <c r="D4215">
        <v>1037022454355</v>
      </c>
      <c r="E4215">
        <v>1</v>
      </c>
      <c r="F4215">
        <v>6152342062</v>
      </c>
      <c r="G4215">
        <v>39000000</v>
      </c>
      <c r="H4215" t="s">
        <v>40293</v>
      </c>
      <c r="I4215">
        <v>28284</v>
      </c>
      <c r="J4215">
        <v>3</v>
      </c>
      <c r="K4215">
        <v>3</v>
      </c>
    </row>
    <row r="4216" spans="1:11">
      <c r="A4216">
        <v>90</v>
      </c>
      <c r="B4216" t="b">
        <v>0</v>
      </c>
      <c r="C4216" t="s">
        <v>40697</v>
      </c>
      <c r="D4216">
        <v>1037022454355</v>
      </c>
      <c r="E4216">
        <v>1</v>
      </c>
      <c r="F4216">
        <v>6102426353</v>
      </c>
      <c r="G4216">
        <v>35600000</v>
      </c>
      <c r="H4216" t="s">
        <v>40293</v>
      </c>
      <c r="I4216">
        <v>28288</v>
      </c>
      <c r="J4216">
        <v>5</v>
      </c>
      <c r="K4216">
        <v>10</v>
      </c>
    </row>
    <row r="4217" spans="1:11">
      <c r="A4217">
        <v>90</v>
      </c>
      <c r="B4217" t="b">
        <v>0</v>
      </c>
      <c r="C4217" t="s">
        <v>46406</v>
      </c>
      <c r="D4217">
        <v>1037022454355</v>
      </c>
      <c r="E4217">
        <v>1</v>
      </c>
      <c r="F4217">
        <v>6147471617</v>
      </c>
      <c r="G4217">
        <v>28010000</v>
      </c>
      <c r="H4217" t="s">
        <v>40293</v>
      </c>
      <c r="I4217">
        <v>28288</v>
      </c>
      <c r="J4217">
        <v>4</v>
      </c>
      <c r="K4217">
        <v>4</v>
      </c>
    </row>
    <row r="4218" spans="1:11">
      <c r="A4218">
        <v>90</v>
      </c>
      <c r="B4218" t="b">
        <v>0</v>
      </c>
      <c r="C4218" t="s">
        <v>45403</v>
      </c>
      <c r="D4218">
        <v>1037022454355</v>
      </c>
      <c r="E4218">
        <v>1</v>
      </c>
      <c r="F4218">
        <v>6153586381</v>
      </c>
      <c r="G4218">
        <v>27000000</v>
      </c>
      <c r="H4218" t="s">
        <v>40293</v>
      </c>
      <c r="I4218">
        <v>28292</v>
      </c>
      <c r="J4218">
        <v>6</v>
      </c>
      <c r="K4218">
        <v>15</v>
      </c>
    </row>
    <row r="4219" spans="1:11">
      <c r="A4219">
        <v>90</v>
      </c>
      <c r="B4219" t="b">
        <v>0</v>
      </c>
      <c r="C4219" t="s">
        <v>42575</v>
      </c>
      <c r="D4219">
        <v>1037022454355</v>
      </c>
      <c r="E4219">
        <v>1</v>
      </c>
      <c r="F4219">
        <v>6135137018</v>
      </c>
      <c r="G4219">
        <v>1755000</v>
      </c>
      <c r="H4219" t="s">
        <v>40293</v>
      </c>
      <c r="I4219">
        <v>28294</v>
      </c>
      <c r="J4219">
        <v>5</v>
      </c>
      <c r="K4219">
        <v>5</v>
      </c>
    </row>
    <row r="4220" spans="1:11">
      <c r="A4220">
        <v>90</v>
      </c>
      <c r="B4220" t="b">
        <v>0</v>
      </c>
      <c r="C4220" t="s">
        <v>42300</v>
      </c>
      <c r="D4220">
        <v>1037022454355</v>
      </c>
      <c r="E4220">
        <v>1</v>
      </c>
      <c r="F4220">
        <v>6138004185</v>
      </c>
      <c r="G4220">
        <v>1750000</v>
      </c>
      <c r="H4220" t="s">
        <v>40293</v>
      </c>
      <c r="I4220">
        <v>28294</v>
      </c>
      <c r="J4220">
        <v>4</v>
      </c>
      <c r="K4220">
        <v>4</v>
      </c>
    </row>
    <row r="4221" spans="1:11">
      <c r="A4221">
        <v>90</v>
      </c>
      <c r="B4221" t="b">
        <v>0</v>
      </c>
      <c r="C4221" t="s">
        <v>46075</v>
      </c>
      <c r="D4221">
        <v>1037022454355</v>
      </c>
      <c r="E4221">
        <v>1</v>
      </c>
      <c r="F4221">
        <v>6153594478</v>
      </c>
      <c r="G4221">
        <v>19400000</v>
      </c>
      <c r="H4221" t="s">
        <v>40293</v>
      </c>
      <c r="I4221">
        <v>28296</v>
      </c>
      <c r="J4221">
        <v>7</v>
      </c>
      <c r="K4221">
        <v>7</v>
      </c>
    </row>
    <row r="4222" spans="1:11">
      <c r="A4222">
        <v>90</v>
      </c>
      <c r="B4222" t="b">
        <v>0</v>
      </c>
      <c r="C4222" t="s">
        <v>43175</v>
      </c>
      <c r="D4222">
        <v>1037022454355</v>
      </c>
      <c r="E4222">
        <v>1</v>
      </c>
      <c r="F4222">
        <v>6073852260</v>
      </c>
      <c r="G4222">
        <v>350100</v>
      </c>
      <c r="H4222" t="s">
        <v>40293</v>
      </c>
      <c r="I4222">
        <v>28302</v>
      </c>
      <c r="J4222">
        <v>33</v>
      </c>
      <c r="K4222">
        <v>56</v>
      </c>
    </row>
    <row r="4223" spans="1:11">
      <c r="A4223">
        <v>90</v>
      </c>
      <c r="B4223" t="b">
        <v>0</v>
      </c>
      <c r="C4223" t="s">
        <v>41957</v>
      </c>
      <c r="D4223">
        <v>1037022454355</v>
      </c>
      <c r="E4223">
        <v>1</v>
      </c>
      <c r="F4223">
        <v>6126004336</v>
      </c>
      <c r="G4223">
        <v>7920000</v>
      </c>
      <c r="H4223" t="s">
        <v>40293</v>
      </c>
      <c r="I4223">
        <v>28304</v>
      </c>
      <c r="J4223">
        <v>67</v>
      </c>
      <c r="K4223">
        <v>68</v>
      </c>
    </row>
    <row r="4224" spans="1:11">
      <c r="A4224">
        <v>90</v>
      </c>
      <c r="B4224" t="b">
        <v>0</v>
      </c>
      <c r="C4224" t="s">
        <v>40404</v>
      </c>
      <c r="D4224">
        <v>1037022454355</v>
      </c>
      <c r="E4224">
        <v>1</v>
      </c>
      <c r="F4224">
        <v>6125423274</v>
      </c>
      <c r="G4224">
        <v>41000000</v>
      </c>
      <c r="H4224" t="s">
        <v>40293</v>
      </c>
      <c r="I4224">
        <v>28308</v>
      </c>
      <c r="J4224">
        <v>1</v>
      </c>
      <c r="K4224">
        <v>1</v>
      </c>
    </row>
    <row r="4225" spans="1:11">
      <c r="A4225">
        <v>90</v>
      </c>
      <c r="B4225" t="b">
        <v>0</v>
      </c>
      <c r="C4225" t="s">
        <v>43280</v>
      </c>
      <c r="D4225">
        <v>1037022454355</v>
      </c>
      <c r="E4225">
        <v>1</v>
      </c>
      <c r="F4225">
        <v>6074051661</v>
      </c>
      <c r="G4225">
        <v>1500</v>
      </c>
      <c r="H4225" t="s">
        <v>40293</v>
      </c>
      <c r="I4225">
        <v>28324</v>
      </c>
      <c r="J4225">
        <v>57244</v>
      </c>
      <c r="K4225">
        <v>84844</v>
      </c>
    </row>
    <row r="4226" spans="1:11">
      <c r="A4226">
        <v>90</v>
      </c>
      <c r="B4226" t="b">
        <v>0</v>
      </c>
      <c r="C4226" t="s">
        <v>40647</v>
      </c>
      <c r="D4226">
        <v>1037022454355</v>
      </c>
      <c r="E4226">
        <v>1</v>
      </c>
      <c r="F4226">
        <v>6102425278</v>
      </c>
      <c r="G4226">
        <v>688</v>
      </c>
      <c r="H4226" t="s">
        <v>40293</v>
      </c>
      <c r="I4226">
        <v>28326</v>
      </c>
      <c r="J4226">
        <v>168946</v>
      </c>
      <c r="K4226">
        <v>335576</v>
      </c>
    </row>
    <row r="4227" spans="1:11">
      <c r="A4227">
        <v>90</v>
      </c>
      <c r="B4227" t="b">
        <v>0</v>
      </c>
      <c r="C4227" t="s">
        <v>43289</v>
      </c>
      <c r="D4227">
        <v>1037022454355</v>
      </c>
      <c r="E4227">
        <v>1</v>
      </c>
      <c r="F4227">
        <v>6074051870</v>
      </c>
      <c r="G4227">
        <v>600.1</v>
      </c>
      <c r="H4227" t="s">
        <v>40293</v>
      </c>
      <c r="I4227">
        <v>28328</v>
      </c>
      <c r="J4227">
        <v>35009</v>
      </c>
      <c r="K4227">
        <v>47341</v>
      </c>
    </row>
    <row r="4228" spans="1:11">
      <c r="A4228">
        <v>90</v>
      </c>
      <c r="B4228" t="b">
        <v>0</v>
      </c>
      <c r="C4228" t="s">
        <v>45462</v>
      </c>
      <c r="D4228">
        <v>1037022454355</v>
      </c>
      <c r="E4228">
        <v>1</v>
      </c>
      <c r="F4228">
        <v>6090770850</v>
      </c>
      <c r="G4228">
        <v>1248</v>
      </c>
      <c r="H4228" t="s">
        <v>40293</v>
      </c>
      <c r="I4228">
        <v>28332</v>
      </c>
      <c r="J4228">
        <v>196977</v>
      </c>
      <c r="K4228">
        <v>203019</v>
      </c>
    </row>
    <row r="4229" spans="1:11">
      <c r="A4229">
        <v>90</v>
      </c>
      <c r="B4229" t="b">
        <v>0</v>
      </c>
      <c r="C4229" t="s">
        <v>42246</v>
      </c>
      <c r="D4229">
        <v>1037022454355</v>
      </c>
      <c r="E4229">
        <v>1</v>
      </c>
      <c r="F4229">
        <v>6131577777</v>
      </c>
      <c r="G4229">
        <v>1229</v>
      </c>
      <c r="H4229" t="s">
        <v>40293</v>
      </c>
      <c r="I4229">
        <v>28334</v>
      </c>
      <c r="J4229">
        <v>757476</v>
      </c>
      <c r="K4229">
        <v>830935</v>
      </c>
    </row>
    <row r="4230" spans="1:11">
      <c r="A4230">
        <v>90</v>
      </c>
      <c r="B4230" t="b">
        <v>0</v>
      </c>
      <c r="C4230" t="s">
        <v>43398</v>
      </c>
      <c r="D4230">
        <v>1037022454355</v>
      </c>
      <c r="E4230">
        <v>1</v>
      </c>
      <c r="F4230">
        <v>6143916199</v>
      </c>
      <c r="G4230">
        <v>1229</v>
      </c>
      <c r="H4230" t="s">
        <v>40293</v>
      </c>
      <c r="I4230">
        <v>28334</v>
      </c>
      <c r="J4230">
        <v>347</v>
      </c>
      <c r="K4230">
        <v>347</v>
      </c>
    </row>
    <row r="4231" spans="1:11">
      <c r="A4231">
        <v>90</v>
      </c>
      <c r="B4231" t="b">
        <v>0</v>
      </c>
      <c r="C4231" t="s">
        <v>44101</v>
      </c>
      <c r="D4231">
        <v>1037022454355</v>
      </c>
      <c r="E4231">
        <v>1</v>
      </c>
      <c r="F4231">
        <v>6152029008</v>
      </c>
      <c r="G4231">
        <v>1100</v>
      </c>
      <c r="H4231" t="s">
        <v>40293</v>
      </c>
      <c r="I4231">
        <v>28334</v>
      </c>
      <c r="J4231">
        <v>26183</v>
      </c>
      <c r="K4231">
        <v>91143</v>
      </c>
    </row>
    <row r="4232" spans="1:11">
      <c r="A4232">
        <v>90</v>
      </c>
      <c r="B4232" t="b">
        <v>0</v>
      </c>
      <c r="C4232" t="s">
        <v>40364</v>
      </c>
      <c r="D4232">
        <v>1037022454355</v>
      </c>
      <c r="E4232">
        <v>1</v>
      </c>
      <c r="F4232">
        <v>6115710576</v>
      </c>
      <c r="G4232">
        <v>588</v>
      </c>
      <c r="H4232" t="s">
        <v>40293</v>
      </c>
      <c r="I4232">
        <v>28336</v>
      </c>
      <c r="J4232">
        <v>295113</v>
      </c>
      <c r="K4232">
        <v>500000</v>
      </c>
    </row>
    <row r="4233" spans="1:11">
      <c r="A4233">
        <v>90</v>
      </c>
      <c r="B4233" t="b">
        <v>0</v>
      </c>
      <c r="C4233" t="s">
        <v>41392</v>
      </c>
      <c r="D4233">
        <v>1037022454355</v>
      </c>
      <c r="E4233">
        <v>1</v>
      </c>
      <c r="F4233">
        <v>6122906808</v>
      </c>
      <c r="G4233">
        <v>6778000000</v>
      </c>
      <c r="H4233" t="s">
        <v>40293</v>
      </c>
      <c r="I4233">
        <v>28352</v>
      </c>
      <c r="J4233">
        <v>1</v>
      </c>
      <c r="K4233">
        <v>1</v>
      </c>
    </row>
    <row r="4234" spans="1:11">
      <c r="A4234">
        <v>90</v>
      </c>
      <c r="B4234" t="b">
        <v>0</v>
      </c>
      <c r="C4234" t="s">
        <v>43311</v>
      </c>
      <c r="D4234">
        <v>1037022454355</v>
      </c>
      <c r="E4234">
        <v>1</v>
      </c>
      <c r="F4234">
        <v>6140473213</v>
      </c>
      <c r="G4234">
        <v>3001</v>
      </c>
      <c r="H4234" t="s">
        <v>40293</v>
      </c>
      <c r="I4234">
        <v>28361</v>
      </c>
      <c r="J4234">
        <v>44</v>
      </c>
      <c r="K4234">
        <v>44</v>
      </c>
    </row>
    <row r="4235" spans="1:11">
      <c r="A4235">
        <v>90</v>
      </c>
      <c r="B4235" t="b">
        <v>0</v>
      </c>
      <c r="C4235" t="s">
        <v>43348</v>
      </c>
      <c r="D4235">
        <v>1037022454355</v>
      </c>
      <c r="E4235">
        <v>1</v>
      </c>
      <c r="F4235">
        <v>6142505732</v>
      </c>
      <c r="G4235">
        <v>3000</v>
      </c>
      <c r="H4235" t="s">
        <v>40293</v>
      </c>
      <c r="I4235">
        <v>28361</v>
      </c>
      <c r="J4235">
        <v>208</v>
      </c>
      <c r="K4235">
        <v>208</v>
      </c>
    </row>
    <row r="4236" spans="1:11">
      <c r="A4236">
        <v>90</v>
      </c>
      <c r="B4236" t="b">
        <v>0</v>
      </c>
      <c r="C4236" t="s">
        <v>43466</v>
      </c>
      <c r="D4236">
        <v>1037022454355</v>
      </c>
      <c r="E4236">
        <v>1</v>
      </c>
      <c r="F4236">
        <v>6142746615</v>
      </c>
      <c r="G4236">
        <v>2999</v>
      </c>
      <c r="H4236" t="s">
        <v>40293</v>
      </c>
      <c r="I4236">
        <v>28361</v>
      </c>
      <c r="J4236">
        <v>26</v>
      </c>
      <c r="K4236">
        <v>26</v>
      </c>
    </row>
    <row r="4237" spans="1:11">
      <c r="A4237">
        <v>90</v>
      </c>
      <c r="B4237" t="b">
        <v>0</v>
      </c>
      <c r="C4237" t="s">
        <v>43148</v>
      </c>
      <c r="D4237">
        <v>1037022454355</v>
      </c>
      <c r="E4237">
        <v>1</v>
      </c>
      <c r="F4237">
        <v>6147143391</v>
      </c>
      <c r="G4237">
        <v>2400</v>
      </c>
      <c r="H4237" t="s">
        <v>40293</v>
      </c>
      <c r="I4237">
        <v>28361</v>
      </c>
      <c r="J4237">
        <v>322</v>
      </c>
      <c r="K4237">
        <v>322</v>
      </c>
    </row>
    <row r="4238" spans="1:11">
      <c r="A4238">
        <v>30</v>
      </c>
      <c r="B4238" t="b">
        <v>0</v>
      </c>
      <c r="C4238" t="s">
        <v>46251</v>
      </c>
      <c r="D4238">
        <v>1037022454355</v>
      </c>
      <c r="E4238">
        <v>1</v>
      </c>
      <c r="F4238">
        <v>6143176855</v>
      </c>
      <c r="G4238">
        <v>1750</v>
      </c>
      <c r="H4238" t="s">
        <v>40293</v>
      </c>
      <c r="I4238">
        <v>28361</v>
      </c>
      <c r="J4238">
        <v>123</v>
      </c>
      <c r="K4238">
        <v>123</v>
      </c>
    </row>
    <row r="4239" spans="1:11">
      <c r="A4239">
        <v>90</v>
      </c>
      <c r="B4239" t="b">
        <v>0</v>
      </c>
      <c r="C4239" t="s">
        <v>45166</v>
      </c>
      <c r="D4239">
        <v>1037022454355</v>
      </c>
      <c r="E4239">
        <v>1</v>
      </c>
      <c r="F4239">
        <v>6150797959</v>
      </c>
      <c r="G4239">
        <v>1600</v>
      </c>
      <c r="H4239" t="s">
        <v>40293</v>
      </c>
      <c r="I4239">
        <v>28361</v>
      </c>
      <c r="J4239">
        <v>35</v>
      </c>
      <c r="K4239">
        <v>35</v>
      </c>
    </row>
    <row r="4240" spans="1:11">
      <c r="A4240">
        <v>90</v>
      </c>
      <c r="B4240" t="b">
        <v>0</v>
      </c>
      <c r="C4240" t="s">
        <v>43373</v>
      </c>
      <c r="D4240">
        <v>1037022454355</v>
      </c>
      <c r="E4240">
        <v>1</v>
      </c>
      <c r="F4240">
        <v>6140540197</v>
      </c>
      <c r="G4240">
        <v>44900</v>
      </c>
      <c r="H4240" t="s">
        <v>40293</v>
      </c>
      <c r="I4240">
        <v>28362</v>
      </c>
      <c r="J4240">
        <v>34</v>
      </c>
      <c r="K4240">
        <v>34</v>
      </c>
    </row>
    <row r="4241" spans="1:11">
      <c r="A4241">
        <v>90</v>
      </c>
      <c r="B4241" t="b">
        <v>0</v>
      </c>
      <c r="C4241" t="s">
        <v>43331</v>
      </c>
      <c r="D4241">
        <v>1037022454355</v>
      </c>
      <c r="E4241">
        <v>1</v>
      </c>
      <c r="F4241">
        <v>6142505315</v>
      </c>
      <c r="G4241">
        <v>44000</v>
      </c>
      <c r="H4241" t="s">
        <v>40293</v>
      </c>
      <c r="I4241">
        <v>28362</v>
      </c>
      <c r="J4241">
        <v>110</v>
      </c>
      <c r="K4241">
        <v>110</v>
      </c>
    </row>
    <row r="4242" spans="1:11">
      <c r="A4242">
        <v>90</v>
      </c>
      <c r="B4242" t="b">
        <v>0</v>
      </c>
      <c r="C4242" t="s">
        <v>43466</v>
      </c>
      <c r="D4242">
        <v>1037022454355</v>
      </c>
      <c r="E4242">
        <v>1</v>
      </c>
      <c r="F4242">
        <v>6142746613</v>
      </c>
      <c r="G4242">
        <v>43990</v>
      </c>
      <c r="H4242" t="s">
        <v>40293</v>
      </c>
      <c r="I4242">
        <v>28362</v>
      </c>
      <c r="J4242">
        <v>66</v>
      </c>
      <c r="K4242">
        <v>66</v>
      </c>
    </row>
    <row r="4243" spans="1:11">
      <c r="A4243">
        <v>90</v>
      </c>
      <c r="B4243" t="b">
        <v>0</v>
      </c>
      <c r="C4243" t="s">
        <v>43768</v>
      </c>
      <c r="D4243">
        <v>1037022454355</v>
      </c>
      <c r="E4243">
        <v>1</v>
      </c>
      <c r="F4243">
        <v>6143256243</v>
      </c>
      <c r="G4243">
        <v>41010</v>
      </c>
      <c r="H4243" t="s">
        <v>40293</v>
      </c>
      <c r="I4243">
        <v>28362</v>
      </c>
      <c r="J4243">
        <v>25</v>
      </c>
      <c r="K4243">
        <v>25</v>
      </c>
    </row>
    <row r="4244" spans="1:11">
      <c r="A4244">
        <v>90</v>
      </c>
      <c r="B4244" t="b">
        <v>0</v>
      </c>
      <c r="C4244" t="s">
        <v>43978</v>
      </c>
      <c r="D4244">
        <v>1037022454355</v>
      </c>
      <c r="E4244">
        <v>1</v>
      </c>
      <c r="F4244">
        <v>6147145712</v>
      </c>
      <c r="G4244">
        <v>40000</v>
      </c>
      <c r="H4244" t="s">
        <v>40293</v>
      </c>
      <c r="I4244">
        <v>28362</v>
      </c>
      <c r="J4244">
        <v>58</v>
      </c>
      <c r="K4244">
        <v>58</v>
      </c>
    </row>
    <row r="4245" spans="1:11">
      <c r="A4245">
        <v>90</v>
      </c>
      <c r="B4245" t="b">
        <v>0</v>
      </c>
      <c r="C4245" t="s">
        <v>45455</v>
      </c>
      <c r="D4245">
        <v>1037022454355</v>
      </c>
      <c r="E4245">
        <v>1</v>
      </c>
      <c r="F4245">
        <v>6150342964</v>
      </c>
      <c r="G4245">
        <v>27600</v>
      </c>
      <c r="H4245" t="s">
        <v>40293</v>
      </c>
      <c r="I4245">
        <v>28362</v>
      </c>
      <c r="J4245">
        <v>65</v>
      </c>
      <c r="K4245">
        <v>65</v>
      </c>
    </row>
    <row r="4246" spans="1:11">
      <c r="A4246">
        <v>30</v>
      </c>
      <c r="B4246" t="b">
        <v>0</v>
      </c>
      <c r="C4246" t="s">
        <v>46049</v>
      </c>
      <c r="D4246">
        <v>1037022454355</v>
      </c>
      <c r="E4246">
        <v>1</v>
      </c>
      <c r="F4246">
        <v>6153299195</v>
      </c>
      <c r="G4246">
        <v>27500</v>
      </c>
      <c r="H4246" t="s">
        <v>40293</v>
      </c>
      <c r="I4246">
        <v>28362</v>
      </c>
      <c r="J4246">
        <v>245</v>
      </c>
      <c r="K4246">
        <v>245</v>
      </c>
    </row>
    <row r="4247" spans="1:11">
      <c r="A4247">
        <v>90</v>
      </c>
      <c r="B4247" t="b">
        <v>0</v>
      </c>
      <c r="C4247" t="s">
        <v>40302</v>
      </c>
      <c r="D4247">
        <v>1037022454355</v>
      </c>
      <c r="E4247">
        <v>1</v>
      </c>
      <c r="F4247">
        <v>6116282862</v>
      </c>
      <c r="G4247">
        <v>398900</v>
      </c>
      <c r="H4247" t="s">
        <v>40293</v>
      </c>
      <c r="I4247">
        <v>28363</v>
      </c>
      <c r="J4247">
        <v>33</v>
      </c>
      <c r="K4247">
        <v>33</v>
      </c>
    </row>
    <row r="4248" spans="1:11">
      <c r="A4248">
        <v>90</v>
      </c>
      <c r="B4248" t="b">
        <v>0</v>
      </c>
      <c r="C4248" t="s">
        <v>40425</v>
      </c>
      <c r="D4248">
        <v>1037022454355</v>
      </c>
      <c r="E4248">
        <v>1</v>
      </c>
      <c r="F4248">
        <v>6116333438</v>
      </c>
      <c r="G4248">
        <v>398000</v>
      </c>
      <c r="H4248" t="s">
        <v>40293</v>
      </c>
      <c r="I4248">
        <v>28363</v>
      </c>
      <c r="J4248">
        <v>21</v>
      </c>
      <c r="K4248">
        <v>21</v>
      </c>
    </row>
    <row r="4249" spans="1:11">
      <c r="A4249">
        <v>90</v>
      </c>
      <c r="B4249" t="b">
        <v>0</v>
      </c>
      <c r="C4249" t="s">
        <v>42484</v>
      </c>
      <c r="D4249">
        <v>1037022454355</v>
      </c>
      <c r="E4249">
        <v>1</v>
      </c>
      <c r="F4249">
        <v>6136016974</v>
      </c>
      <c r="G4249">
        <v>200000</v>
      </c>
      <c r="H4249" t="s">
        <v>40293</v>
      </c>
      <c r="I4249">
        <v>28363</v>
      </c>
      <c r="J4249">
        <v>25</v>
      </c>
      <c r="K4249">
        <v>25</v>
      </c>
    </row>
    <row r="4250" spans="1:11">
      <c r="A4250">
        <v>90</v>
      </c>
      <c r="B4250" t="b">
        <v>0</v>
      </c>
      <c r="C4250" t="s">
        <v>41757</v>
      </c>
      <c r="D4250">
        <v>1037022454355</v>
      </c>
      <c r="E4250">
        <v>1</v>
      </c>
      <c r="F4250">
        <v>6125163834</v>
      </c>
      <c r="G4250">
        <v>200000</v>
      </c>
      <c r="H4250" t="s">
        <v>40293</v>
      </c>
      <c r="I4250">
        <v>28363</v>
      </c>
      <c r="J4250">
        <v>15</v>
      </c>
      <c r="K4250">
        <v>26</v>
      </c>
    </row>
    <row r="4251" spans="1:11">
      <c r="A4251">
        <v>90</v>
      </c>
      <c r="B4251" t="b">
        <v>0</v>
      </c>
      <c r="C4251" t="s">
        <v>43906</v>
      </c>
      <c r="D4251">
        <v>1037022454355</v>
      </c>
      <c r="E4251">
        <v>1</v>
      </c>
      <c r="F4251">
        <v>6138918715</v>
      </c>
      <c r="G4251">
        <v>195000</v>
      </c>
      <c r="H4251" t="s">
        <v>40293</v>
      </c>
      <c r="I4251">
        <v>28363</v>
      </c>
      <c r="J4251">
        <v>371</v>
      </c>
      <c r="K4251">
        <v>628</v>
      </c>
    </row>
    <row r="4252" spans="1:11">
      <c r="A4252">
        <v>90</v>
      </c>
      <c r="B4252" t="b">
        <v>0</v>
      </c>
      <c r="C4252" t="s">
        <v>43749</v>
      </c>
      <c r="D4252">
        <v>1037022454355</v>
      </c>
      <c r="E4252">
        <v>1</v>
      </c>
      <c r="F4252">
        <v>6142505606</v>
      </c>
      <c r="G4252">
        <v>194900</v>
      </c>
      <c r="H4252" t="s">
        <v>40293</v>
      </c>
      <c r="I4252">
        <v>28363</v>
      </c>
      <c r="J4252">
        <v>27</v>
      </c>
      <c r="K4252">
        <v>27</v>
      </c>
    </row>
    <row r="4253" spans="1:11">
      <c r="A4253">
        <v>90</v>
      </c>
      <c r="B4253" t="b">
        <v>0</v>
      </c>
      <c r="C4253" t="s">
        <v>43215</v>
      </c>
      <c r="D4253">
        <v>1037022454355</v>
      </c>
      <c r="E4253">
        <v>1</v>
      </c>
      <c r="F4253">
        <v>6143256169</v>
      </c>
      <c r="G4253">
        <v>190100</v>
      </c>
      <c r="H4253" t="s">
        <v>40293</v>
      </c>
      <c r="I4253">
        <v>28363</v>
      </c>
      <c r="J4253">
        <v>25</v>
      </c>
      <c r="K4253">
        <v>25</v>
      </c>
    </row>
    <row r="4254" spans="1:11">
      <c r="A4254">
        <v>90</v>
      </c>
      <c r="B4254" t="b">
        <v>0</v>
      </c>
      <c r="C4254" t="s">
        <v>43966</v>
      </c>
      <c r="D4254">
        <v>1037022454355</v>
      </c>
      <c r="E4254">
        <v>1</v>
      </c>
      <c r="F4254">
        <v>6147145300</v>
      </c>
      <c r="G4254">
        <v>180000</v>
      </c>
      <c r="H4254" t="s">
        <v>40293</v>
      </c>
      <c r="I4254">
        <v>28363</v>
      </c>
      <c r="J4254">
        <v>163</v>
      </c>
      <c r="K4254">
        <v>163</v>
      </c>
    </row>
    <row r="4255" spans="1:11">
      <c r="A4255">
        <v>90</v>
      </c>
      <c r="B4255" t="b">
        <v>0</v>
      </c>
      <c r="C4255" t="s">
        <v>43311</v>
      </c>
      <c r="D4255">
        <v>1037022454355</v>
      </c>
      <c r="E4255">
        <v>1</v>
      </c>
      <c r="F4255">
        <v>6140473212</v>
      </c>
      <c r="G4255">
        <v>11720</v>
      </c>
      <c r="H4255" t="s">
        <v>40293</v>
      </c>
      <c r="I4255">
        <v>28364</v>
      </c>
      <c r="J4255">
        <v>23</v>
      </c>
      <c r="K4255">
        <v>23</v>
      </c>
    </row>
    <row r="4256" spans="1:11">
      <c r="A4256">
        <v>90</v>
      </c>
      <c r="B4256" t="b">
        <v>0</v>
      </c>
      <c r="C4256" t="s">
        <v>43355</v>
      </c>
      <c r="D4256">
        <v>1037022454355</v>
      </c>
      <c r="E4256">
        <v>1</v>
      </c>
      <c r="F4256">
        <v>6142505867</v>
      </c>
      <c r="G4256">
        <v>11000</v>
      </c>
      <c r="H4256" t="s">
        <v>40293</v>
      </c>
      <c r="I4256">
        <v>28364</v>
      </c>
      <c r="J4256">
        <v>109</v>
      </c>
      <c r="K4256">
        <v>109</v>
      </c>
    </row>
    <row r="4257" spans="1:11">
      <c r="A4257">
        <v>90</v>
      </c>
      <c r="B4257" t="b">
        <v>0</v>
      </c>
      <c r="C4257" t="s">
        <v>43207</v>
      </c>
      <c r="D4257">
        <v>1037022454355</v>
      </c>
      <c r="E4257">
        <v>1</v>
      </c>
      <c r="F4257">
        <v>6143255789</v>
      </c>
      <c r="G4257">
        <v>10720</v>
      </c>
      <c r="H4257" t="s">
        <v>40293</v>
      </c>
      <c r="I4257">
        <v>28364</v>
      </c>
      <c r="J4257">
        <v>46</v>
      </c>
      <c r="K4257">
        <v>51</v>
      </c>
    </row>
    <row r="4258" spans="1:11">
      <c r="A4258">
        <v>90</v>
      </c>
      <c r="B4258" t="b">
        <v>0</v>
      </c>
      <c r="C4258" t="s">
        <v>45030</v>
      </c>
      <c r="D4258">
        <v>1037022454355</v>
      </c>
      <c r="E4258">
        <v>1</v>
      </c>
      <c r="F4258">
        <v>6152401722</v>
      </c>
      <c r="G4258">
        <v>10690</v>
      </c>
      <c r="H4258" t="s">
        <v>40293</v>
      </c>
      <c r="I4258">
        <v>28364</v>
      </c>
      <c r="J4258">
        <v>52</v>
      </c>
      <c r="K4258">
        <v>52</v>
      </c>
    </row>
    <row r="4259" spans="1:11">
      <c r="A4259">
        <v>90</v>
      </c>
      <c r="B4259" t="b">
        <v>0</v>
      </c>
      <c r="C4259" t="s">
        <v>45488</v>
      </c>
      <c r="D4259">
        <v>1037022454355</v>
      </c>
      <c r="E4259">
        <v>1</v>
      </c>
      <c r="F4259">
        <v>6150343349</v>
      </c>
      <c r="G4259">
        <v>10690</v>
      </c>
      <c r="H4259" t="s">
        <v>40293</v>
      </c>
      <c r="I4259">
        <v>28364</v>
      </c>
      <c r="J4259">
        <v>42</v>
      </c>
      <c r="K4259">
        <v>42</v>
      </c>
    </row>
    <row r="4260" spans="1:11">
      <c r="A4260">
        <v>90</v>
      </c>
      <c r="B4260" t="b">
        <v>0</v>
      </c>
      <c r="C4260" t="s">
        <v>45517</v>
      </c>
      <c r="D4260">
        <v>1037022454355</v>
      </c>
      <c r="E4260">
        <v>1</v>
      </c>
      <c r="F4260">
        <v>6154341312</v>
      </c>
      <c r="G4260">
        <v>10690</v>
      </c>
      <c r="H4260" t="s">
        <v>40293</v>
      </c>
      <c r="I4260">
        <v>28364</v>
      </c>
      <c r="J4260">
        <v>24</v>
      </c>
      <c r="K4260">
        <v>24</v>
      </c>
    </row>
    <row r="4261" spans="1:11">
      <c r="A4261">
        <v>90</v>
      </c>
      <c r="B4261" t="b">
        <v>0</v>
      </c>
      <c r="C4261" t="s">
        <v>45176</v>
      </c>
      <c r="D4261">
        <v>1037022454355</v>
      </c>
      <c r="E4261">
        <v>1</v>
      </c>
      <c r="F4261">
        <v>6150798013</v>
      </c>
      <c r="G4261">
        <v>10100</v>
      </c>
      <c r="H4261" t="s">
        <v>40293</v>
      </c>
      <c r="I4261">
        <v>28364</v>
      </c>
      <c r="J4261">
        <v>18</v>
      </c>
      <c r="K4261">
        <v>18</v>
      </c>
    </row>
    <row r="4262" spans="1:11">
      <c r="A4262">
        <v>30</v>
      </c>
      <c r="B4262" t="b">
        <v>0</v>
      </c>
      <c r="C4262" t="s">
        <v>43846</v>
      </c>
      <c r="D4262">
        <v>1037022454355</v>
      </c>
      <c r="E4262">
        <v>1</v>
      </c>
      <c r="F4262">
        <v>6138425626</v>
      </c>
      <c r="G4262">
        <v>28000</v>
      </c>
      <c r="H4262" t="s">
        <v>40293</v>
      </c>
      <c r="I4262">
        <v>28365</v>
      </c>
      <c r="J4262">
        <v>84</v>
      </c>
      <c r="K4262">
        <v>84</v>
      </c>
    </row>
    <row r="4263" spans="1:11">
      <c r="A4263">
        <v>90</v>
      </c>
      <c r="B4263" t="b">
        <v>0</v>
      </c>
      <c r="C4263" t="s">
        <v>43466</v>
      </c>
      <c r="D4263">
        <v>1037022454355</v>
      </c>
      <c r="E4263">
        <v>1</v>
      </c>
      <c r="F4263">
        <v>6142746614</v>
      </c>
      <c r="G4263">
        <v>27990</v>
      </c>
      <c r="H4263" t="s">
        <v>40293</v>
      </c>
      <c r="I4263">
        <v>28365</v>
      </c>
      <c r="J4263">
        <v>65</v>
      </c>
      <c r="K4263">
        <v>65</v>
      </c>
    </row>
    <row r="4264" spans="1:11">
      <c r="A4264">
        <v>90</v>
      </c>
      <c r="B4264" t="b">
        <v>0</v>
      </c>
      <c r="C4264" t="s">
        <v>43211</v>
      </c>
      <c r="D4264">
        <v>1037022454355</v>
      </c>
      <c r="E4264">
        <v>1</v>
      </c>
      <c r="F4264">
        <v>6143255991</v>
      </c>
      <c r="G4264">
        <v>25210</v>
      </c>
      <c r="H4264" t="s">
        <v>40293</v>
      </c>
      <c r="I4264">
        <v>28365</v>
      </c>
      <c r="J4264">
        <v>24</v>
      </c>
      <c r="K4264">
        <v>24</v>
      </c>
    </row>
    <row r="4265" spans="1:11">
      <c r="A4265">
        <v>90</v>
      </c>
      <c r="B4265" t="b">
        <v>0</v>
      </c>
      <c r="C4265" t="s">
        <v>43944</v>
      </c>
      <c r="D4265">
        <v>1037022454355</v>
      </c>
      <c r="E4265">
        <v>1</v>
      </c>
      <c r="F4265">
        <v>6147144679</v>
      </c>
      <c r="G4265">
        <v>25000</v>
      </c>
      <c r="H4265" t="s">
        <v>40293</v>
      </c>
      <c r="I4265">
        <v>28365</v>
      </c>
      <c r="J4265">
        <v>117</v>
      </c>
      <c r="K4265">
        <v>117</v>
      </c>
    </row>
    <row r="4266" spans="1:11">
      <c r="A4266">
        <v>90</v>
      </c>
      <c r="B4266" t="b">
        <v>0</v>
      </c>
      <c r="C4266" t="s">
        <v>45475</v>
      </c>
      <c r="D4266">
        <v>1037022454355</v>
      </c>
      <c r="E4266">
        <v>1</v>
      </c>
      <c r="F4266">
        <v>6150343224</v>
      </c>
      <c r="G4266">
        <v>3201</v>
      </c>
      <c r="H4266" t="s">
        <v>40293</v>
      </c>
      <c r="I4266">
        <v>28365</v>
      </c>
      <c r="J4266">
        <v>81</v>
      </c>
      <c r="K4266">
        <v>81</v>
      </c>
    </row>
    <row r="4267" spans="1:11">
      <c r="A4267">
        <v>90</v>
      </c>
      <c r="B4267" t="b">
        <v>0</v>
      </c>
      <c r="C4267" t="s">
        <v>45023</v>
      </c>
      <c r="D4267">
        <v>1037022454355</v>
      </c>
      <c r="E4267">
        <v>1</v>
      </c>
      <c r="F4267">
        <v>6150632118</v>
      </c>
      <c r="G4267">
        <v>41230</v>
      </c>
      <c r="H4267" t="s">
        <v>40293</v>
      </c>
      <c r="I4267">
        <v>28366</v>
      </c>
      <c r="J4267">
        <v>29</v>
      </c>
      <c r="K4267">
        <v>29</v>
      </c>
    </row>
    <row r="4268" spans="1:11">
      <c r="A4268">
        <v>90</v>
      </c>
      <c r="B4268" t="b">
        <v>0</v>
      </c>
      <c r="C4268" t="s">
        <v>45465</v>
      </c>
      <c r="D4268">
        <v>1037022454355</v>
      </c>
      <c r="E4268">
        <v>1</v>
      </c>
      <c r="F4268">
        <v>6150343120</v>
      </c>
      <c r="G4268">
        <v>41230</v>
      </c>
      <c r="H4268" t="s">
        <v>40293</v>
      </c>
      <c r="I4268">
        <v>28366</v>
      </c>
      <c r="J4268">
        <v>21</v>
      </c>
      <c r="K4268">
        <v>21</v>
      </c>
    </row>
    <row r="4269" spans="1:11">
      <c r="A4269">
        <v>90</v>
      </c>
      <c r="B4269" t="b">
        <v>0</v>
      </c>
      <c r="C4269" t="s">
        <v>45163</v>
      </c>
      <c r="D4269">
        <v>1037022454355</v>
      </c>
      <c r="E4269">
        <v>1</v>
      </c>
      <c r="F4269">
        <v>6150797927</v>
      </c>
      <c r="G4269">
        <v>41220</v>
      </c>
      <c r="H4269" t="s">
        <v>40293</v>
      </c>
      <c r="I4269">
        <v>28366</v>
      </c>
      <c r="J4269">
        <v>24</v>
      </c>
      <c r="K4269">
        <v>24</v>
      </c>
    </row>
    <row r="4270" spans="1:11">
      <c r="A4270">
        <v>90</v>
      </c>
      <c r="B4270" t="b">
        <v>0</v>
      </c>
      <c r="C4270" t="s">
        <v>44181</v>
      </c>
      <c r="D4270">
        <v>1037022454355</v>
      </c>
      <c r="E4270">
        <v>1</v>
      </c>
      <c r="F4270">
        <v>6157404095</v>
      </c>
      <c r="G4270">
        <v>1</v>
      </c>
      <c r="H4270" t="s">
        <v>40293</v>
      </c>
      <c r="I4270">
        <v>28366</v>
      </c>
      <c r="J4270">
        <v>21</v>
      </c>
      <c r="K4270">
        <v>21</v>
      </c>
    </row>
    <row r="4271" spans="1:11">
      <c r="A4271">
        <v>90</v>
      </c>
      <c r="B4271" t="b">
        <v>0</v>
      </c>
      <c r="C4271" t="s">
        <v>45517</v>
      </c>
      <c r="D4271">
        <v>1037022454355</v>
      </c>
      <c r="E4271">
        <v>1</v>
      </c>
      <c r="F4271">
        <v>6154341310</v>
      </c>
      <c r="G4271">
        <v>0.97</v>
      </c>
      <c r="H4271" t="s">
        <v>40293</v>
      </c>
      <c r="I4271">
        <v>28366</v>
      </c>
      <c r="J4271">
        <v>22</v>
      </c>
      <c r="K4271">
        <v>22</v>
      </c>
    </row>
    <row r="4272" spans="1:11">
      <c r="A4272">
        <v>90</v>
      </c>
      <c r="B4272" t="b">
        <v>0</v>
      </c>
      <c r="C4272" t="s">
        <v>42424</v>
      </c>
      <c r="D4272">
        <v>1037022454355</v>
      </c>
      <c r="E4272">
        <v>1</v>
      </c>
      <c r="F4272">
        <v>6137174873</v>
      </c>
      <c r="G4272">
        <v>10350000</v>
      </c>
      <c r="H4272" t="s">
        <v>40293</v>
      </c>
      <c r="I4272">
        <v>28389</v>
      </c>
      <c r="J4272">
        <v>8</v>
      </c>
      <c r="K4272">
        <v>8</v>
      </c>
    </row>
    <row r="4273" spans="1:11">
      <c r="A4273">
        <v>90</v>
      </c>
      <c r="B4273" t="b">
        <v>0</v>
      </c>
      <c r="C4273" t="s">
        <v>42991</v>
      </c>
      <c r="D4273">
        <v>1037022454355</v>
      </c>
      <c r="E4273">
        <v>1</v>
      </c>
      <c r="F4273">
        <v>6139743902</v>
      </c>
      <c r="G4273">
        <v>999900</v>
      </c>
      <c r="H4273" t="s">
        <v>40293</v>
      </c>
      <c r="I4273">
        <v>28392</v>
      </c>
      <c r="J4273">
        <v>23</v>
      </c>
      <c r="K4273">
        <v>23</v>
      </c>
    </row>
    <row r="4274" spans="1:11">
      <c r="A4274">
        <v>90</v>
      </c>
      <c r="B4274" t="b">
        <v>0</v>
      </c>
      <c r="C4274" t="s">
        <v>42424</v>
      </c>
      <c r="D4274">
        <v>1037022454355</v>
      </c>
      <c r="E4274">
        <v>1</v>
      </c>
      <c r="F4274">
        <v>6137174872</v>
      </c>
      <c r="G4274">
        <v>15460000</v>
      </c>
      <c r="H4274" t="s">
        <v>40293</v>
      </c>
      <c r="I4274">
        <v>28414</v>
      </c>
      <c r="J4274">
        <v>13</v>
      </c>
      <c r="K4274">
        <v>13</v>
      </c>
    </row>
    <row r="4275" spans="1:11">
      <c r="A4275">
        <v>90</v>
      </c>
      <c r="B4275" t="b">
        <v>0</v>
      </c>
      <c r="C4275" t="s">
        <v>42424</v>
      </c>
      <c r="D4275">
        <v>1037022454355</v>
      </c>
      <c r="E4275">
        <v>1</v>
      </c>
      <c r="F4275">
        <v>6137174871</v>
      </c>
      <c r="G4275">
        <v>664800</v>
      </c>
      <c r="H4275" t="s">
        <v>40293</v>
      </c>
      <c r="I4275">
        <v>28415</v>
      </c>
      <c r="J4275">
        <v>30</v>
      </c>
      <c r="K4275">
        <v>30</v>
      </c>
    </row>
    <row r="4276" spans="1:11">
      <c r="A4276">
        <v>90</v>
      </c>
      <c r="B4276" t="b">
        <v>0</v>
      </c>
      <c r="C4276" t="s">
        <v>40683</v>
      </c>
      <c r="D4276">
        <v>1037022454355</v>
      </c>
      <c r="E4276">
        <v>1</v>
      </c>
      <c r="F4276">
        <v>6086238659</v>
      </c>
      <c r="G4276">
        <v>389000</v>
      </c>
      <c r="H4276" t="s">
        <v>40293</v>
      </c>
      <c r="I4276">
        <v>28435</v>
      </c>
      <c r="J4276">
        <v>348</v>
      </c>
      <c r="K4276">
        <v>348</v>
      </c>
    </row>
    <row r="4277" spans="1:11">
      <c r="A4277">
        <v>90</v>
      </c>
      <c r="B4277" t="b">
        <v>0</v>
      </c>
      <c r="C4277" t="s">
        <v>41934</v>
      </c>
      <c r="D4277">
        <v>1037022454355</v>
      </c>
      <c r="E4277">
        <v>1</v>
      </c>
      <c r="F4277">
        <v>6086318815</v>
      </c>
      <c r="G4277">
        <v>385000</v>
      </c>
      <c r="H4277" t="s">
        <v>40293</v>
      </c>
      <c r="I4277">
        <v>28435</v>
      </c>
      <c r="J4277">
        <v>172</v>
      </c>
      <c r="K4277">
        <v>172</v>
      </c>
    </row>
    <row r="4278" spans="1:11">
      <c r="A4278">
        <v>90</v>
      </c>
      <c r="B4278" t="b">
        <v>0</v>
      </c>
      <c r="C4278" t="s">
        <v>42498</v>
      </c>
      <c r="D4278">
        <v>1037022454355</v>
      </c>
      <c r="E4278">
        <v>1</v>
      </c>
      <c r="F4278">
        <v>6136869850</v>
      </c>
      <c r="G4278">
        <v>384000</v>
      </c>
      <c r="H4278" t="s">
        <v>40293</v>
      </c>
      <c r="I4278">
        <v>28435</v>
      </c>
      <c r="J4278">
        <v>576</v>
      </c>
      <c r="K4278">
        <v>576</v>
      </c>
    </row>
    <row r="4279" spans="1:11">
      <c r="A4279">
        <v>90</v>
      </c>
      <c r="B4279" t="b">
        <v>0</v>
      </c>
      <c r="C4279" t="s">
        <v>43566</v>
      </c>
      <c r="D4279">
        <v>1037022454355</v>
      </c>
      <c r="E4279">
        <v>1</v>
      </c>
      <c r="F4279">
        <v>6145690842</v>
      </c>
      <c r="G4279">
        <v>383900</v>
      </c>
      <c r="H4279" t="s">
        <v>40293</v>
      </c>
      <c r="I4279">
        <v>28435</v>
      </c>
      <c r="J4279">
        <v>275</v>
      </c>
      <c r="K4279">
        <v>275</v>
      </c>
    </row>
    <row r="4280" spans="1:11">
      <c r="A4280">
        <v>90</v>
      </c>
      <c r="B4280" t="b">
        <v>0</v>
      </c>
      <c r="C4280" t="s">
        <v>40921</v>
      </c>
      <c r="D4280">
        <v>1037022454355</v>
      </c>
      <c r="E4280">
        <v>1</v>
      </c>
      <c r="F4280">
        <v>6082705374</v>
      </c>
      <c r="G4280">
        <v>248800</v>
      </c>
      <c r="H4280" t="s">
        <v>40293</v>
      </c>
      <c r="I4280">
        <v>28437</v>
      </c>
      <c r="J4280">
        <v>91</v>
      </c>
      <c r="K4280">
        <v>91</v>
      </c>
    </row>
    <row r="4281" spans="1:11">
      <c r="A4281">
        <v>90</v>
      </c>
      <c r="B4281" t="b">
        <v>0</v>
      </c>
      <c r="C4281" t="s">
        <v>43571</v>
      </c>
      <c r="D4281">
        <v>1037022454355</v>
      </c>
      <c r="E4281">
        <v>1</v>
      </c>
      <c r="F4281">
        <v>6145691076</v>
      </c>
      <c r="G4281">
        <v>240000</v>
      </c>
      <c r="H4281" t="s">
        <v>40293</v>
      </c>
      <c r="I4281">
        <v>28437</v>
      </c>
      <c r="J4281">
        <v>22</v>
      </c>
      <c r="K4281">
        <v>22</v>
      </c>
    </row>
    <row r="4282" spans="1:11">
      <c r="A4282">
        <v>90</v>
      </c>
      <c r="B4282" t="b">
        <v>0</v>
      </c>
      <c r="C4282" t="s">
        <v>42458</v>
      </c>
      <c r="D4282">
        <v>1037022454355</v>
      </c>
      <c r="E4282">
        <v>1</v>
      </c>
      <c r="F4282">
        <v>6128380370</v>
      </c>
      <c r="G4282">
        <v>155000</v>
      </c>
      <c r="H4282" t="s">
        <v>40293</v>
      </c>
      <c r="I4282">
        <v>28439</v>
      </c>
      <c r="J4282">
        <v>630</v>
      </c>
      <c r="K4282">
        <v>630</v>
      </c>
    </row>
    <row r="4283" spans="1:11">
      <c r="A4283">
        <v>90</v>
      </c>
      <c r="B4283" t="b">
        <v>0</v>
      </c>
      <c r="C4283" t="s">
        <v>43683</v>
      </c>
      <c r="D4283">
        <v>1037022454355</v>
      </c>
      <c r="E4283">
        <v>1</v>
      </c>
      <c r="F4283">
        <v>6145691544</v>
      </c>
      <c r="G4283">
        <v>150000</v>
      </c>
      <c r="H4283" t="s">
        <v>40293</v>
      </c>
      <c r="I4283">
        <v>28439</v>
      </c>
      <c r="J4283">
        <v>201</v>
      </c>
      <c r="K4283">
        <v>201</v>
      </c>
    </row>
    <row r="4284" spans="1:11">
      <c r="A4284">
        <v>90</v>
      </c>
      <c r="B4284" t="b">
        <v>0</v>
      </c>
      <c r="C4284" t="s">
        <v>42503</v>
      </c>
      <c r="D4284">
        <v>1037022454355</v>
      </c>
      <c r="E4284">
        <v>1</v>
      </c>
      <c r="F4284">
        <v>6136870158</v>
      </c>
      <c r="G4284">
        <v>499000</v>
      </c>
      <c r="H4284" t="s">
        <v>40293</v>
      </c>
      <c r="I4284">
        <v>28440</v>
      </c>
      <c r="J4284">
        <v>94</v>
      </c>
      <c r="K4284">
        <v>94</v>
      </c>
    </row>
    <row r="4285" spans="1:11">
      <c r="A4285">
        <v>90</v>
      </c>
      <c r="B4285" t="b">
        <v>0</v>
      </c>
      <c r="C4285" t="s">
        <v>46258</v>
      </c>
      <c r="D4285">
        <v>1037022454355</v>
      </c>
      <c r="E4285">
        <v>1</v>
      </c>
      <c r="F4285">
        <v>6153498891</v>
      </c>
      <c r="G4285">
        <v>340000</v>
      </c>
      <c r="H4285" t="s">
        <v>40293</v>
      </c>
      <c r="I4285">
        <v>28443</v>
      </c>
      <c r="J4285">
        <v>1072</v>
      </c>
      <c r="K4285">
        <v>1072</v>
      </c>
    </row>
    <row r="4286" spans="1:11">
      <c r="A4286">
        <v>90</v>
      </c>
      <c r="B4286" t="b">
        <v>0</v>
      </c>
      <c r="C4286" t="s">
        <v>44950</v>
      </c>
      <c r="D4286">
        <v>1037022454355</v>
      </c>
      <c r="E4286">
        <v>1</v>
      </c>
      <c r="F4286">
        <v>6149812068</v>
      </c>
      <c r="G4286">
        <v>2096000</v>
      </c>
      <c r="H4286" t="s">
        <v>40293</v>
      </c>
      <c r="I4286">
        <v>28576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44154</v>
      </c>
      <c r="D4287">
        <v>1037022454355</v>
      </c>
      <c r="E4287">
        <v>1</v>
      </c>
      <c r="F4287">
        <v>6148036189</v>
      </c>
      <c r="G4287">
        <v>1948000</v>
      </c>
      <c r="H4287" t="s">
        <v>40293</v>
      </c>
      <c r="I4287">
        <v>28576</v>
      </c>
      <c r="J4287">
        <v>90</v>
      </c>
      <c r="K4287">
        <v>150</v>
      </c>
    </row>
    <row r="4288" spans="1:11">
      <c r="A4288">
        <v>90</v>
      </c>
      <c r="B4288" t="b">
        <v>0</v>
      </c>
      <c r="C4288" t="s">
        <v>45286</v>
      </c>
      <c r="D4288">
        <v>1037022454355</v>
      </c>
      <c r="E4288">
        <v>1</v>
      </c>
      <c r="F4288">
        <v>6155354410</v>
      </c>
      <c r="G4288">
        <v>1945000</v>
      </c>
      <c r="H4288" t="s">
        <v>40293</v>
      </c>
      <c r="I4288">
        <v>28576</v>
      </c>
      <c r="J4288">
        <v>2</v>
      </c>
      <c r="K4288">
        <v>2</v>
      </c>
    </row>
    <row r="4289" spans="1:11">
      <c r="A4289">
        <v>90</v>
      </c>
      <c r="B4289" t="b">
        <v>0</v>
      </c>
      <c r="C4289" t="s">
        <v>44715</v>
      </c>
      <c r="D4289">
        <v>1037022454355</v>
      </c>
      <c r="E4289">
        <v>1</v>
      </c>
      <c r="F4289">
        <v>6156264496</v>
      </c>
      <c r="G4289">
        <v>1943000</v>
      </c>
      <c r="H4289" t="s">
        <v>40293</v>
      </c>
      <c r="I4289">
        <v>28576</v>
      </c>
      <c r="J4289">
        <v>21</v>
      </c>
      <c r="K4289">
        <v>25</v>
      </c>
    </row>
    <row r="4290" spans="1:11">
      <c r="A4290">
        <v>90</v>
      </c>
      <c r="B4290" t="b">
        <v>0</v>
      </c>
      <c r="C4290" t="s">
        <v>44321</v>
      </c>
      <c r="D4290">
        <v>1037022454355</v>
      </c>
      <c r="E4290">
        <v>1</v>
      </c>
      <c r="F4290">
        <v>6145839016</v>
      </c>
      <c r="G4290">
        <v>1942000</v>
      </c>
      <c r="H4290" t="s">
        <v>40293</v>
      </c>
      <c r="I4290">
        <v>28576</v>
      </c>
      <c r="J4290">
        <v>63</v>
      </c>
      <c r="K4290">
        <v>93</v>
      </c>
    </row>
    <row r="4291" spans="1:11">
      <c r="A4291">
        <v>90</v>
      </c>
      <c r="B4291" t="b">
        <v>0</v>
      </c>
      <c r="C4291" t="s">
        <v>45753</v>
      </c>
      <c r="D4291">
        <v>1037022454355</v>
      </c>
      <c r="E4291">
        <v>1</v>
      </c>
      <c r="F4291">
        <v>6156276638</v>
      </c>
      <c r="G4291">
        <v>2100000</v>
      </c>
      <c r="H4291" t="s">
        <v>40293</v>
      </c>
      <c r="I4291">
        <v>28578</v>
      </c>
      <c r="J4291">
        <v>4</v>
      </c>
      <c r="K4291">
        <v>25</v>
      </c>
    </row>
    <row r="4292" spans="1:11">
      <c r="A4292">
        <v>90</v>
      </c>
      <c r="B4292" t="b">
        <v>0</v>
      </c>
      <c r="C4292" t="s">
        <v>41620</v>
      </c>
      <c r="D4292">
        <v>1037022454355</v>
      </c>
      <c r="E4292">
        <v>1</v>
      </c>
      <c r="F4292">
        <v>6116864849</v>
      </c>
      <c r="G4292">
        <v>57810000</v>
      </c>
      <c r="H4292" t="s">
        <v>40293</v>
      </c>
      <c r="I4292">
        <v>28583</v>
      </c>
      <c r="J4292">
        <v>1</v>
      </c>
      <c r="K4292">
        <v>1</v>
      </c>
    </row>
    <row r="4293" spans="1:11">
      <c r="A4293">
        <v>90</v>
      </c>
      <c r="B4293" t="b">
        <v>0</v>
      </c>
      <c r="C4293" t="s">
        <v>41959</v>
      </c>
      <c r="D4293">
        <v>1037022454355</v>
      </c>
      <c r="E4293">
        <v>1</v>
      </c>
      <c r="F4293">
        <v>6127348124</v>
      </c>
      <c r="G4293">
        <v>55990000</v>
      </c>
      <c r="H4293" t="s">
        <v>40293</v>
      </c>
      <c r="I4293">
        <v>28583</v>
      </c>
      <c r="J4293">
        <v>1</v>
      </c>
      <c r="K4293">
        <v>2</v>
      </c>
    </row>
    <row r="4294" spans="1:11">
      <c r="A4294">
        <v>90</v>
      </c>
      <c r="B4294" t="b">
        <v>0</v>
      </c>
      <c r="C4294" t="s">
        <v>41127</v>
      </c>
      <c r="D4294">
        <v>1037022454355</v>
      </c>
      <c r="E4294">
        <v>1</v>
      </c>
      <c r="F4294">
        <v>6104926530</v>
      </c>
      <c r="G4294">
        <v>54980000</v>
      </c>
      <c r="H4294" t="s">
        <v>40293</v>
      </c>
      <c r="I4294">
        <v>28652</v>
      </c>
      <c r="J4294">
        <v>3</v>
      </c>
      <c r="K4294">
        <v>4</v>
      </c>
    </row>
    <row r="4295" spans="1:11">
      <c r="A4295">
        <v>90</v>
      </c>
      <c r="B4295" t="b">
        <v>0</v>
      </c>
      <c r="C4295" t="s">
        <v>41243</v>
      </c>
      <c r="D4295">
        <v>1037022454355</v>
      </c>
      <c r="E4295">
        <v>1</v>
      </c>
      <c r="F4295">
        <v>6106829211</v>
      </c>
      <c r="G4295">
        <v>25000000</v>
      </c>
      <c r="H4295" t="s">
        <v>40293</v>
      </c>
      <c r="I4295">
        <v>28652</v>
      </c>
      <c r="J4295">
        <v>1</v>
      </c>
      <c r="K4295">
        <v>5</v>
      </c>
    </row>
    <row r="4296" spans="1:11">
      <c r="A4296">
        <v>90</v>
      </c>
      <c r="B4296" t="b">
        <v>0</v>
      </c>
      <c r="C4296" t="s">
        <v>44900</v>
      </c>
      <c r="D4296">
        <v>1037022454355</v>
      </c>
      <c r="E4296">
        <v>1</v>
      </c>
      <c r="F4296">
        <v>6156430617</v>
      </c>
      <c r="G4296">
        <v>2000000000</v>
      </c>
      <c r="H4296" t="s">
        <v>40293</v>
      </c>
      <c r="I4296">
        <v>28665</v>
      </c>
      <c r="J4296">
        <v>1</v>
      </c>
      <c r="K4296">
        <v>1</v>
      </c>
    </row>
    <row r="4297" spans="1:11">
      <c r="A4297">
        <v>90</v>
      </c>
      <c r="B4297" t="b">
        <v>0</v>
      </c>
      <c r="C4297" t="s">
        <v>41167</v>
      </c>
      <c r="D4297">
        <v>1037022454355</v>
      </c>
      <c r="E4297">
        <v>1</v>
      </c>
      <c r="F4297">
        <v>6102567981</v>
      </c>
      <c r="G4297">
        <v>149900000</v>
      </c>
      <c r="H4297" t="s">
        <v>40293</v>
      </c>
      <c r="I4297">
        <v>28667</v>
      </c>
      <c r="J4297">
        <v>1</v>
      </c>
      <c r="K4297">
        <v>1</v>
      </c>
    </row>
    <row r="4298" spans="1:11">
      <c r="A4298">
        <v>90</v>
      </c>
      <c r="B4298" t="b">
        <v>0</v>
      </c>
      <c r="C4298" t="s">
        <v>41417</v>
      </c>
      <c r="D4298">
        <v>1037022454355</v>
      </c>
      <c r="E4298">
        <v>1</v>
      </c>
      <c r="F4298">
        <v>6125215487</v>
      </c>
      <c r="G4298">
        <v>26000</v>
      </c>
      <c r="H4298" t="s">
        <v>40293</v>
      </c>
      <c r="I4298">
        <v>28668</v>
      </c>
      <c r="J4298">
        <v>92</v>
      </c>
      <c r="K4298">
        <v>3000</v>
      </c>
    </row>
    <row r="4299" spans="1:11">
      <c r="A4299">
        <v>90</v>
      </c>
      <c r="B4299" t="b">
        <v>0</v>
      </c>
      <c r="C4299" t="s">
        <v>40300</v>
      </c>
      <c r="D4299">
        <v>1037022454355</v>
      </c>
      <c r="E4299">
        <v>1</v>
      </c>
      <c r="F4299">
        <v>6125355122</v>
      </c>
      <c r="G4299">
        <v>25000</v>
      </c>
      <c r="H4299" t="s">
        <v>40293</v>
      </c>
      <c r="I4299">
        <v>28668</v>
      </c>
      <c r="J4299">
        <v>1611</v>
      </c>
      <c r="K4299">
        <v>2119</v>
      </c>
    </row>
    <row r="4300" spans="1:11">
      <c r="A4300">
        <v>30</v>
      </c>
      <c r="B4300" t="b">
        <v>0</v>
      </c>
      <c r="C4300" t="s">
        <v>44644</v>
      </c>
      <c r="D4300">
        <v>1037022454355</v>
      </c>
      <c r="E4300">
        <v>1</v>
      </c>
      <c r="F4300">
        <v>6154461399</v>
      </c>
      <c r="G4300">
        <v>25000</v>
      </c>
      <c r="H4300" t="s">
        <v>40293</v>
      </c>
      <c r="I4300">
        <v>28668</v>
      </c>
      <c r="J4300">
        <v>576</v>
      </c>
      <c r="K4300">
        <v>576</v>
      </c>
    </row>
    <row r="4301" spans="1:11">
      <c r="A4301">
        <v>90</v>
      </c>
      <c r="B4301" t="b">
        <v>0</v>
      </c>
      <c r="C4301" t="s">
        <v>41590</v>
      </c>
      <c r="D4301">
        <v>1037022454355</v>
      </c>
      <c r="E4301">
        <v>1</v>
      </c>
      <c r="F4301">
        <v>6125388052</v>
      </c>
      <c r="G4301">
        <v>24900</v>
      </c>
      <c r="H4301" t="s">
        <v>40293</v>
      </c>
      <c r="I4301">
        <v>28668</v>
      </c>
      <c r="J4301">
        <v>1652</v>
      </c>
      <c r="K4301">
        <v>3000</v>
      </c>
    </row>
    <row r="4302" spans="1:11">
      <c r="A4302">
        <v>90</v>
      </c>
      <c r="B4302" t="b">
        <v>0</v>
      </c>
      <c r="C4302" t="s">
        <v>45046</v>
      </c>
      <c r="D4302">
        <v>1037022454355</v>
      </c>
      <c r="E4302">
        <v>1</v>
      </c>
      <c r="F4302">
        <v>6148338709</v>
      </c>
      <c r="G4302">
        <v>24800</v>
      </c>
      <c r="H4302" t="s">
        <v>40293</v>
      </c>
      <c r="I4302">
        <v>28668</v>
      </c>
      <c r="J4302">
        <v>384</v>
      </c>
      <c r="K4302">
        <v>2000</v>
      </c>
    </row>
    <row r="4303" spans="1:11">
      <c r="A4303">
        <v>90</v>
      </c>
      <c r="B4303" t="b">
        <v>0</v>
      </c>
      <c r="C4303" t="s">
        <v>45162</v>
      </c>
      <c r="D4303">
        <v>1037022454355</v>
      </c>
      <c r="E4303">
        <v>1</v>
      </c>
      <c r="F4303">
        <v>6146701918</v>
      </c>
      <c r="G4303">
        <v>24600</v>
      </c>
      <c r="H4303" t="s">
        <v>40293</v>
      </c>
      <c r="I4303">
        <v>28668</v>
      </c>
      <c r="J4303">
        <v>21146</v>
      </c>
      <c r="K4303">
        <v>25000</v>
      </c>
    </row>
    <row r="4304" spans="1:11">
      <c r="A4304">
        <v>90</v>
      </c>
      <c r="B4304" t="b">
        <v>0</v>
      </c>
      <c r="C4304" t="s">
        <v>44178</v>
      </c>
      <c r="D4304">
        <v>1037022454355</v>
      </c>
      <c r="E4304">
        <v>1</v>
      </c>
      <c r="F4304">
        <v>6154061755</v>
      </c>
      <c r="G4304">
        <v>2400000</v>
      </c>
      <c r="H4304" t="s">
        <v>40293</v>
      </c>
      <c r="I4304">
        <v>28670</v>
      </c>
      <c r="J4304">
        <v>99</v>
      </c>
      <c r="K4304">
        <v>100</v>
      </c>
    </row>
    <row r="4305" spans="1:11">
      <c r="A4305">
        <v>90</v>
      </c>
      <c r="B4305" t="b">
        <v>0</v>
      </c>
      <c r="C4305" t="s">
        <v>44731</v>
      </c>
      <c r="D4305">
        <v>1037022454355</v>
      </c>
      <c r="E4305">
        <v>1</v>
      </c>
      <c r="F4305">
        <v>6152128032</v>
      </c>
      <c r="G4305">
        <v>2251000</v>
      </c>
      <c r="H4305" t="s">
        <v>40293</v>
      </c>
      <c r="I4305">
        <v>28672</v>
      </c>
      <c r="J4305">
        <v>18</v>
      </c>
      <c r="K4305">
        <v>50</v>
      </c>
    </row>
    <row r="4306" spans="1:11">
      <c r="A4306">
        <v>90</v>
      </c>
      <c r="B4306" t="b">
        <v>0</v>
      </c>
      <c r="C4306" t="s">
        <v>43019</v>
      </c>
      <c r="D4306">
        <v>1037022454355</v>
      </c>
      <c r="E4306">
        <v>1</v>
      </c>
      <c r="F4306">
        <v>6145446265</v>
      </c>
      <c r="G4306">
        <v>2005000</v>
      </c>
      <c r="H4306" t="s">
        <v>40293</v>
      </c>
      <c r="I4306">
        <v>28674</v>
      </c>
      <c r="J4306">
        <v>45</v>
      </c>
      <c r="K4306">
        <v>81</v>
      </c>
    </row>
    <row r="4307" spans="1:11">
      <c r="A4307">
        <v>90</v>
      </c>
      <c r="B4307" t="b">
        <v>0</v>
      </c>
      <c r="C4307" t="s">
        <v>44281</v>
      </c>
      <c r="D4307">
        <v>1037022454355</v>
      </c>
      <c r="E4307">
        <v>1</v>
      </c>
      <c r="F4307">
        <v>6153276697</v>
      </c>
      <c r="G4307">
        <v>2000000</v>
      </c>
      <c r="H4307" t="s">
        <v>40293</v>
      </c>
      <c r="I4307">
        <v>28678</v>
      </c>
      <c r="J4307">
        <v>6</v>
      </c>
      <c r="K4307">
        <v>10</v>
      </c>
    </row>
    <row r="4308" spans="1:11">
      <c r="A4308">
        <v>30</v>
      </c>
      <c r="B4308" t="b">
        <v>0</v>
      </c>
      <c r="C4308" t="s">
        <v>44691</v>
      </c>
      <c r="D4308">
        <v>1037022454355</v>
      </c>
      <c r="E4308">
        <v>1</v>
      </c>
      <c r="F4308">
        <v>6093808407</v>
      </c>
      <c r="G4308">
        <v>2973000</v>
      </c>
      <c r="H4308" t="s">
        <v>40293</v>
      </c>
      <c r="I4308">
        <v>28680</v>
      </c>
      <c r="J4308">
        <v>322</v>
      </c>
      <c r="K4308">
        <v>560</v>
      </c>
    </row>
    <row r="4309" spans="1:11">
      <c r="A4309">
        <v>90</v>
      </c>
      <c r="B4309" t="b">
        <v>0</v>
      </c>
      <c r="C4309" t="s">
        <v>41538</v>
      </c>
      <c r="D4309">
        <v>1037022454355</v>
      </c>
      <c r="E4309">
        <v>1</v>
      </c>
      <c r="F4309">
        <v>6122531697</v>
      </c>
      <c r="G4309">
        <v>2973000</v>
      </c>
      <c r="H4309" t="s">
        <v>40293</v>
      </c>
      <c r="I4309">
        <v>28680</v>
      </c>
      <c r="J4309">
        <v>27</v>
      </c>
      <c r="K4309">
        <v>45</v>
      </c>
    </row>
    <row r="4310" spans="1:11">
      <c r="A4310">
        <v>90</v>
      </c>
      <c r="B4310" t="b">
        <v>0</v>
      </c>
      <c r="C4310" t="s">
        <v>46266</v>
      </c>
      <c r="D4310">
        <v>1037022454355</v>
      </c>
      <c r="E4310">
        <v>1</v>
      </c>
      <c r="F4310">
        <v>6153269556</v>
      </c>
      <c r="G4310">
        <v>2500000</v>
      </c>
      <c r="H4310" t="s">
        <v>40293</v>
      </c>
      <c r="I4310">
        <v>28680</v>
      </c>
      <c r="J4310">
        <v>44</v>
      </c>
      <c r="K4310">
        <v>50</v>
      </c>
    </row>
    <row r="4311" spans="1:11">
      <c r="A4311">
        <v>90</v>
      </c>
      <c r="B4311" t="b">
        <v>0</v>
      </c>
      <c r="C4311" t="s">
        <v>42514</v>
      </c>
      <c r="D4311">
        <v>1037022454355</v>
      </c>
      <c r="E4311">
        <v>1</v>
      </c>
      <c r="F4311">
        <v>6135363467</v>
      </c>
      <c r="G4311">
        <v>49890</v>
      </c>
      <c r="H4311" t="s">
        <v>40293</v>
      </c>
      <c r="I4311">
        <v>28694</v>
      </c>
      <c r="J4311">
        <v>3000</v>
      </c>
      <c r="K4311">
        <v>3000</v>
      </c>
    </row>
    <row r="4312" spans="1:11">
      <c r="A4312">
        <v>90</v>
      </c>
      <c r="B4312" t="b">
        <v>0</v>
      </c>
      <c r="C4312" t="s">
        <v>43322</v>
      </c>
      <c r="D4312">
        <v>1037022454355</v>
      </c>
      <c r="E4312">
        <v>1</v>
      </c>
      <c r="F4312">
        <v>6139883608</v>
      </c>
      <c r="G4312">
        <v>47400</v>
      </c>
      <c r="H4312" t="s">
        <v>40293</v>
      </c>
      <c r="I4312">
        <v>28694</v>
      </c>
      <c r="J4312">
        <v>1170</v>
      </c>
      <c r="K4312">
        <v>1170</v>
      </c>
    </row>
    <row r="4313" spans="1:11">
      <c r="A4313">
        <v>30</v>
      </c>
      <c r="B4313" t="b">
        <v>0</v>
      </c>
      <c r="C4313" t="s">
        <v>45739</v>
      </c>
      <c r="D4313">
        <v>1037022454355</v>
      </c>
      <c r="E4313">
        <v>1</v>
      </c>
      <c r="F4313">
        <v>6152345294</v>
      </c>
      <c r="G4313">
        <v>45000</v>
      </c>
      <c r="H4313" t="s">
        <v>40293</v>
      </c>
      <c r="I4313">
        <v>28694</v>
      </c>
      <c r="J4313">
        <v>72</v>
      </c>
      <c r="K4313">
        <v>72</v>
      </c>
    </row>
    <row r="4314" spans="1:11">
      <c r="A4314">
        <v>90</v>
      </c>
      <c r="B4314" t="b">
        <v>0</v>
      </c>
      <c r="C4314" t="s">
        <v>41376</v>
      </c>
      <c r="D4314">
        <v>1037022454355</v>
      </c>
      <c r="E4314">
        <v>1</v>
      </c>
      <c r="F4314">
        <v>6122101641</v>
      </c>
      <c r="G4314">
        <v>70000</v>
      </c>
      <c r="H4314" t="s">
        <v>40293</v>
      </c>
      <c r="I4314">
        <v>28696</v>
      </c>
      <c r="J4314">
        <v>502</v>
      </c>
      <c r="K4314">
        <v>502</v>
      </c>
    </row>
    <row r="4315" spans="1:11">
      <c r="A4315">
        <v>90</v>
      </c>
      <c r="B4315" t="b">
        <v>0</v>
      </c>
      <c r="C4315" t="s">
        <v>43104</v>
      </c>
      <c r="D4315">
        <v>1037022454355</v>
      </c>
      <c r="E4315">
        <v>1</v>
      </c>
      <c r="F4315">
        <v>6115334721</v>
      </c>
      <c r="G4315">
        <v>35000</v>
      </c>
      <c r="H4315" t="s">
        <v>40293</v>
      </c>
      <c r="I4315">
        <v>28697</v>
      </c>
      <c r="J4315">
        <v>1519</v>
      </c>
      <c r="K4315">
        <v>1519</v>
      </c>
    </row>
    <row r="4316" spans="1:11">
      <c r="A4316">
        <v>90</v>
      </c>
      <c r="B4316" t="b">
        <v>0</v>
      </c>
      <c r="C4316" t="s">
        <v>44914</v>
      </c>
      <c r="D4316">
        <v>1037022454355</v>
      </c>
      <c r="E4316">
        <v>1</v>
      </c>
      <c r="F4316">
        <v>6139882949</v>
      </c>
      <c r="G4316">
        <v>34990</v>
      </c>
      <c r="H4316" t="s">
        <v>40293</v>
      </c>
      <c r="I4316">
        <v>28697</v>
      </c>
      <c r="J4316">
        <v>5272</v>
      </c>
      <c r="K4316">
        <v>5272</v>
      </c>
    </row>
    <row r="4317" spans="1:11">
      <c r="A4317">
        <v>90</v>
      </c>
      <c r="B4317" t="b">
        <v>0</v>
      </c>
      <c r="C4317" t="s">
        <v>41466</v>
      </c>
      <c r="D4317">
        <v>1037022454355</v>
      </c>
      <c r="E4317">
        <v>1</v>
      </c>
      <c r="F4317">
        <v>6122103872</v>
      </c>
      <c r="G4317">
        <v>65000</v>
      </c>
      <c r="H4317" t="s">
        <v>40293</v>
      </c>
      <c r="I4317">
        <v>28701</v>
      </c>
      <c r="J4317">
        <v>78</v>
      </c>
      <c r="K4317">
        <v>78</v>
      </c>
    </row>
    <row r="4318" spans="1:11">
      <c r="A4318">
        <v>90</v>
      </c>
      <c r="B4318" t="b">
        <v>0</v>
      </c>
      <c r="C4318" t="s">
        <v>41325</v>
      </c>
      <c r="D4318">
        <v>1037022454355</v>
      </c>
      <c r="E4318">
        <v>1</v>
      </c>
      <c r="F4318">
        <v>6071473814</v>
      </c>
      <c r="G4318">
        <v>67100000</v>
      </c>
      <c r="H4318" t="s">
        <v>40293</v>
      </c>
      <c r="I4318">
        <v>28746</v>
      </c>
      <c r="J4318">
        <v>1</v>
      </c>
      <c r="K4318">
        <v>1</v>
      </c>
    </row>
    <row r="4319" spans="1:11">
      <c r="A4319">
        <v>30</v>
      </c>
      <c r="B4319" t="b">
        <v>0</v>
      </c>
      <c r="C4319" t="s">
        <v>43792</v>
      </c>
      <c r="D4319">
        <v>1037022454355</v>
      </c>
      <c r="E4319">
        <v>1</v>
      </c>
      <c r="F4319">
        <v>6144387829</v>
      </c>
      <c r="G4319">
        <v>300000000</v>
      </c>
      <c r="H4319" t="s">
        <v>40293</v>
      </c>
      <c r="I4319">
        <v>28752</v>
      </c>
      <c r="J4319">
        <v>4</v>
      </c>
      <c r="K4319">
        <v>4</v>
      </c>
    </row>
    <row r="4320" spans="1:11">
      <c r="A4320">
        <v>90</v>
      </c>
      <c r="B4320" t="b">
        <v>0</v>
      </c>
      <c r="C4320" t="s">
        <v>44695</v>
      </c>
      <c r="D4320">
        <v>1037022454355</v>
      </c>
      <c r="E4320">
        <v>1</v>
      </c>
      <c r="F4320">
        <v>6147646286</v>
      </c>
      <c r="G4320">
        <v>318900000</v>
      </c>
      <c r="H4320" t="s">
        <v>40293</v>
      </c>
      <c r="I4320">
        <v>28754</v>
      </c>
      <c r="J4320">
        <v>4</v>
      </c>
      <c r="K4320">
        <v>7</v>
      </c>
    </row>
    <row r="4321" spans="1:11">
      <c r="A4321">
        <v>7</v>
      </c>
      <c r="B4321" t="b">
        <v>0</v>
      </c>
      <c r="C4321" t="s">
        <v>46454</v>
      </c>
      <c r="D4321">
        <v>1037022454355</v>
      </c>
      <c r="E4321">
        <v>1</v>
      </c>
      <c r="F4321">
        <v>6152616759</v>
      </c>
      <c r="G4321">
        <v>300000000</v>
      </c>
      <c r="H4321" t="s">
        <v>40293</v>
      </c>
      <c r="I4321">
        <v>28754</v>
      </c>
      <c r="J4321">
        <v>1</v>
      </c>
      <c r="K4321">
        <v>2</v>
      </c>
    </row>
    <row r="4322" spans="1:11">
      <c r="A4322">
        <v>90</v>
      </c>
      <c r="B4322" t="b">
        <v>0</v>
      </c>
      <c r="C4322" t="s">
        <v>41838</v>
      </c>
      <c r="D4322">
        <v>1037022454355</v>
      </c>
      <c r="E4322">
        <v>1</v>
      </c>
      <c r="F4322">
        <v>6126000908</v>
      </c>
      <c r="G4322">
        <v>37200000</v>
      </c>
      <c r="H4322" t="s">
        <v>40293</v>
      </c>
      <c r="I4322">
        <v>28756</v>
      </c>
      <c r="J4322">
        <v>5</v>
      </c>
      <c r="K4322">
        <v>18</v>
      </c>
    </row>
    <row r="4323" spans="1:11">
      <c r="A4323">
        <v>90</v>
      </c>
      <c r="B4323" t="b">
        <v>0</v>
      </c>
      <c r="C4323" t="s">
        <v>45637</v>
      </c>
      <c r="D4323">
        <v>1037022454355</v>
      </c>
      <c r="E4323">
        <v>1</v>
      </c>
      <c r="F4323">
        <v>6156275092</v>
      </c>
      <c r="G4323">
        <v>37190000</v>
      </c>
      <c r="H4323" t="s">
        <v>40293</v>
      </c>
      <c r="I4323">
        <v>28756</v>
      </c>
      <c r="J4323">
        <v>4</v>
      </c>
      <c r="K4323">
        <v>6</v>
      </c>
    </row>
    <row r="4324" spans="1:11">
      <c r="A4324">
        <v>90</v>
      </c>
      <c r="B4324" t="b">
        <v>0</v>
      </c>
      <c r="C4324" t="s">
        <v>42244</v>
      </c>
      <c r="D4324">
        <v>1037022454355</v>
      </c>
      <c r="E4324">
        <v>1</v>
      </c>
      <c r="F4324">
        <v>6129415008</v>
      </c>
      <c r="G4324">
        <v>44980000</v>
      </c>
      <c r="H4324" t="s">
        <v>40293</v>
      </c>
      <c r="I4324">
        <v>28758</v>
      </c>
      <c r="J4324">
        <v>1</v>
      </c>
      <c r="K4324">
        <v>3</v>
      </c>
    </row>
    <row r="4325" spans="1:11">
      <c r="A4325">
        <v>90</v>
      </c>
      <c r="B4325" t="b">
        <v>0</v>
      </c>
      <c r="C4325" t="s">
        <v>42257</v>
      </c>
      <c r="D4325">
        <v>1037022454355</v>
      </c>
      <c r="E4325">
        <v>1</v>
      </c>
      <c r="F4325">
        <v>6130726656</v>
      </c>
      <c r="G4325">
        <v>38000000</v>
      </c>
      <c r="H4325" t="s">
        <v>40293</v>
      </c>
      <c r="I4325">
        <v>28758</v>
      </c>
      <c r="J4325">
        <v>1</v>
      </c>
      <c r="K4325">
        <v>1</v>
      </c>
    </row>
    <row r="4326" spans="1:11">
      <c r="A4326">
        <v>90</v>
      </c>
      <c r="B4326" t="b">
        <v>0</v>
      </c>
      <c r="C4326" t="s">
        <v>42025</v>
      </c>
      <c r="D4326">
        <v>1037022454355</v>
      </c>
      <c r="E4326">
        <v>1</v>
      </c>
      <c r="F4326">
        <v>6131584167</v>
      </c>
      <c r="G4326">
        <v>37560000</v>
      </c>
      <c r="H4326" t="s">
        <v>40293</v>
      </c>
      <c r="I4326">
        <v>28758</v>
      </c>
      <c r="J4326">
        <v>17</v>
      </c>
      <c r="K4326">
        <v>33</v>
      </c>
    </row>
    <row r="4327" spans="1:11">
      <c r="A4327">
        <v>90</v>
      </c>
      <c r="B4327" t="b">
        <v>0</v>
      </c>
      <c r="C4327" t="s">
        <v>43203</v>
      </c>
      <c r="D4327">
        <v>1037022454355</v>
      </c>
      <c r="E4327">
        <v>1</v>
      </c>
      <c r="F4327">
        <v>6146565211</v>
      </c>
      <c r="G4327">
        <v>50000</v>
      </c>
      <c r="H4327" t="s">
        <v>40293</v>
      </c>
      <c r="I4327">
        <v>28974</v>
      </c>
      <c r="J4327">
        <v>48</v>
      </c>
      <c r="K4327">
        <v>48</v>
      </c>
    </row>
    <row r="4328" spans="1:11">
      <c r="A4328">
        <v>90</v>
      </c>
      <c r="B4328" t="b">
        <v>0</v>
      </c>
      <c r="C4328" t="s">
        <v>40692</v>
      </c>
      <c r="D4328">
        <v>1037022454355</v>
      </c>
      <c r="E4328">
        <v>1</v>
      </c>
      <c r="F4328">
        <v>6095643280</v>
      </c>
      <c r="G4328">
        <v>13050</v>
      </c>
      <c r="H4328" t="s">
        <v>40293</v>
      </c>
      <c r="I4328">
        <v>28999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42327</v>
      </c>
      <c r="D4329">
        <v>1037022454355</v>
      </c>
      <c r="E4329">
        <v>1</v>
      </c>
      <c r="F4329">
        <v>6133254347</v>
      </c>
      <c r="G4329">
        <v>10500</v>
      </c>
      <c r="H4329" t="s">
        <v>40293</v>
      </c>
      <c r="I4329">
        <v>28999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40998</v>
      </c>
      <c r="D4330">
        <v>1037022454355</v>
      </c>
      <c r="E4330">
        <v>1</v>
      </c>
      <c r="F4330">
        <v>6067863351</v>
      </c>
      <c r="G4330">
        <v>10490</v>
      </c>
      <c r="H4330" t="s">
        <v>40293</v>
      </c>
      <c r="I4330">
        <v>28999</v>
      </c>
      <c r="J4330">
        <v>233</v>
      </c>
      <c r="K4330">
        <v>504</v>
      </c>
    </row>
    <row r="4331" spans="1:11">
      <c r="A4331">
        <v>90</v>
      </c>
      <c r="B4331" t="b">
        <v>0</v>
      </c>
      <c r="C4331" t="s">
        <v>44446</v>
      </c>
      <c r="D4331">
        <v>1037022454355</v>
      </c>
      <c r="E4331">
        <v>1</v>
      </c>
      <c r="F4331">
        <v>6152918590</v>
      </c>
      <c r="G4331">
        <v>10400</v>
      </c>
      <c r="H4331" t="s">
        <v>40293</v>
      </c>
      <c r="I4331">
        <v>28999</v>
      </c>
      <c r="J4331">
        <v>16</v>
      </c>
      <c r="K4331">
        <v>16</v>
      </c>
    </row>
    <row r="4332" spans="1:11">
      <c r="A4332">
        <v>90</v>
      </c>
      <c r="B4332" t="b">
        <v>0</v>
      </c>
      <c r="C4332" t="s">
        <v>46434</v>
      </c>
      <c r="D4332">
        <v>1037022454355</v>
      </c>
      <c r="E4332">
        <v>1</v>
      </c>
      <c r="F4332">
        <v>6150552187</v>
      </c>
      <c r="G4332">
        <v>10400</v>
      </c>
      <c r="H4332" t="s">
        <v>40293</v>
      </c>
      <c r="I4332">
        <v>28999</v>
      </c>
      <c r="J4332">
        <v>172</v>
      </c>
      <c r="K4332">
        <v>324</v>
      </c>
    </row>
    <row r="4333" spans="1:11">
      <c r="A4333">
        <v>90</v>
      </c>
      <c r="B4333" t="b">
        <v>0</v>
      </c>
      <c r="C4333" t="s">
        <v>40692</v>
      </c>
      <c r="D4333">
        <v>1037022454355</v>
      </c>
      <c r="E4333">
        <v>1</v>
      </c>
      <c r="F4333">
        <v>6095643279</v>
      </c>
      <c r="G4333">
        <v>9930</v>
      </c>
      <c r="H4333" t="s">
        <v>40293</v>
      </c>
      <c r="I4333">
        <v>29001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41692</v>
      </c>
      <c r="D4334">
        <v>1037022454355</v>
      </c>
      <c r="E4334">
        <v>1</v>
      </c>
      <c r="F4334">
        <v>6067863306</v>
      </c>
      <c r="G4334">
        <v>2749</v>
      </c>
      <c r="H4334" t="s">
        <v>40293</v>
      </c>
      <c r="I4334">
        <v>29001</v>
      </c>
      <c r="J4334">
        <v>204</v>
      </c>
      <c r="K4334">
        <v>502</v>
      </c>
    </row>
    <row r="4335" spans="1:11">
      <c r="A4335">
        <v>90</v>
      </c>
      <c r="B4335" t="b">
        <v>0</v>
      </c>
      <c r="C4335" t="s">
        <v>43706</v>
      </c>
      <c r="D4335">
        <v>1037022454355</v>
      </c>
      <c r="E4335">
        <v>1</v>
      </c>
      <c r="F4335">
        <v>6145123687</v>
      </c>
      <c r="G4335">
        <v>2249</v>
      </c>
      <c r="H4335" t="s">
        <v>40293</v>
      </c>
      <c r="I4335">
        <v>29001</v>
      </c>
      <c r="J4335">
        <v>6</v>
      </c>
      <c r="K4335">
        <v>6</v>
      </c>
    </row>
    <row r="4336" spans="1:11">
      <c r="A4336">
        <v>90</v>
      </c>
      <c r="B4336" t="b">
        <v>0</v>
      </c>
      <c r="C4336" t="s">
        <v>43724</v>
      </c>
      <c r="D4336">
        <v>1037022454355</v>
      </c>
      <c r="E4336">
        <v>1</v>
      </c>
      <c r="F4336">
        <v>6070887028</v>
      </c>
      <c r="G4336">
        <v>1750</v>
      </c>
      <c r="H4336" t="s">
        <v>40293</v>
      </c>
      <c r="I4336">
        <v>29001</v>
      </c>
      <c r="J4336">
        <v>307</v>
      </c>
      <c r="K4336">
        <v>1019</v>
      </c>
    </row>
    <row r="4337" spans="1:11">
      <c r="A4337">
        <v>90</v>
      </c>
      <c r="B4337" t="b">
        <v>0</v>
      </c>
      <c r="C4337" t="s">
        <v>46434</v>
      </c>
      <c r="D4337">
        <v>1037022454355</v>
      </c>
      <c r="E4337">
        <v>1</v>
      </c>
      <c r="F4337">
        <v>6150552188</v>
      </c>
      <c r="G4337">
        <v>1745</v>
      </c>
      <c r="H4337" t="s">
        <v>40293</v>
      </c>
      <c r="I4337">
        <v>29001</v>
      </c>
      <c r="J4337">
        <v>167</v>
      </c>
      <c r="K4337">
        <v>306</v>
      </c>
    </row>
    <row r="4338" spans="1:11">
      <c r="A4338">
        <v>90</v>
      </c>
      <c r="B4338" t="b">
        <v>0</v>
      </c>
      <c r="C4338" t="s">
        <v>42708</v>
      </c>
      <c r="D4338">
        <v>1037022454355</v>
      </c>
      <c r="E4338">
        <v>1</v>
      </c>
      <c r="F4338">
        <v>6132981447</v>
      </c>
      <c r="G4338">
        <v>210000</v>
      </c>
      <c r="H4338" t="s">
        <v>40293</v>
      </c>
      <c r="I4338">
        <v>29003</v>
      </c>
      <c r="J4338">
        <v>2</v>
      </c>
      <c r="K4338">
        <v>2</v>
      </c>
    </row>
    <row r="4339" spans="1:11">
      <c r="A4339">
        <v>90</v>
      </c>
      <c r="B4339" t="b">
        <v>0</v>
      </c>
      <c r="C4339" t="s">
        <v>42628</v>
      </c>
      <c r="D4339">
        <v>1037022454355</v>
      </c>
      <c r="E4339">
        <v>1</v>
      </c>
      <c r="F4339">
        <v>6137596909</v>
      </c>
      <c r="G4339">
        <v>50000</v>
      </c>
      <c r="H4339" t="s">
        <v>40293</v>
      </c>
      <c r="I4339">
        <v>29003</v>
      </c>
      <c r="J4339">
        <v>105</v>
      </c>
      <c r="K4339">
        <v>105</v>
      </c>
    </row>
    <row r="4340" spans="1:11">
      <c r="A4340">
        <v>90</v>
      </c>
      <c r="B4340" t="b">
        <v>0</v>
      </c>
      <c r="C4340" t="s">
        <v>43046</v>
      </c>
      <c r="D4340">
        <v>1037022454355</v>
      </c>
      <c r="E4340">
        <v>1</v>
      </c>
      <c r="F4340">
        <v>6142301322</v>
      </c>
      <c r="G4340">
        <v>49500</v>
      </c>
      <c r="H4340" t="s">
        <v>40293</v>
      </c>
      <c r="I4340">
        <v>29003</v>
      </c>
      <c r="J4340">
        <v>3</v>
      </c>
      <c r="K4340">
        <v>5</v>
      </c>
    </row>
    <row r="4341" spans="1:11">
      <c r="A4341">
        <v>90</v>
      </c>
      <c r="B4341" t="b">
        <v>0</v>
      </c>
      <c r="C4341" t="s">
        <v>42104</v>
      </c>
      <c r="D4341">
        <v>1037022454355</v>
      </c>
      <c r="E4341">
        <v>1</v>
      </c>
      <c r="F4341">
        <v>6129692928</v>
      </c>
      <c r="G4341">
        <v>19000</v>
      </c>
      <c r="H4341" t="s">
        <v>40293</v>
      </c>
      <c r="I4341">
        <v>29005</v>
      </c>
      <c r="J4341">
        <v>91</v>
      </c>
      <c r="K4341">
        <v>99</v>
      </c>
    </row>
    <row r="4342" spans="1:11">
      <c r="A4342">
        <v>90</v>
      </c>
      <c r="B4342" t="b">
        <v>0</v>
      </c>
      <c r="C4342" t="s">
        <v>42638</v>
      </c>
      <c r="D4342">
        <v>1037022454355</v>
      </c>
      <c r="E4342">
        <v>1</v>
      </c>
      <c r="F4342">
        <v>6068620792</v>
      </c>
      <c r="G4342">
        <v>18990</v>
      </c>
      <c r="H4342" t="s">
        <v>40293</v>
      </c>
      <c r="I4342">
        <v>29005</v>
      </c>
      <c r="J4342">
        <v>545</v>
      </c>
      <c r="K4342">
        <v>956</v>
      </c>
    </row>
    <row r="4343" spans="1:11">
      <c r="A4343">
        <v>90</v>
      </c>
      <c r="B4343" t="b">
        <v>0</v>
      </c>
      <c r="C4343" t="s">
        <v>44667</v>
      </c>
      <c r="D4343">
        <v>1037022454355</v>
      </c>
      <c r="E4343">
        <v>1</v>
      </c>
      <c r="F4343">
        <v>6155510314</v>
      </c>
      <c r="G4343">
        <v>20000</v>
      </c>
      <c r="H4343" t="s">
        <v>40293</v>
      </c>
      <c r="I4343">
        <v>29007</v>
      </c>
      <c r="J4343">
        <v>5</v>
      </c>
      <c r="K4343">
        <v>14</v>
      </c>
    </row>
    <row r="4344" spans="1:11">
      <c r="A4344">
        <v>90</v>
      </c>
      <c r="B4344" t="b">
        <v>0</v>
      </c>
      <c r="C4344" t="s">
        <v>41009</v>
      </c>
      <c r="D4344">
        <v>1037022454355</v>
      </c>
      <c r="E4344">
        <v>1</v>
      </c>
      <c r="F4344">
        <v>6067863533</v>
      </c>
      <c r="G4344">
        <v>9480</v>
      </c>
      <c r="H4344" t="s">
        <v>40293</v>
      </c>
      <c r="I4344">
        <v>29009</v>
      </c>
      <c r="J4344">
        <v>145</v>
      </c>
      <c r="K4344">
        <v>450</v>
      </c>
    </row>
    <row r="4345" spans="1:11">
      <c r="A4345">
        <v>90</v>
      </c>
      <c r="B4345" t="b">
        <v>0</v>
      </c>
      <c r="C4345" t="s">
        <v>43594</v>
      </c>
      <c r="D4345">
        <v>1037022454355</v>
      </c>
      <c r="E4345">
        <v>1</v>
      </c>
      <c r="F4345">
        <v>6142906368</v>
      </c>
      <c r="G4345">
        <v>8900</v>
      </c>
      <c r="H4345" t="s">
        <v>40293</v>
      </c>
      <c r="I4345">
        <v>29009</v>
      </c>
      <c r="J4345">
        <v>503</v>
      </c>
      <c r="K4345">
        <v>633</v>
      </c>
    </row>
    <row r="4346" spans="1:11">
      <c r="A4346">
        <v>90</v>
      </c>
      <c r="B4346" t="b">
        <v>0</v>
      </c>
      <c r="C4346" t="s">
        <v>44373</v>
      </c>
      <c r="D4346">
        <v>1037022454355</v>
      </c>
      <c r="E4346">
        <v>1</v>
      </c>
      <c r="F4346">
        <v>6142300801</v>
      </c>
      <c r="G4346">
        <v>8500</v>
      </c>
      <c r="H4346" t="s">
        <v>40293</v>
      </c>
      <c r="I4346">
        <v>29009</v>
      </c>
      <c r="J4346">
        <v>2</v>
      </c>
      <c r="K4346">
        <v>12</v>
      </c>
    </row>
    <row r="4347" spans="1:11">
      <c r="A4347">
        <v>30</v>
      </c>
      <c r="B4347" t="b">
        <v>0</v>
      </c>
      <c r="C4347" t="s">
        <v>44218</v>
      </c>
      <c r="D4347">
        <v>1037022454355</v>
      </c>
      <c r="E4347">
        <v>1</v>
      </c>
      <c r="F4347">
        <v>6150293943</v>
      </c>
      <c r="G4347">
        <v>549900</v>
      </c>
      <c r="H4347" t="s">
        <v>40293</v>
      </c>
      <c r="I4347">
        <v>29011</v>
      </c>
      <c r="J4347">
        <v>27</v>
      </c>
      <c r="K4347">
        <v>40</v>
      </c>
    </row>
    <row r="4348" spans="1:11">
      <c r="A4348">
        <v>90</v>
      </c>
      <c r="B4348" t="b">
        <v>0</v>
      </c>
      <c r="C4348" t="s">
        <v>44481</v>
      </c>
      <c r="D4348">
        <v>1037022454355</v>
      </c>
      <c r="E4348">
        <v>1</v>
      </c>
      <c r="F4348">
        <v>6152919111</v>
      </c>
      <c r="G4348">
        <v>544000</v>
      </c>
      <c r="H4348" t="s">
        <v>40293</v>
      </c>
      <c r="I4348">
        <v>29011</v>
      </c>
      <c r="J4348">
        <v>11</v>
      </c>
      <c r="K4348">
        <v>11</v>
      </c>
    </row>
    <row r="4349" spans="1:11">
      <c r="A4349">
        <v>90</v>
      </c>
      <c r="B4349" t="b">
        <v>0</v>
      </c>
      <c r="C4349" t="s">
        <v>44278</v>
      </c>
      <c r="D4349">
        <v>1037022454355</v>
      </c>
      <c r="E4349">
        <v>1</v>
      </c>
      <c r="F4349">
        <v>6153366722</v>
      </c>
      <c r="G4349">
        <v>293300</v>
      </c>
      <c r="H4349" t="s">
        <v>40293</v>
      </c>
      <c r="I4349">
        <v>29011</v>
      </c>
      <c r="J4349">
        <v>1</v>
      </c>
      <c r="K4349">
        <v>1</v>
      </c>
    </row>
    <row r="4350" spans="1:11">
      <c r="A4350">
        <v>90</v>
      </c>
      <c r="B4350" t="b">
        <v>0</v>
      </c>
      <c r="C4350" t="s">
        <v>44670</v>
      </c>
      <c r="D4350">
        <v>1037022454355</v>
      </c>
      <c r="E4350">
        <v>1</v>
      </c>
      <c r="F4350">
        <v>6142534198</v>
      </c>
      <c r="G4350">
        <v>249900</v>
      </c>
      <c r="H4350" t="s">
        <v>40293</v>
      </c>
      <c r="I4350">
        <v>29011</v>
      </c>
      <c r="J4350">
        <v>10</v>
      </c>
      <c r="K4350">
        <v>48</v>
      </c>
    </row>
    <row r="4351" spans="1:11">
      <c r="A4351">
        <v>90</v>
      </c>
      <c r="B4351" t="b">
        <v>0</v>
      </c>
      <c r="C4351" t="s">
        <v>44474</v>
      </c>
      <c r="D4351">
        <v>1037022454355</v>
      </c>
      <c r="E4351">
        <v>1</v>
      </c>
      <c r="F4351">
        <v>6156064781</v>
      </c>
      <c r="G4351">
        <v>15010</v>
      </c>
      <c r="H4351" t="s">
        <v>40293</v>
      </c>
      <c r="I4351">
        <v>29011</v>
      </c>
      <c r="J4351">
        <v>240</v>
      </c>
      <c r="K4351">
        <v>300</v>
      </c>
    </row>
    <row r="4352" spans="1:11">
      <c r="A4352">
        <v>90</v>
      </c>
      <c r="B4352" t="b">
        <v>0</v>
      </c>
      <c r="C4352" t="s">
        <v>41023</v>
      </c>
      <c r="D4352">
        <v>1037022454355</v>
      </c>
      <c r="E4352">
        <v>1</v>
      </c>
      <c r="F4352">
        <v>6067863768</v>
      </c>
      <c r="G4352">
        <v>98790</v>
      </c>
      <c r="H4352" t="s">
        <v>40293</v>
      </c>
      <c r="I4352">
        <v>29013</v>
      </c>
      <c r="J4352">
        <v>384</v>
      </c>
      <c r="K4352">
        <v>500</v>
      </c>
    </row>
    <row r="4353" spans="1:11">
      <c r="A4353">
        <v>90</v>
      </c>
      <c r="B4353" t="b">
        <v>0</v>
      </c>
      <c r="C4353" t="s">
        <v>41021</v>
      </c>
      <c r="D4353">
        <v>1037022454355</v>
      </c>
      <c r="E4353">
        <v>1</v>
      </c>
      <c r="F4353">
        <v>6067863741</v>
      </c>
      <c r="G4353">
        <v>98790</v>
      </c>
      <c r="H4353" t="s">
        <v>40293</v>
      </c>
      <c r="I4353">
        <v>29015</v>
      </c>
      <c r="J4353">
        <v>247</v>
      </c>
      <c r="K4353">
        <v>500</v>
      </c>
    </row>
    <row r="4354" spans="1:11">
      <c r="A4354">
        <v>90</v>
      </c>
      <c r="B4354" t="b">
        <v>0</v>
      </c>
      <c r="C4354" t="s">
        <v>46499</v>
      </c>
      <c r="D4354">
        <v>1037022454355</v>
      </c>
      <c r="E4354">
        <v>1</v>
      </c>
      <c r="F4354">
        <v>6153049311</v>
      </c>
      <c r="G4354">
        <v>1100000</v>
      </c>
      <c r="H4354" t="s">
        <v>40293</v>
      </c>
      <c r="I4354">
        <v>29248</v>
      </c>
      <c r="J4354">
        <v>5</v>
      </c>
      <c r="K4354">
        <v>10</v>
      </c>
    </row>
    <row r="4355" spans="1:11">
      <c r="A4355">
        <v>90</v>
      </c>
      <c r="B4355" t="b">
        <v>0</v>
      </c>
      <c r="C4355" t="s">
        <v>42718</v>
      </c>
      <c r="D4355">
        <v>1037022454355</v>
      </c>
      <c r="E4355">
        <v>1</v>
      </c>
      <c r="F4355">
        <v>6137733192</v>
      </c>
      <c r="G4355">
        <v>570000</v>
      </c>
      <c r="H4355" t="s">
        <v>40293</v>
      </c>
      <c r="I4355">
        <v>29266</v>
      </c>
      <c r="J4355">
        <v>1</v>
      </c>
      <c r="K4355">
        <v>1</v>
      </c>
    </row>
    <row r="4356" spans="1:11">
      <c r="A4356">
        <v>90</v>
      </c>
      <c r="B4356" t="b">
        <v>0</v>
      </c>
      <c r="C4356" t="s">
        <v>41373</v>
      </c>
      <c r="D4356">
        <v>1037022454355</v>
      </c>
      <c r="E4356">
        <v>1</v>
      </c>
      <c r="F4356">
        <v>6097820431</v>
      </c>
      <c r="G4356">
        <v>250000</v>
      </c>
      <c r="H4356" t="s">
        <v>40293</v>
      </c>
      <c r="I4356">
        <v>29266</v>
      </c>
      <c r="J4356">
        <v>13</v>
      </c>
      <c r="K4356">
        <v>16</v>
      </c>
    </row>
    <row r="4357" spans="1:11">
      <c r="A4357">
        <v>90</v>
      </c>
      <c r="B4357" t="b">
        <v>0</v>
      </c>
      <c r="C4357" t="s">
        <v>40952</v>
      </c>
      <c r="D4357">
        <v>1037022454355</v>
      </c>
      <c r="E4357">
        <v>1</v>
      </c>
      <c r="F4357">
        <v>6106626848</v>
      </c>
      <c r="G4357">
        <v>180000</v>
      </c>
      <c r="H4357" t="s">
        <v>40293</v>
      </c>
      <c r="I4357">
        <v>29266</v>
      </c>
      <c r="J4357">
        <v>7</v>
      </c>
      <c r="K4357">
        <v>10</v>
      </c>
    </row>
    <row r="4358" spans="1:11">
      <c r="A4358">
        <v>90</v>
      </c>
      <c r="B4358" t="b">
        <v>0</v>
      </c>
      <c r="C4358" t="s">
        <v>42689</v>
      </c>
      <c r="D4358">
        <v>1037022454355</v>
      </c>
      <c r="E4358">
        <v>1</v>
      </c>
      <c r="F4358">
        <v>6136060537</v>
      </c>
      <c r="G4358">
        <v>156100</v>
      </c>
      <c r="H4358" t="s">
        <v>40293</v>
      </c>
      <c r="I4358">
        <v>29266</v>
      </c>
      <c r="J4358">
        <v>1</v>
      </c>
      <c r="K4358">
        <v>1</v>
      </c>
    </row>
    <row r="4359" spans="1:11">
      <c r="A4359">
        <v>90</v>
      </c>
      <c r="B4359" t="b">
        <v>0</v>
      </c>
      <c r="C4359" t="s">
        <v>42125</v>
      </c>
      <c r="D4359">
        <v>1037022454355</v>
      </c>
      <c r="E4359">
        <v>1</v>
      </c>
      <c r="F4359">
        <v>6127008737</v>
      </c>
      <c r="G4359">
        <v>156000</v>
      </c>
      <c r="H4359" t="s">
        <v>40293</v>
      </c>
      <c r="I4359">
        <v>29266</v>
      </c>
      <c r="J4359">
        <v>1</v>
      </c>
      <c r="K4359">
        <v>9</v>
      </c>
    </row>
    <row r="4360" spans="1:11">
      <c r="A4360">
        <v>90</v>
      </c>
      <c r="B4360" t="b">
        <v>0</v>
      </c>
      <c r="C4360" t="s">
        <v>44069</v>
      </c>
      <c r="D4360">
        <v>1037022454355</v>
      </c>
      <c r="E4360">
        <v>1</v>
      </c>
      <c r="F4360">
        <v>6156583354</v>
      </c>
      <c r="G4360">
        <v>150000</v>
      </c>
      <c r="H4360" t="s">
        <v>40293</v>
      </c>
      <c r="I4360">
        <v>29266</v>
      </c>
      <c r="J4360">
        <v>2</v>
      </c>
      <c r="K4360">
        <v>2</v>
      </c>
    </row>
    <row r="4361" spans="1:11">
      <c r="A4361">
        <v>90</v>
      </c>
      <c r="B4361" t="b">
        <v>0</v>
      </c>
      <c r="C4361" t="s">
        <v>44168</v>
      </c>
      <c r="D4361">
        <v>1037022454355</v>
      </c>
      <c r="E4361">
        <v>1</v>
      </c>
      <c r="F4361">
        <v>6127585030</v>
      </c>
      <c r="G4361">
        <v>150000</v>
      </c>
      <c r="H4361" t="s">
        <v>40293</v>
      </c>
      <c r="I4361">
        <v>29266</v>
      </c>
      <c r="J4361">
        <v>1</v>
      </c>
      <c r="K4361">
        <v>3</v>
      </c>
    </row>
    <row r="4362" spans="1:11">
      <c r="A4362">
        <v>90</v>
      </c>
      <c r="B4362" t="b">
        <v>0</v>
      </c>
      <c r="C4362" t="s">
        <v>42516</v>
      </c>
      <c r="D4362">
        <v>1037022454355</v>
      </c>
      <c r="E4362">
        <v>1</v>
      </c>
      <c r="F4362">
        <v>6134380439</v>
      </c>
      <c r="G4362">
        <v>95000000</v>
      </c>
      <c r="H4362" t="s">
        <v>40293</v>
      </c>
      <c r="I4362">
        <v>29336</v>
      </c>
      <c r="J4362">
        <v>2</v>
      </c>
      <c r="K4362">
        <v>2</v>
      </c>
    </row>
    <row r="4363" spans="1:11">
      <c r="A4363">
        <v>90</v>
      </c>
      <c r="B4363" t="b">
        <v>0</v>
      </c>
      <c r="C4363" t="s">
        <v>44524</v>
      </c>
      <c r="D4363">
        <v>1037022454355</v>
      </c>
      <c r="E4363">
        <v>1</v>
      </c>
      <c r="F4363">
        <v>6147709655</v>
      </c>
      <c r="G4363">
        <v>84900000</v>
      </c>
      <c r="H4363" t="s">
        <v>40293</v>
      </c>
      <c r="I4363">
        <v>29336</v>
      </c>
      <c r="J4363">
        <v>2</v>
      </c>
      <c r="K4363">
        <v>3</v>
      </c>
    </row>
    <row r="4364" spans="1:11">
      <c r="A4364">
        <v>90</v>
      </c>
      <c r="B4364" t="b">
        <v>0</v>
      </c>
      <c r="C4364" t="s">
        <v>41042</v>
      </c>
      <c r="D4364">
        <v>1037022454355</v>
      </c>
      <c r="E4364">
        <v>1</v>
      </c>
      <c r="F4364">
        <v>6088180302</v>
      </c>
      <c r="G4364">
        <v>120000000</v>
      </c>
      <c r="H4364" t="s">
        <v>40293</v>
      </c>
      <c r="I4364">
        <v>29340</v>
      </c>
      <c r="J4364">
        <v>1</v>
      </c>
      <c r="K4364">
        <v>1</v>
      </c>
    </row>
    <row r="4365" spans="1:11">
      <c r="A4365">
        <v>90</v>
      </c>
      <c r="B4365" t="b">
        <v>0</v>
      </c>
      <c r="C4365" t="s">
        <v>41986</v>
      </c>
      <c r="D4365">
        <v>1037022454355</v>
      </c>
      <c r="E4365">
        <v>1</v>
      </c>
      <c r="F4365">
        <v>6125960948</v>
      </c>
      <c r="G4365">
        <v>115000000</v>
      </c>
      <c r="H4365" t="s">
        <v>40293</v>
      </c>
      <c r="I4365">
        <v>29340</v>
      </c>
      <c r="J4365">
        <v>1</v>
      </c>
      <c r="K4365">
        <v>1</v>
      </c>
    </row>
    <row r="4366" spans="1:11">
      <c r="A4366">
        <v>90</v>
      </c>
      <c r="B4366" t="b">
        <v>0</v>
      </c>
      <c r="C4366" t="s">
        <v>41950</v>
      </c>
      <c r="D4366">
        <v>1037022454355</v>
      </c>
      <c r="E4366">
        <v>1</v>
      </c>
      <c r="F4366">
        <v>6125970266</v>
      </c>
      <c r="G4366">
        <v>114000000</v>
      </c>
      <c r="H4366" t="s">
        <v>40293</v>
      </c>
      <c r="I4366">
        <v>29340</v>
      </c>
      <c r="J4366">
        <v>1</v>
      </c>
      <c r="K4366">
        <v>1</v>
      </c>
    </row>
    <row r="4367" spans="1:11">
      <c r="A4367">
        <v>90</v>
      </c>
      <c r="B4367" t="b">
        <v>0</v>
      </c>
      <c r="C4367" t="s">
        <v>41782</v>
      </c>
      <c r="D4367">
        <v>1037022454355</v>
      </c>
      <c r="E4367">
        <v>1</v>
      </c>
      <c r="F4367">
        <v>6126283587</v>
      </c>
      <c r="G4367">
        <v>110000000</v>
      </c>
      <c r="H4367" t="s">
        <v>40293</v>
      </c>
      <c r="I4367">
        <v>29340</v>
      </c>
      <c r="J4367">
        <v>1</v>
      </c>
      <c r="K4367">
        <v>2</v>
      </c>
    </row>
    <row r="4368" spans="1:11">
      <c r="A4368">
        <v>30</v>
      </c>
      <c r="B4368" t="b">
        <v>0</v>
      </c>
      <c r="C4368" t="s">
        <v>45982</v>
      </c>
      <c r="D4368">
        <v>1037022454355</v>
      </c>
      <c r="E4368">
        <v>1</v>
      </c>
      <c r="F4368">
        <v>6149103927</v>
      </c>
      <c r="G4368">
        <v>90000000</v>
      </c>
      <c r="H4368" t="s">
        <v>40293</v>
      </c>
      <c r="I4368">
        <v>29344</v>
      </c>
      <c r="J4368">
        <v>10</v>
      </c>
      <c r="K4368">
        <v>10</v>
      </c>
    </row>
    <row r="4369" spans="1:11">
      <c r="A4369">
        <v>30</v>
      </c>
      <c r="B4369" t="b">
        <v>0</v>
      </c>
      <c r="C4369" t="s">
        <v>45712</v>
      </c>
      <c r="D4369">
        <v>1037022454355</v>
      </c>
      <c r="E4369">
        <v>1</v>
      </c>
      <c r="F4369">
        <v>6148773303</v>
      </c>
      <c r="G4369">
        <v>25000</v>
      </c>
      <c r="H4369" t="s">
        <v>40293</v>
      </c>
      <c r="I4369">
        <v>29616</v>
      </c>
      <c r="J4369">
        <v>1500</v>
      </c>
      <c r="K4369">
        <v>2000</v>
      </c>
    </row>
    <row r="4370" spans="1:11">
      <c r="A4370">
        <v>30</v>
      </c>
      <c r="B4370" t="b">
        <v>0</v>
      </c>
      <c r="C4370" t="s">
        <v>45411</v>
      </c>
      <c r="D4370">
        <v>1037022454355</v>
      </c>
      <c r="E4370">
        <v>1</v>
      </c>
      <c r="F4370">
        <v>6148507416</v>
      </c>
      <c r="G4370">
        <v>33440</v>
      </c>
      <c r="H4370" t="s">
        <v>40293</v>
      </c>
      <c r="I4370">
        <v>29618</v>
      </c>
      <c r="J4370">
        <v>1345</v>
      </c>
      <c r="K4370">
        <v>2000</v>
      </c>
    </row>
    <row r="4371" spans="1:11">
      <c r="A4371">
        <v>30</v>
      </c>
      <c r="B4371" t="b">
        <v>0</v>
      </c>
      <c r="C4371" t="s">
        <v>44790</v>
      </c>
      <c r="D4371">
        <v>1037022454355</v>
      </c>
      <c r="E4371">
        <v>1</v>
      </c>
      <c r="F4371">
        <v>6154536585</v>
      </c>
      <c r="G4371">
        <v>10530</v>
      </c>
      <c r="H4371" t="s">
        <v>40293</v>
      </c>
      <c r="I4371">
        <v>29620</v>
      </c>
      <c r="J4371">
        <v>750</v>
      </c>
      <c r="K4371">
        <v>750</v>
      </c>
    </row>
    <row r="4372" spans="1:11">
      <c r="A4372">
        <v>30</v>
      </c>
      <c r="B4372" t="b">
        <v>0</v>
      </c>
      <c r="C4372" t="s">
        <v>45654</v>
      </c>
      <c r="D4372">
        <v>1037022454355</v>
      </c>
      <c r="E4372">
        <v>1</v>
      </c>
      <c r="F4372">
        <v>6148510361</v>
      </c>
      <c r="G4372">
        <v>10520</v>
      </c>
      <c r="H4372" t="s">
        <v>40293</v>
      </c>
      <c r="I4372">
        <v>29620</v>
      </c>
      <c r="J4372">
        <v>1100</v>
      </c>
      <c r="K4372">
        <v>2000</v>
      </c>
    </row>
    <row r="4373" spans="1:11">
      <c r="A4373">
        <v>30</v>
      </c>
      <c r="B4373" t="b">
        <v>0</v>
      </c>
      <c r="C4373" t="s">
        <v>45419</v>
      </c>
      <c r="D4373">
        <v>1037022454355</v>
      </c>
      <c r="E4373">
        <v>1</v>
      </c>
      <c r="F4373">
        <v>6148507547</v>
      </c>
      <c r="G4373">
        <v>19790</v>
      </c>
      <c r="H4373" t="s">
        <v>40293</v>
      </c>
      <c r="I4373">
        <v>29622</v>
      </c>
      <c r="J4373">
        <v>2000</v>
      </c>
      <c r="K4373">
        <v>2000</v>
      </c>
    </row>
    <row r="4374" spans="1:11">
      <c r="A4374">
        <v>90</v>
      </c>
      <c r="B4374" t="b">
        <v>0</v>
      </c>
      <c r="C4374" t="s">
        <v>44860</v>
      </c>
      <c r="D4374">
        <v>1037022454355</v>
      </c>
      <c r="E4374">
        <v>1</v>
      </c>
      <c r="F4374">
        <v>6148303645</v>
      </c>
      <c r="G4374">
        <v>200000000</v>
      </c>
      <c r="H4374" t="s">
        <v>40293</v>
      </c>
      <c r="I4374">
        <v>29984</v>
      </c>
      <c r="J4374">
        <v>1</v>
      </c>
      <c r="K4374">
        <v>1</v>
      </c>
    </row>
    <row r="4375" spans="1:11">
      <c r="A4375">
        <v>90</v>
      </c>
      <c r="B4375" t="b">
        <v>0</v>
      </c>
      <c r="C4375" t="s">
        <v>44898</v>
      </c>
      <c r="D4375">
        <v>1037022454355</v>
      </c>
      <c r="E4375">
        <v>1</v>
      </c>
      <c r="F4375">
        <v>6153392420</v>
      </c>
      <c r="G4375">
        <v>199100000</v>
      </c>
      <c r="H4375" t="s">
        <v>40293</v>
      </c>
      <c r="I4375">
        <v>29984</v>
      </c>
      <c r="J4375">
        <v>1</v>
      </c>
      <c r="K4375">
        <v>2</v>
      </c>
    </row>
    <row r="4376" spans="1:11">
      <c r="A4376">
        <v>30</v>
      </c>
      <c r="B4376" t="b">
        <v>0</v>
      </c>
      <c r="C4376" t="s">
        <v>46008</v>
      </c>
      <c r="D4376">
        <v>1037022454355</v>
      </c>
      <c r="E4376">
        <v>1</v>
      </c>
      <c r="F4376">
        <v>6149104267</v>
      </c>
      <c r="G4376">
        <v>300100000</v>
      </c>
      <c r="H4376" t="s">
        <v>40293</v>
      </c>
      <c r="I4376">
        <v>29986</v>
      </c>
      <c r="J4376">
        <v>1</v>
      </c>
      <c r="K4376">
        <v>1</v>
      </c>
    </row>
    <row r="4377" spans="1:11">
      <c r="A4377">
        <v>90</v>
      </c>
      <c r="B4377" t="b">
        <v>0</v>
      </c>
      <c r="C4377" t="s">
        <v>45566</v>
      </c>
      <c r="D4377">
        <v>1037022454355</v>
      </c>
      <c r="E4377">
        <v>1</v>
      </c>
      <c r="F4377">
        <v>6153784806</v>
      </c>
      <c r="G4377">
        <v>300000000</v>
      </c>
      <c r="H4377" t="s">
        <v>40293</v>
      </c>
      <c r="I4377">
        <v>29986</v>
      </c>
      <c r="J4377">
        <v>1</v>
      </c>
      <c r="K4377">
        <v>1</v>
      </c>
    </row>
    <row r="4378" spans="1:11">
      <c r="A4378">
        <v>90</v>
      </c>
      <c r="B4378" t="b">
        <v>0</v>
      </c>
      <c r="C4378" t="s">
        <v>41780</v>
      </c>
      <c r="D4378">
        <v>1037022454355</v>
      </c>
      <c r="E4378">
        <v>1</v>
      </c>
      <c r="F4378">
        <v>6127813253</v>
      </c>
      <c r="G4378">
        <v>290000000</v>
      </c>
      <c r="H4378" t="s">
        <v>40293</v>
      </c>
      <c r="I4378">
        <v>29990</v>
      </c>
      <c r="J4378">
        <v>2</v>
      </c>
      <c r="K4378">
        <v>2</v>
      </c>
    </row>
    <row r="4379" spans="1:11">
      <c r="A4379">
        <v>30</v>
      </c>
      <c r="B4379" t="b">
        <v>0</v>
      </c>
      <c r="C4379" t="s">
        <v>45999</v>
      </c>
      <c r="D4379">
        <v>1037022454355</v>
      </c>
      <c r="E4379">
        <v>1</v>
      </c>
      <c r="F4379">
        <v>6149104167</v>
      </c>
      <c r="G4379">
        <v>200000000</v>
      </c>
      <c r="H4379" t="s">
        <v>40293</v>
      </c>
      <c r="I4379">
        <v>29990</v>
      </c>
      <c r="J4379">
        <v>10</v>
      </c>
      <c r="K4379">
        <v>10</v>
      </c>
    </row>
    <row r="4380" spans="1:11">
      <c r="A4380">
        <v>90</v>
      </c>
      <c r="B4380" t="b">
        <v>0</v>
      </c>
      <c r="C4380" t="s">
        <v>45444</v>
      </c>
      <c r="D4380">
        <v>1037022454355</v>
      </c>
      <c r="E4380">
        <v>1</v>
      </c>
      <c r="F4380">
        <v>6141921425</v>
      </c>
      <c r="G4380">
        <v>199900000</v>
      </c>
      <c r="H4380" t="s">
        <v>40293</v>
      </c>
      <c r="I4380">
        <v>29990</v>
      </c>
      <c r="J4380">
        <v>1</v>
      </c>
      <c r="K4380">
        <v>4</v>
      </c>
    </row>
    <row r="4381" spans="1:11">
      <c r="A4381">
        <v>90</v>
      </c>
      <c r="B4381" t="b">
        <v>0</v>
      </c>
      <c r="C4381" t="s">
        <v>40441</v>
      </c>
      <c r="D4381">
        <v>1037022454355</v>
      </c>
      <c r="E4381">
        <v>1</v>
      </c>
      <c r="F4381">
        <v>6101470817</v>
      </c>
      <c r="G4381">
        <v>49000</v>
      </c>
      <c r="H4381" t="s">
        <v>40293</v>
      </c>
      <c r="I4381">
        <v>30013</v>
      </c>
      <c r="J4381">
        <v>992</v>
      </c>
      <c r="K4381">
        <v>992</v>
      </c>
    </row>
    <row r="4382" spans="1:11">
      <c r="A4382">
        <v>90</v>
      </c>
      <c r="B4382" t="b">
        <v>0</v>
      </c>
      <c r="C4382" t="s">
        <v>42361</v>
      </c>
      <c r="D4382">
        <v>1037022454355</v>
      </c>
      <c r="E4382">
        <v>1</v>
      </c>
      <c r="F4382">
        <v>6123459627</v>
      </c>
      <c r="G4382">
        <v>46980</v>
      </c>
      <c r="H4382" t="s">
        <v>40293</v>
      </c>
      <c r="I4382">
        <v>30013</v>
      </c>
      <c r="J4382">
        <v>494</v>
      </c>
      <c r="K4382">
        <v>600</v>
      </c>
    </row>
    <row r="4383" spans="1:11">
      <c r="A4383">
        <v>90</v>
      </c>
      <c r="B4383" t="b">
        <v>0</v>
      </c>
      <c r="C4383" t="s">
        <v>43848</v>
      </c>
      <c r="D4383">
        <v>1037022454355</v>
      </c>
      <c r="E4383">
        <v>1</v>
      </c>
      <c r="F4383">
        <v>6145831256</v>
      </c>
      <c r="G4383">
        <v>42000</v>
      </c>
      <c r="H4383" t="s">
        <v>40293</v>
      </c>
      <c r="I4383">
        <v>30013</v>
      </c>
      <c r="J4383">
        <v>8</v>
      </c>
      <c r="K4383">
        <v>8</v>
      </c>
    </row>
    <row r="4384" spans="1:11">
      <c r="A4384">
        <v>90</v>
      </c>
      <c r="B4384" t="b">
        <v>0</v>
      </c>
      <c r="C4384" t="s">
        <v>44400</v>
      </c>
      <c r="D4384">
        <v>1037022454355</v>
      </c>
      <c r="E4384">
        <v>1</v>
      </c>
      <c r="F4384">
        <v>6148428756</v>
      </c>
      <c r="G4384">
        <v>40000</v>
      </c>
      <c r="H4384" t="s">
        <v>40293</v>
      </c>
      <c r="I4384">
        <v>30013</v>
      </c>
      <c r="J4384">
        <v>496</v>
      </c>
      <c r="K4384">
        <v>496</v>
      </c>
    </row>
    <row r="4385" spans="1:11">
      <c r="A4385">
        <v>30</v>
      </c>
      <c r="B4385" t="b">
        <v>0</v>
      </c>
      <c r="C4385" t="s">
        <v>46032</v>
      </c>
      <c r="D4385">
        <v>1037022454355</v>
      </c>
      <c r="E4385">
        <v>1</v>
      </c>
      <c r="F4385">
        <v>6135407615</v>
      </c>
      <c r="G4385">
        <v>39500</v>
      </c>
      <c r="H4385" t="s">
        <v>40293</v>
      </c>
      <c r="I4385">
        <v>30013</v>
      </c>
      <c r="J4385">
        <v>262</v>
      </c>
      <c r="K4385">
        <v>300</v>
      </c>
    </row>
    <row r="4386" spans="1:11">
      <c r="A4386">
        <v>90</v>
      </c>
      <c r="B4386" t="b">
        <v>0</v>
      </c>
      <c r="C4386" t="s">
        <v>44831</v>
      </c>
      <c r="D4386">
        <v>1037022454355</v>
      </c>
      <c r="E4386">
        <v>1</v>
      </c>
      <c r="F4386">
        <v>6136080796</v>
      </c>
      <c r="G4386">
        <v>38900</v>
      </c>
      <c r="H4386" t="s">
        <v>40293</v>
      </c>
      <c r="I4386">
        <v>30013</v>
      </c>
      <c r="J4386">
        <v>44</v>
      </c>
      <c r="K4386">
        <v>100</v>
      </c>
    </row>
    <row r="4387" spans="1:11">
      <c r="A4387">
        <v>7</v>
      </c>
      <c r="B4387" t="b">
        <v>0</v>
      </c>
      <c r="C4387" t="s">
        <v>44765</v>
      </c>
      <c r="D4387">
        <v>1037022454355</v>
      </c>
      <c r="E4387">
        <v>1</v>
      </c>
      <c r="F4387">
        <v>6153578009</v>
      </c>
      <c r="G4387">
        <v>38500</v>
      </c>
      <c r="H4387" t="s">
        <v>40293</v>
      </c>
      <c r="I4387">
        <v>30013</v>
      </c>
      <c r="J4387">
        <v>8</v>
      </c>
      <c r="K4387">
        <v>88</v>
      </c>
    </row>
    <row r="4388" spans="1:11">
      <c r="A4388">
        <v>90</v>
      </c>
      <c r="B4388" t="b">
        <v>0</v>
      </c>
      <c r="C4388" t="s">
        <v>42630</v>
      </c>
      <c r="D4388">
        <v>1037022454355</v>
      </c>
      <c r="E4388">
        <v>1</v>
      </c>
      <c r="F4388">
        <v>6068620453</v>
      </c>
      <c r="G4388">
        <v>79790</v>
      </c>
      <c r="H4388" t="s">
        <v>40293</v>
      </c>
      <c r="I4388">
        <v>30028</v>
      </c>
      <c r="J4388">
        <v>689</v>
      </c>
      <c r="K4388">
        <v>721</v>
      </c>
    </row>
    <row r="4389" spans="1:11">
      <c r="A4389">
        <v>90</v>
      </c>
      <c r="B4389" t="b">
        <v>0</v>
      </c>
      <c r="C4389" t="s">
        <v>43914</v>
      </c>
      <c r="D4389">
        <v>1037022454355</v>
      </c>
      <c r="E4389">
        <v>1</v>
      </c>
      <c r="F4389">
        <v>6123124750</v>
      </c>
      <c r="G4389">
        <v>74890</v>
      </c>
      <c r="H4389" t="s">
        <v>40293</v>
      </c>
      <c r="I4389">
        <v>30028</v>
      </c>
      <c r="J4389">
        <v>70</v>
      </c>
      <c r="K4389">
        <v>300</v>
      </c>
    </row>
    <row r="4390" spans="1:11">
      <c r="A4390">
        <v>90</v>
      </c>
      <c r="B4390" t="b">
        <v>0</v>
      </c>
      <c r="C4390" t="s">
        <v>43398</v>
      </c>
      <c r="D4390">
        <v>1037022454355</v>
      </c>
      <c r="E4390">
        <v>1</v>
      </c>
      <c r="F4390">
        <v>6143916204</v>
      </c>
      <c r="G4390">
        <v>72510</v>
      </c>
      <c r="H4390" t="s">
        <v>40293</v>
      </c>
      <c r="I4390">
        <v>30028</v>
      </c>
      <c r="J4390">
        <v>26</v>
      </c>
      <c r="K4390">
        <v>26</v>
      </c>
    </row>
    <row r="4391" spans="1:11">
      <c r="A4391">
        <v>90</v>
      </c>
      <c r="B4391" t="b">
        <v>0</v>
      </c>
      <c r="C4391" t="s">
        <v>43740</v>
      </c>
      <c r="D4391">
        <v>1037022454355</v>
      </c>
      <c r="E4391">
        <v>1</v>
      </c>
      <c r="F4391">
        <v>6145336532</v>
      </c>
      <c r="G4391">
        <v>71000</v>
      </c>
      <c r="H4391" t="s">
        <v>40293</v>
      </c>
      <c r="I4391">
        <v>30028</v>
      </c>
      <c r="J4391">
        <v>62</v>
      </c>
      <c r="K4391">
        <v>62</v>
      </c>
    </row>
    <row r="4392" spans="1:11">
      <c r="A4392">
        <v>90</v>
      </c>
      <c r="B4392" t="b">
        <v>0</v>
      </c>
      <c r="C4392" t="s">
        <v>44404</v>
      </c>
      <c r="D4392">
        <v>1037022454355</v>
      </c>
      <c r="E4392">
        <v>1</v>
      </c>
      <c r="F4392">
        <v>6148428817</v>
      </c>
      <c r="G4392">
        <v>70000</v>
      </c>
      <c r="H4392" t="s">
        <v>40293</v>
      </c>
      <c r="I4392">
        <v>30028</v>
      </c>
      <c r="J4392">
        <v>160</v>
      </c>
      <c r="K4392">
        <v>164</v>
      </c>
    </row>
    <row r="4393" spans="1:11">
      <c r="A4393">
        <v>7</v>
      </c>
      <c r="B4393" t="b">
        <v>0</v>
      </c>
      <c r="C4393" t="s">
        <v>45598</v>
      </c>
      <c r="D4393">
        <v>1037022454355</v>
      </c>
      <c r="E4393">
        <v>1</v>
      </c>
      <c r="F4393">
        <v>6156636142</v>
      </c>
      <c r="G4393">
        <v>69420</v>
      </c>
      <c r="H4393" t="s">
        <v>40293</v>
      </c>
      <c r="I4393">
        <v>30028</v>
      </c>
      <c r="J4393">
        <v>120</v>
      </c>
      <c r="K4393">
        <v>120</v>
      </c>
    </row>
    <row r="4394" spans="1:11">
      <c r="A4394">
        <v>90</v>
      </c>
      <c r="B4394" t="b">
        <v>0</v>
      </c>
      <c r="C4394" t="s">
        <v>44198</v>
      </c>
      <c r="D4394">
        <v>1037022454355</v>
      </c>
      <c r="E4394">
        <v>1</v>
      </c>
      <c r="F4394">
        <v>6155995280</v>
      </c>
      <c r="G4394">
        <v>69410</v>
      </c>
      <c r="H4394" t="s">
        <v>40293</v>
      </c>
      <c r="I4394">
        <v>30028</v>
      </c>
      <c r="J4394">
        <v>56</v>
      </c>
      <c r="K4394">
        <v>56</v>
      </c>
    </row>
    <row r="4395" spans="1:11">
      <c r="A4395">
        <v>30</v>
      </c>
      <c r="B4395" t="b">
        <v>0</v>
      </c>
      <c r="C4395" t="s">
        <v>45043</v>
      </c>
      <c r="D4395">
        <v>1037022454355</v>
      </c>
      <c r="E4395">
        <v>1</v>
      </c>
      <c r="F4395">
        <v>6154662912</v>
      </c>
      <c r="G4395">
        <v>17400000</v>
      </c>
      <c r="H4395" t="s">
        <v>40293</v>
      </c>
      <c r="I4395">
        <v>30187</v>
      </c>
      <c r="J4395">
        <v>1</v>
      </c>
      <c r="K4395">
        <v>1</v>
      </c>
    </row>
    <row r="4396" spans="1:11">
      <c r="A4396">
        <v>30</v>
      </c>
      <c r="B4396" t="b">
        <v>0</v>
      </c>
      <c r="C4396" t="s">
        <v>42948</v>
      </c>
      <c r="D4396">
        <v>1037022454355</v>
      </c>
      <c r="E4396">
        <v>1</v>
      </c>
      <c r="F4396">
        <v>6138431153</v>
      </c>
      <c r="G4396">
        <v>35000</v>
      </c>
      <c r="H4396" t="s">
        <v>40293</v>
      </c>
      <c r="I4396">
        <v>30248</v>
      </c>
      <c r="J4396">
        <v>2</v>
      </c>
      <c r="K4396">
        <v>2</v>
      </c>
    </row>
    <row r="4397" spans="1:11">
      <c r="A4397">
        <v>30</v>
      </c>
      <c r="B4397" t="b">
        <v>0</v>
      </c>
      <c r="C4397" t="s">
        <v>42972</v>
      </c>
      <c r="D4397">
        <v>1037022454355</v>
      </c>
      <c r="E4397">
        <v>1</v>
      </c>
      <c r="F4397">
        <v>6138432292</v>
      </c>
      <c r="G4397">
        <v>160000</v>
      </c>
      <c r="H4397" t="s">
        <v>40293</v>
      </c>
      <c r="I4397">
        <v>30251</v>
      </c>
      <c r="J4397">
        <v>11</v>
      </c>
      <c r="K4397">
        <v>11</v>
      </c>
    </row>
    <row r="4398" spans="1:11">
      <c r="A4398">
        <v>30</v>
      </c>
      <c r="B4398" t="b">
        <v>0</v>
      </c>
      <c r="C4398" t="s">
        <v>43468</v>
      </c>
      <c r="D4398">
        <v>1037022454355</v>
      </c>
      <c r="E4398">
        <v>1</v>
      </c>
      <c r="F4398">
        <v>6143178059</v>
      </c>
      <c r="G4398">
        <v>55000</v>
      </c>
      <c r="H4398" t="s">
        <v>40293</v>
      </c>
      <c r="I4398">
        <v>30258</v>
      </c>
      <c r="J4398">
        <v>1</v>
      </c>
      <c r="K4398">
        <v>1</v>
      </c>
    </row>
    <row r="4399" spans="1:11">
      <c r="A4399">
        <v>90</v>
      </c>
      <c r="B4399" t="b">
        <v>0</v>
      </c>
      <c r="C4399" t="s">
        <v>42256</v>
      </c>
      <c r="D4399">
        <v>1037022454355</v>
      </c>
      <c r="E4399">
        <v>1</v>
      </c>
      <c r="F4399">
        <v>6131250875</v>
      </c>
      <c r="G4399">
        <v>25000</v>
      </c>
      <c r="H4399" t="s">
        <v>40293</v>
      </c>
      <c r="I4399">
        <v>30307</v>
      </c>
      <c r="J4399">
        <v>3200</v>
      </c>
      <c r="K4399">
        <v>4200</v>
      </c>
    </row>
    <row r="4400" spans="1:11">
      <c r="A4400">
        <v>90</v>
      </c>
      <c r="B4400" t="b">
        <v>0</v>
      </c>
      <c r="C4400" t="s">
        <v>41153</v>
      </c>
      <c r="D4400">
        <v>1037022454355</v>
      </c>
      <c r="E4400">
        <v>1</v>
      </c>
      <c r="F4400">
        <v>6118984516</v>
      </c>
      <c r="G4400">
        <v>35000</v>
      </c>
      <c r="H4400" t="s">
        <v>40293</v>
      </c>
      <c r="I4400">
        <v>30309</v>
      </c>
      <c r="J4400">
        <v>993</v>
      </c>
      <c r="K4400">
        <v>993</v>
      </c>
    </row>
    <row r="4401" spans="1:11">
      <c r="A4401">
        <v>90</v>
      </c>
      <c r="B4401" t="b">
        <v>0</v>
      </c>
      <c r="C4401" t="s">
        <v>42353</v>
      </c>
      <c r="D4401">
        <v>1037022454355</v>
      </c>
      <c r="E4401">
        <v>1</v>
      </c>
      <c r="F4401">
        <v>6137647840</v>
      </c>
      <c r="G4401">
        <v>7250</v>
      </c>
      <c r="H4401" t="s">
        <v>40293</v>
      </c>
      <c r="I4401">
        <v>30370</v>
      </c>
      <c r="J4401">
        <v>800</v>
      </c>
      <c r="K4401">
        <v>800</v>
      </c>
    </row>
    <row r="4402" spans="1:11">
      <c r="A4402">
        <v>90</v>
      </c>
      <c r="B4402" t="b">
        <v>0</v>
      </c>
      <c r="C4402" t="s">
        <v>42360</v>
      </c>
      <c r="D4402">
        <v>1037022454355</v>
      </c>
      <c r="E4402">
        <v>1</v>
      </c>
      <c r="F4402">
        <v>6137648146</v>
      </c>
      <c r="G4402">
        <v>12750</v>
      </c>
      <c r="H4402" t="s">
        <v>40293</v>
      </c>
      <c r="I4402">
        <v>30373</v>
      </c>
      <c r="J4402">
        <v>520</v>
      </c>
      <c r="K4402">
        <v>520</v>
      </c>
    </row>
    <row r="4403" spans="1:11">
      <c r="A4403">
        <v>90</v>
      </c>
      <c r="B4403" t="b">
        <v>0</v>
      </c>
      <c r="C4403" t="s">
        <v>40718</v>
      </c>
      <c r="D4403">
        <v>1037022454355</v>
      </c>
      <c r="E4403">
        <v>1</v>
      </c>
      <c r="F4403">
        <v>6086894802</v>
      </c>
      <c r="G4403">
        <v>47800</v>
      </c>
      <c r="H4403" t="s">
        <v>40293</v>
      </c>
      <c r="I4403">
        <v>30377</v>
      </c>
      <c r="J4403">
        <v>40</v>
      </c>
      <c r="K4403">
        <v>40</v>
      </c>
    </row>
    <row r="4404" spans="1:11">
      <c r="A4404">
        <v>90</v>
      </c>
      <c r="B4404" t="b">
        <v>0</v>
      </c>
      <c r="C4404" t="s">
        <v>40850</v>
      </c>
      <c r="D4404">
        <v>1037022454355</v>
      </c>
      <c r="E4404">
        <v>1</v>
      </c>
      <c r="F4404">
        <v>6114259464</v>
      </c>
      <c r="G4404">
        <v>42000</v>
      </c>
      <c r="H4404" t="s">
        <v>40293</v>
      </c>
      <c r="I4404">
        <v>30377</v>
      </c>
      <c r="J4404">
        <v>88</v>
      </c>
      <c r="K4404">
        <v>88</v>
      </c>
    </row>
    <row r="4405" spans="1:11">
      <c r="A4405">
        <v>90</v>
      </c>
      <c r="B4405" t="b">
        <v>0</v>
      </c>
      <c r="C4405" t="s">
        <v>41368</v>
      </c>
      <c r="D4405">
        <v>1037022454355</v>
      </c>
      <c r="E4405">
        <v>1</v>
      </c>
      <c r="F4405">
        <v>6086894676</v>
      </c>
      <c r="G4405">
        <v>73900</v>
      </c>
      <c r="H4405" t="s">
        <v>40293</v>
      </c>
      <c r="I4405">
        <v>30378</v>
      </c>
      <c r="J4405">
        <v>448</v>
      </c>
      <c r="K4405">
        <v>448</v>
      </c>
    </row>
    <row r="4406" spans="1:11">
      <c r="A4406">
        <v>90</v>
      </c>
      <c r="B4406" t="b">
        <v>0</v>
      </c>
      <c r="C4406" t="s">
        <v>44692</v>
      </c>
      <c r="D4406">
        <v>1037022454355</v>
      </c>
      <c r="E4406">
        <v>1</v>
      </c>
      <c r="F4406">
        <v>6147318554</v>
      </c>
      <c r="G4406">
        <v>536000</v>
      </c>
      <c r="H4406" t="s">
        <v>40293</v>
      </c>
      <c r="I4406">
        <v>30486</v>
      </c>
      <c r="J4406">
        <v>16</v>
      </c>
      <c r="K4406">
        <v>16</v>
      </c>
    </row>
    <row r="4407" spans="1:11">
      <c r="A4407">
        <v>90</v>
      </c>
      <c r="B4407" t="b">
        <v>0</v>
      </c>
      <c r="C4407" t="s">
        <v>41892</v>
      </c>
      <c r="D4407">
        <v>1037022454355</v>
      </c>
      <c r="E4407">
        <v>1</v>
      </c>
      <c r="F4407">
        <v>6126002392</v>
      </c>
      <c r="G4407">
        <v>536000</v>
      </c>
      <c r="H4407" t="s">
        <v>40293</v>
      </c>
      <c r="I4407">
        <v>30486</v>
      </c>
      <c r="J4407">
        <v>114</v>
      </c>
      <c r="K4407">
        <v>1282</v>
      </c>
    </row>
    <row r="4408" spans="1:11">
      <c r="A4408">
        <v>90</v>
      </c>
      <c r="B4408" t="b">
        <v>0</v>
      </c>
      <c r="C4408" t="s">
        <v>44381</v>
      </c>
      <c r="D4408">
        <v>1037022454355</v>
      </c>
      <c r="E4408">
        <v>1</v>
      </c>
      <c r="F4408">
        <v>6155408117</v>
      </c>
      <c r="G4408">
        <v>699900</v>
      </c>
      <c r="H4408" t="s">
        <v>40293</v>
      </c>
      <c r="I4408">
        <v>30488</v>
      </c>
      <c r="J4408">
        <v>125</v>
      </c>
      <c r="K4408">
        <v>220</v>
      </c>
    </row>
    <row r="4409" spans="1:11">
      <c r="A4409">
        <v>90</v>
      </c>
      <c r="B4409" t="b">
        <v>0</v>
      </c>
      <c r="C4409" t="s">
        <v>44851</v>
      </c>
      <c r="D4409">
        <v>1037022454355</v>
      </c>
      <c r="E4409">
        <v>1</v>
      </c>
      <c r="F4409">
        <v>6156626579</v>
      </c>
      <c r="G4409">
        <v>480000</v>
      </c>
      <c r="H4409" t="s">
        <v>40293</v>
      </c>
      <c r="I4409">
        <v>30488</v>
      </c>
      <c r="J4409">
        <v>460</v>
      </c>
      <c r="K4409">
        <v>526</v>
      </c>
    </row>
    <row r="4410" spans="1:11">
      <c r="A4410">
        <v>90</v>
      </c>
      <c r="B4410" t="b">
        <v>0</v>
      </c>
      <c r="C4410" t="s">
        <v>44922</v>
      </c>
      <c r="D4410">
        <v>1037022454355</v>
      </c>
      <c r="E4410">
        <v>1</v>
      </c>
      <c r="F4410">
        <v>6157535163</v>
      </c>
      <c r="G4410">
        <v>479900</v>
      </c>
      <c r="H4410" t="s">
        <v>40293</v>
      </c>
      <c r="I4410">
        <v>30488</v>
      </c>
      <c r="J4410">
        <v>8</v>
      </c>
      <c r="K4410">
        <v>8</v>
      </c>
    </row>
    <row r="4411" spans="1:11">
      <c r="A4411">
        <v>30</v>
      </c>
      <c r="B4411" t="b">
        <v>0</v>
      </c>
      <c r="C4411" t="s">
        <v>45099</v>
      </c>
      <c r="D4411">
        <v>1037022454355</v>
      </c>
      <c r="E4411">
        <v>1</v>
      </c>
      <c r="F4411">
        <v>6154663575</v>
      </c>
      <c r="G4411">
        <v>4600000</v>
      </c>
      <c r="H4411" t="s">
        <v>40293</v>
      </c>
      <c r="I4411">
        <v>30558</v>
      </c>
      <c r="J4411">
        <v>2</v>
      </c>
      <c r="K4411">
        <v>2</v>
      </c>
    </row>
    <row r="4412" spans="1:11">
      <c r="A4412">
        <v>30</v>
      </c>
      <c r="B4412" t="b">
        <v>0</v>
      </c>
      <c r="C4412" t="s">
        <v>45091</v>
      </c>
      <c r="D4412">
        <v>1037022454355</v>
      </c>
      <c r="E4412">
        <v>1</v>
      </c>
      <c r="F4412">
        <v>6154663452</v>
      </c>
      <c r="G4412">
        <v>78000</v>
      </c>
      <c r="H4412" t="s">
        <v>40293</v>
      </c>
      <c r="I4412">
        <v>30562</v>
      </c>
      <c r="J4412">
        <v>4</v>
      </c>
      <c r="K4412">
        <v>4</v>
      </c>
    </row>
    <row r="4413" spans="1:11">
      <c r="A4413">
        <v>30</v>
      </c>
      <c r="B4413" t="b">
        <v>0</v>
      </c>
      <c r="C4413" t="s">
        <v>45050</v>
      </c>
      <c r="D4413">
        <v>1037022454355</v>
      </c>
      <c r="E4413">
        <v>1</v>
      </c>
      <c r="F4413">
        <v>6154663025</v>
      </c>
      <c r="G4413">
        <v>16300000</v>
      </c>
      <c r="H4413" t="s">
        <v>40293</v>
      </c>
      <c r="I4413">
        <v>30614</v>
      </c>
      <c r="J4413">
        <v>1</v>
      </c>
      <c r="K4413">
        <v>1</v>
      </c>
    </row>
    <row r="4414" spans="1:11">
      <c r="A4414">
        <v>30</v>
      </c>
      <c r="B4414" t="b">
        <v>0</v>
      </c>
      <c r="C4414" t="s">
        <v>45063</v>
      </c>
      <c r="D4414">
        <v>1037022454355</v>
      </c>
      <c r="E4414">
        <v>1</v>
      </c>
      <c r="F4414">
        <v>6154663175</v>
      </c>
      <c r="G4414">
        <v>3600000</v>
      </c>
      <c r="H4414" t="s">
        <v>40293</v>
      </c>
      <c r="I4414">
        <v>30615</v>
      </c>
      <c r="J4414">
        <v>2</v>
      </c>
      <c r="K4414">
        <v>2</v>
      </c>
    </row>
    <row r="4415" spans="1:11">
      <c r="A4415">
        <v>30</v>
      </c>
      <c r="B4415" t="b">
        <v>0</v>
      </c>
      <c r="C4415" t="s">
        <v>45125</v>
      </c>
      <c r="D4415">
        <v>1037022454355</v>
      </c>
      <c r="E4415">
        <v>1</v>
      </c>
      <c r="F4415">
        <v>6154663869</v>
      </c>
      <c r="G4415">
        <v>242000</v>
      </c>
      <c r="H4415" t="s">
        <v>40293</v>
      </c>
      <c r="I4415">
        <v>30618</v>
      </c>
      <c r="J4415">
        <v>3</v>
      </c>
      <c r="K4415">
        <v>3</v>
      </c>
    </row>
    <row r="4416" spans="1:11">
      <c r="A4416">
        <v>30</v>
      </c>
      <c r="B4416" t="b">
        <v>0</v>
      </c>
      <c r="C4416" t="s">
        <v>45296</v>
      </c>
      <c r="D4416">
        <v>1037022454355</v>
      </c>
      <c r="E4416">
        <v>1</v>
      </c>
      <c r="F4416">
        <v>6154663328</v>
      </c>
      <c r="G4416">
        <v>6650000</v>
      </c>
      <c r="H4416" t="s">
        <v>40293</v>
      </c>
      <c r="I4416">
        <v>30628</v>
      </c>
      <c r="J4416">
        <v>2</v>
      </c>
      <c r="K4416">
        <v>2</v>
      </c>
    </row>
    <row r="4417" spans="1:11">
      <c r="A4417">
        <v>30</v>
      </c>
      <c r="B4417" t="b">
        <v>0</v>
      </c>
      <c r="C4417" t="s">
        <v>45049</v>
      </c>
      <c r="D4417">
        <v>1037022454355</v>
      </c>
      <c r="E4417">
        <v>1</v>
      </c>
      <c r="F4417">
        <v>6154662756</v>
      </c>
      <c r="G4417">
        <v>975000</v>
      </c>
      <c r="H4417" t="s">
        <v>40293</v>
      </c>
      <c r="I4417">
        <v>30632</v>
      </c>
      <c r="J4417">
        <v>2</v>
      </c>
      <c r="K4417">
        <v>2</v>
      </c>
    </row>
    <row r="4418" spans="1:11">
      <c r="A4418">
        <v>30</v>
      </c>
      <c r="B4418" t="b">
        <v>0</v>
      </c>
      <c r="C4418" t="s">
        <v>45113</v>
      </c>
      <c r="D4418">
        <v>1037022454355</v>
      </c>
      <c r="E4418">
        <v>1</v>
      </c>
      <c r="F4418">
        <v>6154663662</v>
      </c>
      <c r="G4418">
        <v>44000</v>
      </c>
      <c r="H4418" t="s">
        <v>40293</v>
      </c>
      <c r="I4418">
        <v>30633</v>
      </c>
      <c r="J4418">
        <v>2</v>
      </c>
      <c r="K4418">
        <v>2</v>
      </c>
    </row>
    <row r="4419" spans="1:11">
      <c r="A4419">
        <v>30</v>
      </c>
      <c r="B4419" t="b">
        <v>0</v>
      </c>
      <c r="C4419" t="s">
        <v>43388</v>
      </c>
      <c r="D4419">
        <v>1037022454355</v>
      </c>
      <c r="E4419">
        <v>1</v>
      </c>
      <c r="F4419">
        <v>6144652232</v>
      </c>
      <c r="G4419">
        <v>549900</v>
      </c>
      <c r="H4419" t="s">
        <v>40293</v>
      </c>
      <c r="I4419">
        <v>30745</v>
      </c>
      <c r="J4419">
        <v>40</v>
      </c>
      <c r="K4419">
        <v>40</v>
      </c>
    </row>
    <row r="4420" spans="1:11">
      <c r="A4420">
        <v>90</v>
      </c>
      <c r="B4420" t="b">
        <v>0</v>
      </c>
      <c r="C4420" t="s">
        <v>43217</v>
      </c>
      <c r="D4420">
        <v>1037022454355</v>
      </c>
      <c r="E4420">
        <v>1</v>
      </c>
      <c r="F4420">
        <v>6143911673</v>
      </c>
      <c r="G4420">
        <v>1434000</v>
      </c>
      <c r="H4420" t="s">
        <v>40293</v>
      </c>
      <c r="I4420">
        <v>30832</v>
      </c>
      <c r="J4420">
        <v>1</v>
      </c>
      <c r="K4420">
        <v>1</v>
      </c>
    </row>
    <row r="4421" spans="1:11">
      <c r="A4421">
        <v>90</v>
      </c>
      <c r="B4421" t="b">
        <v>0</v>
      </c>
      <c r="C4421" t="s">
        <v>42817</v>
      </c>
      <c r="D4421">
        <v>1037022454355</v>
      </c>
      <c r="E4421">
        <v>1</v>
      </c>
      <c r="F4421">
        <v>6135703790</v>
      </c>
      <c r="G4421">
        <v>1434000</v>
      </c>
      <c r="H4421" t="s">
        <v>40293</v>
      </c>
      <c r="I4421">
        <v>30832</v>
      </c>
      <c r="J4421">
        <v>9</v>
      </c>
      <c r="K4421">
        <v>25</v>
      </c>
    </row>
    <row r="4422" spans="1:11">
      <c r="A4422">
        <v>90</v>
      </c>
      <c r="B4422" t="b">
        <v>0</v>
      </c>
      <c r="C4422" t="s">
        <v>41428</v>
      </c>
      <c r="D4422">
        <v>1037022454355</v>
      </c>
      <c r="E4422">
        <v>1</v>
      </c>
      <c r="F4422">
        <v>6080028713</v>
      </c>
      <c r="G4422">
        <v>1393000</v>
      </c>
      <c r="H4422" t="s">
        <v>40293</v>
      </c>
      <c r="I4422">
        <v>30834</v>
      </c>
      <c r="J4422">
        <v>2</v>
      </c>
      <c r="K4422">
        <v>4</v>
      </c>
    </row>
    <row r="4423" spans="1:11">
      <c r="A4423">
        <v>90</v>
      </c>
      <c r="B4423" t="b">
        <v>0</v>
      </c>
      <c r="C4423" t="s">
        <v>41605</v>
      </c>
      <c r="D4423">
        <v>1037022454355</v>
      </c>
      <c r="E4423">
        <v>1</v>
      </c>
      <c r="F4423">
        <v>6067876257</v>
      </c>
      <c r="G4423">
        <v>1348000</v>
      </c>
      <c r="H4423" t="s">
        <v>40293</v>
      </c>
      <c r="I4423">
        <v>30834</v>
      </c>
      <c r="J4423">
        <v>7</v>
      </c>
      <c r="K4423">
        <v>15</v>
      </c>
    </row>
    <row r="4424" spans="1:11">
      <c r="A4424">
        <v>90</v>
      </c>
      <c r="B4424" t="b">
        <v>0</v>
      </c>
      <c r="C4424" t="s">
        <v>42546</v>
      </c>
      <c r="D4424">
        <v>1037022454355</v>
      </c>
      <c r="E4424">
        <v>1</v>
      </c>
      <c r="F4424">
        <v>6073400628</v>
      </c>
      <c r="G4424">
        <v>1324000</v>
      </c>
      <c r="H4424" t="s">
        <v>40293</v>
      </c>
      <c r="I4424">
        <v>30834</v>
      </c>
      <c r="J4424">
        <v>11</v>
      </c>
      <c r="K4424">
        <v>25</v>
      </c>
    </row>
    <row r="4425" spans="1:11">
      <c r="A4425">
        <v>90</v>
      </c>
      <c r="B4425" t="b">
        <v>0</v>
      </c>
      <c r="C4425" t="s">
        <v>43917</v>
      </c>
      <c r="D4425">
        <v>1037022454355</v>
      </c>
      <c r="E4425">
        <v>1</v>
      </c>
      <c r="F4425">
        <v>6116538421</v>
      </c>
      <c r="G4425">
        <v>1300000</v>
      </c>
      <c r="H4425" t="s">
        <v>40293</v>
      </c>
      <c r="I4425">
        <v>30834</v>
      </c>
      <c r="J4425">
        <v>2</v>
      </c>
      <c r="K4425">
        <v>10</v>
      </c>
    </row>
    <row r="4426" spans="1:11">
      <c r="A4426">
        <v>90</v>
      </c>
      <c r="B4426" t="b">
        <v>0</v>
      </c>
      <c r="C4426" t="s">
        <v>43086</v>
      </c>
      <c r="D4426">
        <v>1037022454355</v>
      </c>
      <c r="E4426">
        <v>1</v>
      </c>
      <c r="F4426">
        <v>6143684275</v>
      </c>
      <c r="G4426">
        <v>1275000</v>
      </c>
      <c r="H4426" t="s">
        <v>40293</v>
      </c>
      <c r="I4426">
        <v>30834</v>
      </c>
      <c r="J4426">
        <v>26</v>
      </c>
      <c r="K4426">
        <v>30</v>
      </c>
    </row>
    <row r="4427" spans="1:11">
      <c r="A4427">
        <v>90</v>
      </c>
      <c r="B4427" t="b">
        <v>0</v>
      </c>
      <c r="C4427" t="s">
        <v>46329</v>
      </c>
      <c r="D4427">
        <v>1037022454355</v>
      </c>
      <c r="E4427">
        <v>1</v>
      </c>
      <c r="F4427">
        <v>6155695158</v>
      </c>
      <c r="G4427">
        <v>1274000</v>
      </c>
      <c r="H4427" t="s">
        <v>40293</v>
      </c>
      <c r="I4427">
        <v>30834</v>
      </c>
      <c r="J4427">
        <v>1</v>
      </c>
      <c r="K4427">
        <v>1</v>
      </c>
    </row>
    <row r="4428" spans="1:11">
      <c r="A4428">
        <v>90</v>
      </c>
      <c r="B4428" t="b">
        <v>0</v>
      </c>
      <c r="C4428" t="s">
        <v>45454</v>
      </c>
      <c r="D4428">
        <v>1037022454355</v>
      </c>
      <c r="E4428">
        <v>1</v>
      </c>
      <c r="F4428">
        <v>6142052659</v>
      </c>
      <c r="G4428">
        <v>1250000</v>
      </c>
      <c r="H4428" t="s">
        <v>40293</v>
      </c>
      <c r="I4428">
        <v>30834</v>
      </c>
      <c r="J4428">
        <v>4</v>
      </c>
      <c r="K4428">
        <v>10</v>
      </c>
    </row>
    <row r="4429" spans="1:11">
      <c r="A4429">
        <v>90</v>
      </c>
      <c r="B4429" t="b">
        <v>0</v>
      </c>
      <c r="C4429" t="s">
        <v>42968</v>
      </c>
      <c r="D4429">
        <v>1037022454355</v>
      </c>
      <c r="E4429">
        <v>1</v>
      </c>
      <c r="F4429">
        <v>6082366012</v>
      </c>
      <c r="G4429">
        <v>1560000</v>
      </c>
      <c r="H4429" t="s">
        <v>40293</v>
      </c>
      <c r="I4429">
        <v>30836</v>
      </c>
      <c r="J4429">
        <v>4</v>
      </c>
      <c r="K4429">
        <v>7</v>
      </c>
    </row>
    <row r="4430" spans="1:11">
      <c r="A4430">
        <v>90</v>
      </c>
      <c r="B4430" t="b">
        <v>0</v>
      </c>
      <c r="C4430" t="s">
        <v>41898</v>
      </c>
      <c r="D4430">
        <v>1037022454355</v>
      </c>
      <c r="E4430">
        <v>1</v>
      </c>
      <c r="F4430">
        <v>6127044150</v>
      </c>
      <c r="G4430">
        <v>400000</v>
      </c>
      <c r="H4430" t="s">
        <v>40293</v>
      </c>
      <c r="I4430">
        <v>30839</v>
      </c>
      <c r="J4430">
        <v>4</v>
      </c>
      <c r="K4430">
        <v>5</v>
      </c>
    </row>
    <row r="4431" spans="1:11">
      <c r="A4431">
        <v>30</v>
      </c>
      <c r="B4431" t="b">
        <v>0</v>
      </c>
      <c r="C4431" t="s">
        <v>45565</v>
      </c>
      <c r="D4431">
        <v>1037022454355</v>
      </c>
      <c r="E4431">
        <v>1</v>
      </c>
      <c r="F4431">
        <v>6154538462</v>
      </c>
      <c r="G4431">
        <v>38710000</v>
      </c>
      <c r="H4431" t="s">
        <v>40293</v>
      </c>
      <c r="I4431">
        <v>30993</v>
      </c>
      <c r="J4431">
        <v>5</v>
      </c>
      <c r="K4431">
        <v>5</v>
      </c>
    </row>
    <row r="4432" spans="1:11">
      <c r="A4432">
        <v>30</v>
      </c>
      <c r="B4432" t="b">
        <v>0</v>
      </c>
      <c r="C4432" t="s">
        <v>45529</v>
      </c>
      <c r="D4432">
        <v>1037022454355</v>
      </c>
      <c r="E4432">
        <v>1</v>
      </c>
      <c r="F4432">
        <v>6155062423</v>
      </c>
      <c r="G4432">
        <v>5401000</v>
      </c>
      <c r="H4432" t="s">
        <v>40293</v>
      </c>
      <c r="I4432">
        <v>30997</v>
      </c>
      <c r="J4432">
        <v>7</v>
      </c>
      <c r="K4432">
        <v>7</v>
      </c>
    </row>
    <row r="4433" spans="1:11">
      <c r="A4433">
        <v>90</v>
      </c>
      <c r="B4433" t="b">
        <v>0</v>
      </c>
      <c r="C4433" t="s">
        <v>43562</v>
      </c>
      <c r="D4433">
        <v>1037022454355</v>
      </c>
      <c r="E4433">
        <v>1</v>
      </c>
      <c r="F4433">
        <v>6142905546</v>
      </c>
      <c r="G4433">
        <v>5000000</v>
      </c>
      <c r="H4433" t="s">
        <v>40293</v>
      </c>
      <c r="I4433">
        <v>30999</v>
      </c>
      <c r="J4433">
        <v>75</v>
      </c>
      <c r="K4433">
        <v>75</v>
      </c>
    </row>
    <row r="4434" spans="1:11">
      <c r="A4434">
        <v>30</v>
      </c>
      <c r="B4434" t="b">
        <v>0</v>
      </c>
      <c r="C4434" t="s">
        <v>45540</v>
      </c>
      <c r="D4434">
        <v>1037022454355</v>
      </c>
      <c r="E4434">
        <v>1</v>
      </c>
      <c r="F4434">
        <v>6154308864</v>
      </c>
      <c r="G4434">
        <v>4992000</v>
      </c>
      <c r="H4434" t="s">
        <v>40293</v>
      </c>
      <c r="I4434">
        <v>30999</v>
      </c>
      <c r="J4434">
        <v>10</v>
      </c>
      <c r="K4434">
        <v>11</v>
      </c>
    </row>
    <row r="4435" spans="1:11">
      <c r="A4435">
        <v>90</v>
      </c>
      <c r="B4435" t="b">
        <v>0</v>
      </c>
      <c r="C4435" t="s">
        <v>42481</v>
      </c>
      <c r="D4435">
        <v>1037022454355</v>
      </c>
      <c r="E4435">
        <v>1</v>
      </c>
      <c r="F4435">
        <v>6095128549</v>
      </c>
      <c r="G4435">
        <v>7450000</v>
      </c>
      <c r="H4435" t="s">
        <v>40293</v>
      </c>
      <c r="I4435">
        <v>31003</v>
      </c>
      <c r="J4435">
        <v>1</v>
      </c>
      <c r="K4435">
        <v>2</v>
      </c>
    </row>
    <row r="4436" spans="1:11">
      <c r="A4436">
        <v>90</v>
      </c>
      <c r="B4436" t="b">
        <v>0</v>
      </c>
      <c r="C4436" t="s">
        <v>43872</v>
      </c>
      <c r="D4436">
        <v>1037022454355</v>
      </c>
      <c r="E4436">
        <v>1</v>
      </c>
      <c r="F4436">
        <v>6128071808</v>
      </c>
      <c r="G4436">
        <v>7449000</v>
      </c>
      <c r="H4436" t="s">
        <v>40293</v>
      </c>
      <c r="I4436">
        <v>31003</v>
      </c>
      <c r="J4436">
        <v>2</v>
      </c>
      <c r="K4436">
        <v>2</v>
      </c>
    </row>
    <row r="4437" spans="1:11">
      <c r="A4437">
        <v>30</v>
      </c>
      <c r="B4437" t="b">
        <v>0</v>
      </c>
      <c r="C4437" t="s">
        <v>43919</v>
      </c>
      <c r="D4437">
        <v>1037022454355</v>
      </c>
      <c r="E4437">
        <v>1</v>
      </c>
      <c r="F4437">
        <v>6146914414</v>
      </c>
      <c r="G4437">
        <v>7448000</v>
      </c>
      <c r="H4437" t="s">
        <v>40293</v>
      </c>
      <c r="I4437">
        <v>31003</v>
      </c>
      <c r="J4437">
        <v>5</v>
      </c>
      <c r="K4437">
        <v>5</v>
      </c>
    </row>
    <row r="4438" spans="1:11">
      <c r="A4438">
        <v>90</v>
      </c>
      <c r="B4438" t="b">
        <v>0</v>
      </c>
      <c r="C4438" t="s">
        <v>44776</v>
      </c>
      <c r="D4438">
        <v>1037022454355</v>
      </c>
      <c r="E4438">
        <v>1</v>
      </c>
      <c r="F4438">
        <v>6145891267</v>
      </c>
      <c r="G4438">
        <v>21000000</v>
      </c>
      <c r="H4438" t="s">
        <v>40293</v>
      </c>
      <c r="I4438">
        <v>31005</v>
      </c>
      <c r="J4438">
        <v>30</v>
      </c>
      <c r="K4438">
        <v>31</v>
      </c>
    </row>
    <row r="4439" spans="1:11">
      <c r="A4439">
        <v>30</v>
      </c>
      <c r="B4439" t="b">
        <v>0</v>
      </c>
      <c r="C4439" t="s">
        <v>44497</v>
      </c>
      <c r="D4439">
        <v>1037022454355</v>
      </c>
      <c r="E4439">
        <v>1</v>
      </c>
      <c r="F4439">
        <v>6142368092</v>
      </c>
      <c r="G4439">
        <v>20850000</v>
      </c>
      <c r="H4439" t="s">
        <v>40293</v>
      </c>
      <c r="I4439">
        <v>31005</v>
      </c>
      <c r="J4439">
        <v>2</v>
      </c>
      <c r="K4439">
        <v>5</v>
      </c>
    </row>
    <row r="4440" spans="1:11">
      <c r="A4440">
        <v>90</v>
      </c>
      <c r="B4440" t="b">
        <v>0</v>
      </c>
      <c r="C4440" t="s">
        <v>44237</v>
      </c>
      <c r="D4440">
        <v>1037022454355</v>
      </c>
      <c r="E4440">
        <v>1</v>
      </c>
      <c r="F4440">
        <v>6144426432</v>
      </c>
      <c r="G4440">
        <v>20800000</v>
      </c>
      <c r="H4440" t="s">
        <v>40293</v>
      </c>
      <c r="I4440">
        <v>31005</v>
      </c>
      <c r="J4440">
        <v>5</v>
      </c>
      <c r="K4440">
        <v>6</v>
      </c>
    </row>
    <row r="4441" spans="1:11">
      <c r="A4441">
        <v>30</v>
      </c>
      <c r="B4441" t="b">
        <v>0</v>
      </c>
      <c r="C4441" t="s">
        <v>45410</v>
      </c>
      <c r="D4441">
        <v>1037022454355</v>
      </c>
      <c r="E4441">
        <v>1</v>
      </c>
      <c r="F4441">
        <v>6155061008</v>
      </c>
      <c r="G4441">
        <v>20790000</v>
      </c>
      <c r="H4441" t="s">
        <v>40293</v>
      </c>
      <c r="I4441">
        <v>31005</v>
      </c>
      <c r="J4441">
        <v>6</v>
      </c>
      <c r="K4441">
        <v>7</v>
      </c>
    </row>
    <row r="4442" spans="1:11">
      <c r="A4442">
        <v>30</v>
      </c>
      <c r="B4442" t="b">
        <v>0</v>
      </c>
      <c r="C4442" t="s">
        <v>44152</v>
      </c>
      <c r="D4442">
        <v>1037022454355</v>
      </c>
      <c r="E4442">
        <v>1</v>
      </c>
      <c r="F4442">
        <v>6156617233</v>
      </c>
      <c r="G4442">
        <v>2496000</v>
      </c>
      <c r="H4442" t="s">
        <v>40293</v>
      </c>
      <c r="I4442">
        <v>31009</v>
      </c>
      <c r="J4442">
        <v>13</v>
      </c>
      <c r="K4442">
        <v>13</v>
      </c>
    </row>
    <row r="4443" spans="1:11">
      <c r="A4443">
        <v>90</v>
      </c>
      <c r="B4443" t="b">
        <v>0</v>
      </c>
      <c r="C4443" t="s">
        <v>42055</v>
      </c>
      <c r="D4443">
        <v>1037022454355</v>
      </c>
      <c r="E4443">
        <v>1</v>
      </c>
      <c r="F4443">
        <v>6129686686</v>
      </c>
      <c r="G4443">
        <v>3200000</v>
      </c>
      <c r="H4443" t="s">
        <v>40293</v>
      </c>
      <c r="I4443">
        <v>31011</v>
      </c>
      <c r="J4443">
        <v>14</v>
      </c>
      <c r="K4443">
        <v>14</v>
      </c>
    </row>
    <row r="4444" spans="1:11">
      <c r="A4444">
        <v>90</v>
      </c>
      <c r="B4444" t="b">
        <v>0</v>
      </c>
      <c r="C4444" t="s">
        <v>44984</v>
      </c>
      <c r="D4444">
        <v>1037022454355</v>
      </c>
      <c r="E4444">
        <v>1</v>
      </c>
      <c r="F4444">
        <v>6145842925</v>
      </c>
      <c r="G4444">
        <v>2925000</v>
      </c>
      <c r="H4444" t="s">
        <v>40293</v>
      </c>
      <c r="I4444">
        <v>31011</v>
      </c>
      <c r="J4444">
        <v>9</v>
      </c>
      <c r="K4444">
        <v>15</v>
      </c>
    </row>
    <row r="4445" spans="1:11">
      <c r="A4445">
        <v>30</v>
      </c>
      <c r="B4445" t="b">
        <v>0</v>
      </c>
      <c r="C4445" t="s">
        <v>45418</v>
      </c>
      <c r="D4445">
        <v>1037022454355</v>
      </c>
      <c r="E4445">
        <v>1</v>
      </c>
      <c r="F4445">
        <v>6155061144</v>
      </c>
      <c r="G4445">
        <v>2924000</v>
      </c>
      <c r="H4445" t="s">
        <v>40293</v>
      </c>
      <c r="I4445">
        <v>31011</v>
      </c>
      <c r="J4445">
        <v>6</v>
      </c>
      <c r="K4445">
        <v>13</v>
      </c>
    </row>
    <row r="4446" spans="1:11">
      <c r="A4446">
        <v>30</v>
      </c>
      <c r="B4446" t="b">
        <v>0</v>
      </c>
      <c r="C4446" t="s">
        <v>46126</v>
      </c>
      <c r="D4446">
        <v>1037022454355</v>
      </c>
      <c r="E4446">
        <v>1</v>
      </c>
      <c r="F4446">
        <v>6154316192</v>
      </c>
      <c r="G4446">
        <v>17610000</v>
      </c>
      <c r="H4446" t="s">
        <v>40293</v>
      </c>
      <c r="I4446">
        <v>31015</v>
      </c>
      <c r="J4446">
        <v>8</v>
      </c>
      <c r="K4446">
        <v>8</v>
      </c>
    </row>
    <row r="4447" spans="1:11">
      <c r="A4447">
        <v>30</v>
      </c>
      <c r="B4447" t="b">
        <v>0</v>
      </c>
      <c r="C4447" t="s">
        <v>44437</v>
      </c>
      <c r="D4447">
        <v>1037022454355</v>
      </c>
      <c r="E4447">
        <v>1</v>
      </c>
      <c r="F4447">
        <v>6148298163</v>
      </c>
      <c r="G4447">
        <v>25410000</v>
      </c>
      <c r="H4447" t="s">
        <v>40293</v>
      </c>
      <c r="I4447">
        <v>31017</v>
      </c>
      <c r="J4447">
        <v>5</v>
      </c>
      <c r="K4447">
        <v>10</v>
      </c>
    </row>
    <row r="4448" spans="1:11">
      <c r="A4448">
        <v>90</v>
      </c>
      <c r="B4448" t="b">
        <v>0</v>
      </c>
      <c r="C4448" t="s">
        <v>42703</v>
      </c>
      <c r="D4448">
        <v>1037022454355</v>
      </c>
      <c r="E4448">
        <v>1</v>
      </c>
      <c r="F4448">
        <v>6132948383</v>
      </c>
      <c r="G4448">
        <v>800000</v>
      </c>
      <c r="H4448" t="s">
        <v>40293</v>
      </c>
      <c r="I4448">
        <v>31021</v>
      </c>
      <c r="J4448">
        <v>73</v>
      </c>
      <c r="K4448">
        <v>77</v>
      </c>
    </row>
    <row r="4449" spans="1:11">
      <c r="A4449">
        <v>30</v>
      </c>
      <c r="B4449" t="b">
        <v>0</v>
      </c>
      <c r="C4449" t="s">
        <v>44706</v>
      </c>
      <c r="D4449">
        <v>1037022454355</v>
      </c>
      <c r="E4449">
        <v>1</v>
      </c>
      <c r="F4449">
        <v>6150939482</v>
      </c>
      <c r="G4449">
        <v>799900</v>
      </c>
      <c r="H4449" t="s">
        <v>40293</v>
      </c>
      <c r="I4449">
        <v>31021</v>
      </c>
      <c r="J4449">
        <v>6</v>
      </c>
      <c r="K4449">
        <v>7</v>
      </c>
    </row>
    <row r="4450" spans="1:11">
      <c r="A4450">
        <v>90</v>
      </c>
      <c r="B4450" t="b">
        <v>0</v>
      </c>
      <c r="C4450" t="s">
        <v>43716</v>
      </c>
      <c r="D4450">
        <v>1037022454355</v>
      </c>
      <c r="E4450">
        <v>1</v>
      </c>
      <c r="F4450">
        <v>6144811416</v>
      </c>
      <c r="G4450">
        <v>2000000</v>
      </c>
      <c r="H4450" t="s">
        <v>40293</v>
      </c>
      <c r="I4450">
        <v>31023</v>
      </c>
      <c r="J4450">
        <v>5</v>
      </c>
      <c r="K4450">
        <v>6</v>
      </c>
    </row>
    <row r="4451" spans="1:11">
      <c r="A4451">
        <v>30</v>
      </c>
      <c r="B4451" t="b">
        <v>0</v>
      </c>
      <c r="C4451" t="s">
        <v>46377</v>
      </c>
      <c r="D4451">
        <v>1037022454355</v>
      </c>
      <c r="E4451">
        <v>1</v>
      </c>
      <c r="F4451">
        <v>6156613456</v>
      </c>
      <c r="G4451">
        <v>1999000</v>
      </c>
      <c r="H4451" t="s">
        <v>40293</v>
      </c>
      <c r="I4451">
        <v>31023</v>
      </c>
      <c r="J4451">
        <v>6</v>
      </c>
      <c r="K4451">
        <v>6</v>
      </c>
    </row>
    <row r="4452" spans="1:11">
      <c r="A4452">
        <v>30</v>
      </c>
      <c r="B4452" t="b">
        <v>0</v>
      </c>
      <c r="C4452" t="s">
        <v>43950</v>
      </c>
      <c r="D4452">
        <v>1037022454355</v>
      </c>
      <c r="E4452">
        <v>1</v>
      </c>
      <c r="F4452">
        <v>6146915485</v>
      </c>
      <c r="G4452">
        <v>16990000</v>
      </c>
      <c r="H4452" t="s">
        <v>40293</v>
      </c>
      <c r="I4452">
        <v>31027</v>
      </c>
      <c r="J4452">
        <v>5</v>
      </c>
      <c r="K4452">
        <v>5</v>
      </c>
    </row>
    <row r="4453" spans="1:11">
      <c r="A4453">
        <v>90</v>
      </c>
      <c r="B4453" t="b">
        <v>0</v>
      </c>
      <c r="C4453" t="s">
        <v>43153</v>
      </c>
      <c r="D4453">
        <v>1037022454355</v>
      </c>
      <c r="E4453">
        <v>1</v>
      </c>
      <c r="F4453">
        <v>6146530953</v>
      </c>
      <c r="G4453">
        <v>22980000</v>
      </c>
      <c r="H4453" t="s">
        <v>40293</v>
      </c>
      <c r="I4453">
        <v>31029</v>
      </c>
      <c r="J4453">
        <v>1</v>
      </c>
      <c r="K4453">
        <v>1</v>
      </c>
    </row>
    <row r="4454" spans="1:11">
      <c r="A4454">
        <v>30</v>
      </c>
      <c r="B4454" t="b">
        <v>0</v>
      </c>
      <c r="C4454" t="s">
        <v>43680</v>
      </c>
      <c r="D4454">
        <v>1037022454355</v>
      </c>
      <c r="E4454">
        <v>1</v>
      </c>
      <c r="F4454">
        <v>6146907458</v>
      </c>
      <c r="G4454">
        <v>22970000</v>
      </c>
      <c r="H4454" t="s">
        <v>40293</v>
      </c>
      <c r="I4454">
        <v>31029</v>
      </c>
      <c r="J4454">
        <v>5</v>
      </c>
      <c r="K4454">
        <v>5</v>
      </c>
    </row>
    <row r="4455" spans="1:11">
      <c r="A4455">
        <v>90</v>
      </c>
      <c r="B4455" t="b">
        <v>0</v>
      </c>
      <c r="C4455" t="s">
        <v>43258</v>
      </c>
      <c r="D4455">
        <v>1037022454355</v>
      </c>
      <c r="E4455">
        <v>1</v>
      </c>
      <c r="F4455">
        <v>6145124890</v>
      </c>
      <c r="G4455">
        <v>450000</v>
      </c>
      <c r="H4455" t="s">
        <v>40293</v>
      </c>
      <c r="I4455">
        <v>31033</v>
      </c>
      <c r="J4455">
        <v>19</v>
      </c>
      <c r="K4455">
        <v>19</v>
      </c>
    </row>
    <row r="4456" spans="1:11">
      <c r="A4456">
        <v>30</v>
      </c>
      <c r="B4456" t="b">
        <v>0</v>
      </c>
      <c r="C4456" t="s">
        <v>42951</v>
      </c>
      <c r="D4456">
        <v>1037022454355</v>
      </c>
      <c r="E4456">
        <v>1</v>
      </c>
      <c r="F4456">
        <v>6146918133</v>
      </c>
      <c r="G4456">
        <v>449900</v>
      </c>
      <c r="H4456" t="s">
        <v>40293</v>
      </c>
      <c r="I4456">
        <v>31033</v>
      </c>
      <c r="J4456">
        <v>4</v>
      </c>
      <c r="K4456">
        <v>5</v>
      </c>
    </row>
    <row r="4457" spans="1:11">
      <c r="A4457">
        <v>30</v>
      </c>
      <c r="B4457" t="b">
        <v>0</v>
      </c>
      <c r="C4457" t="s">
        <v>44969</v>
      </c>
      <c r="D4457">
        <v>1037022454355</v>
      </c>
      <c r="E4457">
        <v>1</v>
      </c>
      <c r="F4457">
        <v>6150937951</v>
      </c>
      <c r="G4457">
        <v>4530000</v>
      </c>
      <c r="H4457" t="s">
        <v>40293</v>
      </c>
      <c r="I4457">
        <v>31035</v>
      </c>
      <c r="J4457">
        <v>7</v>
      </c>
      <c r="K4457">
        <v>11</v>
      </c>
    </row>
    <row r="4458" spans="1:11">
      <c r="A4458">
        <v>90</v>
      </c>
      <c r="B4458" t="b">
        <v>0</v>
      </c>
      <c r="C4458" t="s">
        <v>42822</v>
      </c>
      <c r="D4458">
        <v>1037022454355</v>
      </c>
      <c r="E4458">
        <v>1</v>
      </c>
      <c r="F4458">
        <v>6070695462</v>
      </c>
      <c r="G4458">
        <v>7937000</v>
      </c>
      <c r="H4458" t="s">
        <v>40293</v>
      </c>
      <c r="I4458">
        <v>31039</v>
      </c>
      <c r="J4458">
        <v>2</v>
      </c>
      <c r="K4458">
        <v>2</v>
      </c>
    </row>
    <row r="4459" spans="1:11">
      <c r="A4459">
        <v>30</v>
      </c>
      <c r="B4459" t="b">
        <v>0</v>
      </c>
      <c r="C4459" t="s">
        <v>43315</v>
      </c>
      <c r="D4459">
        <v>1037022454355</v>
      </c>
      <c r="E4459">
        <v>1</v>
      </c>
      <c r="F4459">
        <v>6146918393</v>
      </c>
      <c r="G4459">
        <v>7936000</v>
      </c>
      <c r="H4459" t="s">
        <v>40293</v>
      </c>
      <c r="I4459">
        <v>31039</v>
      </c>
      <c r="J4459">
        <v>5</v>
      </c>
      <c r="K4459">
        <v>5</v>
      </c>
    </row>
    <row r="4460" spans="1:11">
      <c r="A4460">
        <v>30</v>
      </c>
      <c r="B4460" t="b">
        <v>0</v>
      </c>
      <c r="C4460" t="s">
        <v>43866</v>
      </c>
      <c r="D4460">
        <v>1037022454355</v>
      </c>
      <c r="E4460">
        <v>1</v>
      </c>
      <c r="F4460">
        <v>6146913216</v>
      </c>
      <c r="G4460">
        <v>29800000</v>
      </c>
      <c r="H4460" t="s">
        <v>40293</v>
      </c>
      <c r="I4460">
        <v>31041</v>
      </c>
      <c r="J4460">
        <v>4</v>
      </c>
      <c r="K4460">
        <v>5</v>
      </c>
    </row>
    <row r="4461" spans="1:11">
      <c r="A4461">
        <v>90</v>
      </c>
      <c r="B4461" t="b">
        <v>0</v>
      </c>
      <c r="C4461" t="s">
        <v>42927</v>
      </c>
      <c r="D4461">
        <v>1037022454355</v>
      </c>
      <c r="E4461">
        <v>1</v>
      </c>
      <c r="F4461">
        <v>6141659158</v>
      </c>
      <c r="G4461">
        <v>2000000</v>
      </c>
      <c r="H4461" t="s">
        <v>40293</v>
      </c>
      <c r="I4461">
        <v>31045</v>
      </c>
      <c r="J4461">
        <v>19</v>
      </c>
      <c r="K4461">
        <v>20</v>
      </c>
    </row>
    <row r="4462" spans="1:11">
      <c r="A4462">
        <v>30</v>
      </c>
      <c r="B4462" t="b">
        <v>0</v>
      </c>
      <c r="C4462" t="s">
        <v>45880</v>
      </c>
      <c r="D4462">
        <v>1037022454355</v>
      </c>
      <c r="E4462">
        <v>1</v>
      </c>
      <c r="F4462">
        <v>6154312840</v>
      </c>
      <c r="G4462">
        <v>1999000</v>
      </c>
      <c r="H4462" t="s">
        <v>40293</v>
      </c>
      <c r="I4462">
        <v>31045</v>
      </c>
      <c r="J4462">
        <v>4</v>
      </c>
      <c r="K4462">
        <v>12</v>
      </c>
    </row>
    <row r="4463" spans="1:11">
      <c r="A4463">
        <v>90</v>
      </c>
      <c r="B4463" t="b">
        <v>0</v>
      </c>
      <c r="C4463" t="s">
        <v>45030</v>
      </c>
      <c r="D4463">
        <v>1037022454355</v>
      </c>
      <c r="E4463">
        <v>1</v>
      </c>
      <c r="F4463">
        <v>6152401731</v>
      </c>
      <c r="G4463">
        <v>3398000</v>
      </c>
      <c r="H4463" t="s">
        <v>40293</v>
      </c>
      <c r="I4463">
        <v>31047</v>
      </c>
      <c r="J4463">
        <v>1</v>
      </c>
      <c r="K4463">
        <v>1</v>
      </c>
    </row>
    <row r="4464" spans="1:11">
      <c r="A4464">
        <v>90</v>
      </c>
      <c r="B4464" t="b">
        <v>0</v>
      </c>
      <c r="C4464" t="s">
        <v>44580</v>
      </c>
      <c r="D4464">
        <v>1037022454355</v>
      </c>
      <c r="E4464">
        <v>1</v>
      </c>
      <c r="F4464">
        <v>6144433589</v>
      </c>
      <c r="G4464">
        <v>2990000</v>
      </c>
      <c r="H4464" t="s">
        <v>40293</v>
      </c>
      <c r="I4464">
        <v>31047</v>
      </c>
      <c r="J4464">
        <v>23</v>
      </c>
      <c r="K4464">
        <v>23</v>
      </c>
    </row>
    <row r="4465" spans="1:11">
      <c r="A4465">
        <v>90</v>
      </c>
      <c r="B4465" t="b">
        <v>0</v>
      </c>
      <c r="C4465" t="s">
        <v>45932</v>
      </c>
      <c r="D4465">
        <v>1037022454355</v>
      </c>
      <c r="E4465">
        <v>1</v>
      </c>
      <c r="F4465">
        <v>6155653064</v>
      </c>
      <c r="G4465">
        <v>2798000</v>
      </c>
      <c r="H4465" t="s">
        <v>40293</v>
      </c>
      <c r="I4465">
        <v>31047</v>
      </c>
      <c r="J4465">
        <v>30</v>
      </c>
      <c r="K4465">
        <v>30</v>
      </c>
    </row>
    <row r="4466" spans="1:11">
      <c r="A4466">
        <v>90</v>
      </c>
      <c r="B4466" t="b">
        <v>0</v>
      </c>
      <c r="C4466" t="s">
        <v>44574</v>
      </c>
      <c r="D4466">
        <v>1037022454355</v>
      </c>
      <c r="E4466">
        <v>1</v>
      </c>
      <c r="F4466">
        <v>6147579267</v>
      </c>
      <c r="G4466">
        <v>2750000</v>
      </c>
      <c r="H4466" t="s">
        <v>40293</v>
      </c>
      <c r="I4466">
        <v>31047</v>
      </c>
      <c r="J4466">
        <v>7</v>
      </c>
      <c r="K4466">
        <v>15</v>
      </c>
    </row>
    <row r="4467" spans="1:11">
      <c r="A4467">
        <v>90</v>
      </c>
      <c r="B4467" t="b">
        <v>0</v>
      </c>
      <c r="C4467" t="s">
        <v>44204</v>
      </c>
      <c r="D4467">
        <v>1037022454355</v>
      </c>
      <c r="E4467">
        <v>1</v>
      </c>
      <c r="F4467">
        <v>6144428206</v>
      </c>
      <c r="G4467">
        <v>2737000</v>
      </c>
      <c r="H4467" t="s">
        <v>40293</v>
      </c>
      <c r="I4467">
        <v>31047</v>
      </c>
      <c r="J4467">
        <v>1</v>
      </c>
      <c r="K4467">
        <v>15</v>
      </c>
    </row>
    <row r="4468" spans="1:11">
      <c r="A4468">
        <v>30</v>
      </c>
      <c r="B4468" t="b">
        <v>0</v>
      </c>
      <c r="C4468" t="s">
        <v>45320</v>
      </c>
      <c r="D4468">
        <v>1037022454355</v>
      </c>
      <c r="E4468">
        <v>1</v>
      </c>
      <c r="F4468">
        <v>6155059972</v>
      </c>
      <c r="G4468">
        <v>2736000</v>
      </c>
      <c r="H4468" t="s">
        <v>40293</v>
      </c>
      <c r="I4468">
        <v>31047</v>
      </c>
      <c r="J4468">
        <v>12</v>
      </c>
      <c r="K4468">
        <v>15</v>
      </c>
    </row>
    <row r="4469" spans="1:11">
      <c r="A4469">
        <v>30</v>
      </c>
      <c r="B4469" t="b">
        <v>0</v>
      </c>
      <c r="C4469" t="s">
        <v>44040</v>
      </c>
      <c r="D4469">
        <v>1037022454355</v>
      </c>
      <c r="E4469">
        <v>1</v>
      </c>
      <c r="F4469">
        <v>6156615738</v>
      </c>
      <c r="G4469">
        <v>7695000</v>
      </c>
      <c r="H4469" t="s">
        <v>40293</v>
      </c>
      <c r="I4469">
        <v>31051</v>
      </c>
      <c r="J4469">
        <v>13</v>
      </c>
      <c r="K4469">
        <v>13</v>
      </c>
    </row>
    <row r="4470" spans="1:11">
      <c r="A4470">
        <v>90</v>
      </c>
      <c r="B4470" t="b">
        <v>0</v>
      </c>
      <c r="C4470" t="s">
        <v>45857</v>
      </c>
      <c r="D4470">
        <v>1037022454355</v>
      </c>
      <c r="E4470">
        <v>1</v>
      </c>
      <c r="F4470">
        <v>6143400844</v>
      </c>
      <c r="G4470">
        <v>7694000</v>
      </c>
      <c r="H4470" t="s">
        <v>40293</v>
      </c>
      <c r="I4470">
        <v>31051</v>
      </c>
      <c r="J4470">
        <v>3</v>
      </c>
      <c r="K4470">
        <v>8</v>
      </c>
    </row>
    <row r="4471" spans="1:11">
      <c r="A4471">
        <v>90</v>
      </c>
      <c r="B4471" t="b">
        <v>0</v>
      </c>
      <c r="C4471" t="s">
        <v>43841</v>
      </c>
      <c r="D4471">
        <v>1037022454355</v>
      </c>
      <c r="E4471">
        <v>1</v>
      </c>
      <c r="F4471">
        <v>6142998891</v>
      </c>
      <c r="G4471">
        <v>33000000</v>
      </c>
      <c r="H4471" t="s">
        <v>40293</v>
      </c>
      <c r="I4471">
        <v>31053</v>
      </c>
      <c r="J4471">
        <v>9</v>
      </c>
      <c r="K4471">
        <v>9</v>
      </c>
    </row>
    <row r="4472" spans="1:11">
      <c r="A4472">
        <v>30</v>
      </c>
      <c r="B4472" t="b">
        <v>0</v>
      </c>
      <c r="C4472" t="s">
        <v>45334</v>
      </c>
      <c r="D4472">
        <v>1037022454355</v>
      </c>
      <c r="E4472">
        <v>1</v>
      </c>
      <c r="F4472">
        <v>6155060149</v>
      </c>
      <c r="G4472">
        <v>32890000</v>
      </c>
      <c r="H4472" t="s">
        <v>40293</v>
      </c>
      <c r="I4472">
        <v>31053</v>
      </c>
      <c r="J4472">
        <v>6</v>
      </c>
      <c r="K4472">
        <v>6</v>
      </c>
    </row>
    <row r="4473" spans="1:11">
      <c r="A4473">
        <v>90</v>
      </c>
      <c r="B4473" t="b">
        <v>0</v>
      </c>
      <c r="C4473" t="s">
        <v>44841</v>
      </c>
      <c r="D4473">
        <v>1037022454355</v>
      </c>
      <c r="E4473">
        <v>1</v>
      </c>
      <c r="F4473">
        <v>6142536189</v>
      </c>
      <c r="G4473">
        <v>32880000</v>
      </c>
      <c r="H4473" t="s">
        <v>40293</v>
      </c>
      <c r="I4473">
        <v>31053</v>
      </c>
      <c r="J4473">
        <v>4</v>
      </c>
      <c r="K4473">
        <v>6</v>
      </c>
    </row>
    <row r="4474" spans="1:11">
      <c r="A4474">
        <v>90</v>
      </c>
      <c r="B4474" t="b">
        <v>0</v>
      </c>
      <c r="C4474" t="s">
        <v>42947</v>
      </c>
      <c r="D4474">
        <v>1037022454355</v>
      </c>
      <c r="E4474">
        <v>1</v>
      </c>
      <c r="F4474">
        <v>6144427652</v>
      </c>
      <c r="G4474">
        <v>4499000</v>
      </c>
      <c r="H4474" t="s">
        <v>40293</v>
      </c>
      <c r="I4474">
        <v>31055</v>
      </c>
      <c r="J4474">
        <v>39</v>
      </c>
      <c r="K4474">
        <v>39</v>
      </c>
    </row>
    <row r="4475" spans="1:11">
      <c r="A4475">
        <v>7</v>
      </c>
      <c r="B4475" t="b">
        <v>0</v>
      </c>
      <c r="C4475" t="s">
        <v>44116</v>
      </c>
      <c r="D4475">
        <v>1037022454355</v>
      </c>
      <c r="E4475">
        <v>1</v>
      </c>
      <c r="F4475">
        <v>6151351121</v>
      </c>
      <c r="G4475">
        <v>2400000</v>
      </c>
      <c r="H4475" t="s">
        <v>40293</v>
      </c>
      <c r="I4475">
        <v>31055</v>
      </c>
      <c r="J4475">
        <v>9</v>
      </c>
      <c r="K4475">
        <v>20</v>
      </c>
    </row>
    <row r="4476" spans="1:11">
      <c r="A4476">
        <v>30</v>
      </c>
      <c r="B4476" t="b">
        <v>0</v>
      </c>
      <c r="C4476" t="s">
        <v>46487</v>
      </c>
      <c r="D4476">
        <v>1037022454355</v>
      </c>
      <c r="E4476">
        <v>1</v>
      </c>
      <c r="F4476">
        <v>6156614860</v>
      </c>
      <c r="G4476">
        <v>2399000</v>
      </c>
      <c r="H4476" t="s">
        <v>40293</v>
      </c>
      <c r="I4476">
        <v>31055</v>
      </c>
      <c r="J4476">
        <v>13</v>
      </c>
      <c r="K4476">
        <v>13</v>
      </c>
    </row>
    <row r="4477" spans="1:11">
      <c r="A4477">
        <v>90</v>
      </c>
      <c r="B4477" t="b">
        <v>0</v>
      </c>
      <c r="C4477" t="s">
        <v>43202</v>
      </c>
      <c r="D4477">
        <v>1037022454355</v>
      </c>
      <c r="E4477">
        <v>1</v>
      </c>
      <c r="F4477">
        <v>6138242109</v>
      </c>
      <c r="G4477">
        <v>7500000</v>
      </c>
      <c r="H4477" t="s">
        <v>40293</v>
      </c>
      <c r="I4477">
        <v>31057</v>
      </c>
      <c r="J4477">
        <v>10</v>
      </c>
      <c r="K4477">
        <v>42</v>
      </c>
    </row>
    <row r="4478" spans="1:11">
      <c r="A4478">
        <v>3</v>
      </c>
      <c r="B4478" t="b">
        <v>0</v>
      </c>
      <c r="C4478" t="s">
        <v>45468</v>
      </c>
      <c r="D4478">
        <v>1037022454355</v>
      </c>
      <c r="E4478">
        <v>1</v>
      </c>
      <c r="F4478">
        <v>6156896779</v>
      </c>
      <c r="G4478">
        <v>7250000</v>
      </c>
      <c r="H4478" t="s">
        <v>40293</v>
      </c>
      <c r="I4478">
        <v>31057</v>
      </c>
      <c r="J4478">
        <v>2</v>
      </c>
      <c r="K4478">
        <v>2</v>
      </c>
    </row>
    <row r="4479" spans="1:11">
      <c r="A4479">
        <v>30</v>
      </c>
      <c r="B4479" t="b">
        <v>0</v>
      </c>
      <c r="C4479" t="s">
        <v>45027</v>
      </c>
      <c r="D4479">
        <v>1037022454355</v>
      </c>
      <c r="E4479">
        <v>1</v>
      </c>
      <c r="F4479">
        <v>6155055867</v>
      </c>
      <c r="G4479">
        <v>7249000</v>
      </c>
      <c r="H4479" t="s">
        <v>40293</v>
      </c>
      <c r="I4479">
        <v>31057</v>
      </c>
      <c r="J4479">
        <v>5</v>
      </c>
      <c r="K4479">
        <v>5</v>
      </c>
    </row>
    <row r="4480" spans="1:11">
      <c r="A4480">
        <v>90</v>
      </c>
      <c r="B4480" t="b">
        <v>0</v>
      </c>
      <c r="C4480" t="s">
        <v>44410</v>
      </c>
      <c r="D4480">
        <v>1037022454355</v>
      </c>
      <c r="E4480">
        <v>1</v>
      </c>
      <c r="F4480">
        <v>6153737312</v>
      </c>
      <c r="G4480">
        <v>31940000</v>
      </c>
      <c r="H4480" t="s">
        <v>40293</v>
      </c>
      <c r="I4480">
        <v>31059</v>
      </c>
      <c r="J4480">
        <v>6</v>
      </c>
      <c r="K4480">
        <v>13</v>
      </c>
    </row>
    <row r="4481" spans="1:11">
      <c r="A4481">
        <v>30</v>
      </c>
      <c r="B4481" t="b">
        <v>0</v>
      </c>
      <c r="C4481" t="s">
        <v>44053</v>
      </c>
      <c r="D4481">
        <v>1037022454355</v>
      </c>
      <c r="E4481">
        <v>1</v>
      </c>
      <c r="F4481">
        <v>6156604805</v>
      </c>
      <c r="G4481">
        <v>31930000</v>
      </c>
      <c r="H4481" t="s">
        <v>40293</v>
      </c>
      <c r="I4481">
        <v>31059</v>
      </c>
      <c r="J4481">
        <v>8</v>
      </c>
      <c r="K4481">
        <v>10</v>
      </c>
    </row>
    <row r="4482" spans="1:11">
      <c r="A4482">
        <v>90</v>
      </c>
      <c r="B4482" t="b">
        <v>0</v>
      </c>
      <c r="C4482" t="s">
        <v>40422</v>
      </c>
      <c r="D4482">
        <v>1037022454355</v>
      </c>
      <c r="E4482">
        <v>1</v>
      </c>
      <c r="F4482">
        <v>6112578671</v>
      </c>
      <c r="G4482">
        <v>644200000</v>
      </c>
      <c r="H4482" t="s">
        <v>40293</v>
      </c>
      <c r="I4482">
        <v>31061</v>
      </c>
      <c r="J4482">
        <v>2</v>
      </c>
      <c r="K4482">
        <v>3</v>
      </c>
    </row>
    <row r="4483" spans="1:11">
      <c r="A4483">
        <v>30</v>
      </c>
      <c r="B4483" t="b">
        <v>0</v>
      </c>
      <c r="C4483" t="s">
        <v>44220</v>
      </c>
      <c r="D4483">
        <v>1037022454355</v>
      </c>
      <c r="E4483">
        <v>1</v>
      </c>
      <c r="F4483">
        <v>6156618181</v>
      </c>
      <c r="G4483">
        <v>5401000</v>
      </c>
      <c r="H4483" t="s">
        <v>40293</v>
      </c>
      <c r="I4483">
        <v>31063</v>
      </c>
      <c r="J4483">
        <v>13</v>
      </c>
      <c r="K4483">
        <v>13</v>
      </c>
    </row>
    <row r="4484" spans="1:11">
      <c r="A4484">
        <v>90</v>
      </c>
      <c r="B4484" t="b">
        <v>0</v>
      </c>
      <c r="C4484" t="s">
        <v>42027</v>
      </c>
      <c r="D4484">
        <v>1037022454355</v>
      </c>
      <c r="E4484">
        <v>1</v>
      </c>
      <c r="F4484">
        <v>6130994444</v>
      </c>
      <c r="G4484">
        <v>3197000</v>
      </c>
      <c r="H4484" t="s">
        <v>40293</v>
      </c>
      <c r="I4484">
        <v>31065</v>
      </c>
      <c r="J4484">
        <v>3</v>
      </c>
      <c r="K4484">
        <v>20</v>
      </c>
    </row>
    <row r="4485" spans="1:11">
      <c r="A4485">
        <v>30</v>
      </c>
      <c r="B4485" t="b">
        <v>0</v>
      </c>
      <c r="C4485" t="s">
        <v>45931</v>
      </c>
      <c r="D4485">
        <v>1037022454355</v>
      </c>
      <c r="E4485">
        <v>1</v>
      </c>
      <c r="F4485">
        <v>6154309573</v>
      </c>
      <c r="G4485">
        <v>3196000</v>
      </c>
      <c r="H4485" t="s">
        <v>40293</v>
      </c>
      <c r="I4485">
        <v>31065</v>
      </c>
      <c r="J4485">
        <v>10</v>
      </c>
      <c r="K4485">
        <v>12</v>
      </c>
    </row>
    <row r="4486" spans="1:11">
      <c r="A4486">
        <v>90</v>
      </c>
      <c r="B4486" t="b">
        <v>0</v>
      </c>
      <c r="C4486" t="s">
        <v>43731</v>
      </c>
      <c r="D4486">
        <v>1037022454355</v>
      </c>
      <c r="E4486">
        <v>1</v>
      </c>
      <c r="F4486">
        <v>6145598303</v>
      </c>
      <c r="G4486">
        <v>9500000</v>
      </c>
      <c r="H4486" t="s">
        <v>40293</v>
      </c>
      <c r="I4486">
        <v>31069</v>
      </c>
      <c r="J4486">
        <v>4</v>
      </c>
      <c r="K4486">
        <v>4</v>
      </c>
    </row>
    <row r="4487" spans="1:11">
      <c r="A4487">
        <v>90</v>
      </c>
      <c r="B4487" t="b">
        <v>0</v>
      </c>
      <c r="C4487" t="s">
        <v>46404</v>
      </c>
      <c r="D4487">
        <v>1037022454355</v>
      </c>
      <c r="E4487">
        <v>1</v>
      </c>
      <c r="F4487">
        <v>6149929182</v>
      </c>
      <c r="G4487">
        <v>9475000</v>
      </c>
      <c r="H4487" t="s">
        <v>40293</v>
      </c>
      <c r="I4487">
        <v>31069</v>
      </c>
      <c r="J4487">
        <v>3</v>
      </c>
      <c r="K4487">
        <v>3</v>
      </c>
    </row>
    <row r="4488" spans="1:11">
      <c r="A4488">
        <v>30</v>
      </c>
      <c r="B4488" t="b">
        <v>0</v>
      </c>
      <c r="C4488" t="s">
        <v>44098</v>
      </c>
      <c r="D4488">
        <v>1037022454355</v>
      </c>
      <c r="E4488">
        <v>1</v>
      </c>
      <c r="F4488">
        <v>6146916471</v>
      </c>
      <c r="G4488">
        <v>9474000</v>
      </c>
      <c r="H4488" t="s">
        <v>40293</v>
      </c>
      <c r="I4488">
        <v>31069</v>
      </c>
      <c r="J4488">
        <v>5</v>
      </c>
      <c r="K4488">
        <v>5</v>
      </c>
    </row>
    <row r="4489" spans="1:11">
      <c r="A4489">
        <v>30</v>
      </c>
      <c r="B4489" t="b">
        <v>0</v>
      </c>
      <c r="C4489" t="s">
        <v>43707</v>
      </c>
      <c r="D4489">
        <v>1037022454355</v>
      </c>
      <c r="E4489">
        <v>1</v>
      </c>
      <c r="F4489">
        <v>6146908290</v>
      </c>
      <c r="G4489">
        <v>47590000</v>
      </c>
      <c r="H4489" t="s">
        <v>40293</v>
      </c>
      <c r="I4489">
        <v>31071</v>
      </c>
      <c r="J4489">
        <v>5</v>
      </c>
      <c r="K4489">
        <v>5</v>
      </c>
    </row>
    <row r="4490" spans="1:11">
      <c r="A4490">
        <v>30</v>
      </c>
      <c r="B4490" t="b">
        <v>0</v>
      </c>
      <c r="C4490" t="s">
        <v>42936</v>
      </c>
      <c r="D4490">
        <v>1037022454355</v>
      </c>
      <c r="E4490">
        <v>1</v>
      </c>
      <c r="F4490">
        <v>6146917793</v>
      </c>
      <c r="G4490">
        <v>13990000</v>
      </c>
      <c r="H4490" t="s">
        <v>40293</v>
      </c>
      <c r="I4490">
        <v>31077</v>
      </c>
      <c r="J4490">
        <v>5</v>
      </c>
      <c r="K4490">
        <v>5</v>
      </c>
    </row>
    <row r="4491" spans="1:11">
      <c r="A4491">
        <v>30</v>
      </c>
      <c r="B4491" t="b">
        <v>0</v>
      </c>
      <c r="C4491" t="s">
        <v>43853</v>
      </c>
      <c r="D4491">
        <v>1037022454355</v>
      </c>
      <c r="E4491">
        <v>1</v>
      </c>
      <c r="F4491">
        <v>6146912781</v>
      </c>
      <c r="G4491">
        <v>48200000</v>
      </c>
      <c r="H4491" t="s">
        <v>40293</v>
      </c>
      <c r="I4491">
        <v>31079</v>
      </c>
      <c r="J4491">
        <v>5</v>
      </c>
      <c r="K4491">
        <v>5</v>
      </c>
    </row>
    <row r="4492" spans="1:11">
      <c r="A4492">
        <v>90</v>
      </c>
      <c r="B4492" t="b">
        <v>0</v>
      </c>
      <c r="C4492" t="s">
        <v>42813</v>
      </c>
      <c r="D4492">
        <v>1037022454355</v>
      </c>
      <c r="E4492">
        <v>1</v>
      </c>
      <c r="F4492">
        <v>6070695033</v>
      </c>
      <c r="G4492">
        <v>749900000</v>
      </c>
      <c r="H4492" t="s">
        <v>40293</v>
      </c>
      <c r="I4492">
        <v>31081</v>
      </c>
      <c r="J4492">
        <v>2</v>
      </c>
      <c r="K4492">
        <v>2</v>
      </c>
    </row>
    <row r="4493" spans="1:11">
      <c r="A4493">
        <v>90</v>
      </c>
      <c r="B4493" t="b">
        <v>0</v>
      </c>
      <c r="C4493" t="s">
        <v>45390</v>
      </c>
      <c r="D4493">
        <v>1037022454355</v>
      </c>
      <c r="E4493">
        <v>1</v>
      </c>
      <c r="F4493">
        <v>6148879967</v>
      </c>
      <c r="G4493">
        <v>810000</v>
      </c>
      <c r="H4493" t="s">
        <v>40293</v>
      </c>
      <c r="I4493">
        <v>31083</v>
      </c>
      <c r="J4493">
        <v>20</v>
      </c>
      <c r="K4493">
        <v>20</v>
      </c>
    </row>
    <row r="4494" spans="1:11">
      <c r="A4494">
        <v>90</v>
      </c>
      <c r="B4494" t="b">
        <v>0</v>
      </c>
      <c r="C4494" t="s">
        <v>45796</v>
      </c>
      <c r="D4494">
        <v>1037022454355</v>
      </c>
      <c r="E4494">
        <v>1</v>
      </c>
      <c r="F4494">
        <v>6147594572</v>
      </c>
      <c r="G4494">
        <v>550000</v>
      </c>
      <c r="H4494" t="s">
        <v>40293</v>
      </c>
      <c r="I4494">
        <v>31083</v>
      </c>
      <c r="J4494">
        <v>9</v>
      </c>
      <c r="K4494">
        <v>18</v>
      </c>
    </row>
    <row r="4495" spans="1:11">
      <c r="A4495">
        <v>30</v>
      </c>
      <c r="B4495" t="b">
        <v>0</v>
      </c>
      <c r="C4495" t="s">
        <v>45915</v>
      </c>
      <c r="D4495">
        <v>1037022454355</v>
      </c>
      <c r="E4495">
        <v>1</v>
      </c>
      <c r="F4495">
        <v>6155886071</v>
      </c>
      <c r="G4495">
        <v>549900</v>
      </c>
      <c r="H4495" t="s">
        <v>40293</v>
      </c>
      <c r="I4495">
        <v>31083</v>
      </c>
      <c r="J4495">
        <v>5</v>
      </c>
      <c r="K4495">
        <v>5</v>
      </c>
    </row>
    <row r="4496" spans="1:11">
      <c r="A4496">
        <v>90</v>
      </c>
      <c r="B4496" t="b">
        <v>0</v>
      </c>
      <c r="C4496" t="s">
        <v>45040</v>
      </c>
      <c r="D4496">
        <v>1037022454355</v>
      </c>
      <c r="E4496">
        <v>1</v>
      </c>
      <c r="F4496">
        <v>6148600770</v>
      </c>
      <c r="G4496">
        <v>549800</v>
      </c>
      <c r="H4496" t="s">
        <v>40293</v>
      </c>
      <c r="I4496">
        <v>31083</v>
      </c>
      <c r="J4496">
        <v>13</v>
      </c>
      <c r="K4496">
        <v>18</v>
      </c>
    </row>
    <row r="4497" spans="1:11">
      <c r="A4497">
        <v>90</v>
      </c>
      <c r="B4497" t="b">
        <v>0</v>
      </c>
      <c r="C4497" t="s">
        <v>44035</v>
      </c>
      <c r="D4497">
        <v>1037022454355</v>
      </c>
      <c r="E4497">
        <v>1</v>
      </c>
      <c r="F4497">
        <v>6123847702</v>
      </c>
      <c r="G4497">
        <v>1997000</v>
      </c>
      <c r="H4497" t="s">
        <v>40293</v>
      </c>
      <c r="I4497">
        <v>31085</v>
      </c>
      <c r="J4497">
        <v>4</v>
      </c>
      <c r="K4497">
        <v>20</v>
      </c>
    </row>
    <row r="4498" spans="1:11">
      <c r="A4498">
        <v>90</v>
      </c>
      <c r="B4498" t="b">
        <v>0</v>
      </c>
      <c r="C4498" t="s">
        <v>43535</v>
      </c>
      <c r="D4498">
        <v>1037022454355</v>
      </c>
      <c r="E4498">
        <v>1</v>
      </c>
      <c r="F4498">
        <v>6144673955</v>
      </c>
      <c r="G4498">
        <v>31630000</v>
      </c>
      <c r="H4498" t="s">
        <v>40293</v>
      </c>
      <c r="I4498">
        <v>31091</v>
      </c>
      <c r="J4498">
        <v>12</v>
      </c>
      <c r="K4498">
        <v>12</v>
      </c>
    </row>
    <row r="4499" spans="1:11">
      <c r="A4499">
        <v>90</v>
      </c>
      <c r="B4499" t="b">
        <v>0</v>
      </c>
      <c r="C4499" t="s">
        <v>42751</v>
      </c>
      <c r="D4499">
        <v>1037022454355</v>
      </c>
      <c r="E4499">
        <v>1</v>
      </c>
      <c r="F4499">
        <v>6135637766</v>
      </c>
      <c r="G4499">
        <v>31630000</v>
      </c>
      <c r="H4499" t="s">
        <v>40293</v>
      </c>
      <c r="I4499">
        <v>31091</v>
      </c>
      <c r="J4499">
        <v>1</v>
      </c>
      <c r="K4499">
        <v>6</v>
      </c>
    </row>
    <row r="4500" spans="1:11">
      <c r="A4500">
        <v>90</v>
      </c>
      <c r="B4500" t="b">
        <v>0</v>
      </c>
      <c r="C4500" t="s">
        <v>45009</v>
      </c>
      <c r="D4500">
        <v>1037022454355</v>
      </c>
      <c r="E4500">
        <v>1</v>
      </c>
      <c r="F4500">
        <v>6137295332</v>
      </c>
      <c r="G4500">
        <v>2485000</v>
      </c>
      <c r="H4500" t="s">
        <v>40293</v>
      </c>
      <c r="I4500">
        <v>31107</v>
      </c>
      <c r="J4500">
        <v>1</v>
      </c>
      <c r="K4500">
        <v>6</v>
      </c>
    </row>
    <row r="4501" spans="1:11">
      <c r="A4501">
        <v>90</v>
      </c>
      <c r="B4501" t="b">
        <v>0</v>
      </c>
      <c r="C4501" t="s">
        <v>45359</v>
      </c>
      <c r="D4501">
        <v>1037022454355</v>
      </c>
      <c r="E4501">
        <v>1</v>
      </c>
      <c r="F4501">
        <v>6144428913</v>
      </c>
      <c r="G4501">
        <v>2484000</v>
      </c>
      <c r="H4501" t="s">
        <v>40293</v>
      </c>
      <c r="I4501">
        <v>31107</v>
      </c>
      <c r="J4501">
        <v>6</v>
      </c>
      <c r="K4501">
        <v>6</v>
      </c>
    </row>
    <row r="4502" spans="1:11">
      <c r="A4502">
        <v>30</v>
      </c>
      <c r="B4502" t="b">
        <v>0</v>
      </c>
      <c r="C4502" t="s">
        <v>44990</v>
      </c>
      <c r="D4502">
        <v>1037022454355</v>
      </c>
      <c r="E4502">
        <v>1</v>
      </c>
      <c r="F4502">
        <v>6150926624</v>
      </c>
      <c r="G4502">
        <v>2483000</v>
      </c>
      <c r="H4502" t="s">
        <v>40293</v>
      </c>
      <c r="I4502">
        <v>31107</v>
      </c>
      <c r="J4502">
        <v>8</v>
      </c>
      <c r="K4502">
        <v>10</v>
      </c>
    </row>
    <row r="4503" spans="1:11">
      <c r="A4503">
        <v>90</v>
      </c>
      <c r="B4503" t="b">
        <v>0</v>
      </c>
      <c r="C4503" t="s">
        <v>40791</v>
      </c>
      <c r="D4503">
        <v>1037022454355</v>
      </c>
      <c r="E4503">
        <v>1</v>
      </c>
      <c r="F4503">
        <v>6088600527</v>
      </c>
      <c r="G4503">
        <v>2979000</v>
      </c>
      <c r="H4503" t="s">
        <v>40293</v>
      </c>
      <c r="I4503">
        <v>31111</v>
      </c>
      <c r="J4503">
        <v>26</v>
      </c>
      <c r="K4503">
        <v>28</v>
      </c>
    </row>
    <row r="4504" spans="1:11">
      <c r="A4504">
        <v>90</v>
      </c>
      <c r="B4504" t="b">
        <v>0</v>
      </c>
      <c r="C4504" t="s">
        <v>43116</v>
      </c>
      <c r="D4504">
        <v>1037022454355</v>
      </c>
      <c r="E4504">
        <v>1</v>
      </c>
      <c r="F4504">
        <v>6138244903</v>
      </c>
      <c r="G4504">
        <v>2900000</v>
      </c>
      <c r="H4504" t="s">
        <v>40293</v>
      </c>
      <c r="I4504">
        <v>31111</v>
      </c>
      <c r="J4504">
        <v>98</v>
      </c>
      <c r="K4504">
        <v>100</v>
      </c>
    </row>
    <row r="4505" spans="1:11">
      <c r="A4505">
        <v>30</v>
      </c>
      <c r="B4505" t="b">
        <v>0</v>
      </c>
      <c r="C4505" t="s">
        <v>44059</v>
      </c>
      <c r="D4505">
        <v>1037022454355</v>
      </c>
      <c r="E4505">
        <v>1</v>
      </c>
      <c r="F4505">
        <v>6156616026</v>
      </c>
      <c r="G4505">
        <v>2899000</v>
      </c>
      <c r="H4505" t="s">
        <v>40293</v>
      </c>
      <c r="I4505">
        <v>31111</v>
      </c>
      <c r="J4505">
        <v>16</v>
      </c>
      <c r="K4505">
        <v>16</v>
      </c>
    </row>
    <row r="4506" spans="1:11">
      <c r="A4506">
        <v>90</v>
      </c>
      <c r="B4506" t="b">
        <v>0</v>
      </c>
      <c r="C4506" t="s">
        <v>42014</v>
      </c>
      <c r="D4506">
        <v>1037022454355</v>
      </c>
      <c r="E4506">
        <v>1</v>
      </c>
      <c r="F4506">
        <v>6131229692</v>
      </c>
      <c r="G4506">
        <v>8500000</v>
      </c>
      <c r="H4506" t="s">
        <v>40293</v>
      </c>
      <c r="I4506">
        <v>31113</v>
      </c>
      <c r="J4506">
        <v>2</v>
      </c>
      <c r="K4506">
        <v>2</v>
      </c>
    </row>
    <row r="4507" spans="1:11">
      <c r="A4507">
        <v>90</v>
      </c>
      <c r="B4507" t="b">
        <v>0</v>
      </c>
      <c r="C4507" t="s">
        <v>42828</v>
      </c>
      <c r="D4507">
        <v>1037022454355</v>
      </c>
      <c r="E4507">
        <v>1</v>
      </c>
      <c r="F4507">
        <v>6132640070</v>
      </c>
      <c r="G4507">
        <v>7999000</v>
      </c>
      <c r="H4507" t="s">
        <v>40293</v>
      </c>
      <c r="I4507">
        <v>31113</v>
      </c>
      <c r="J4507">
        <v>2</v>
      </c>
      <c r="K4507">
        <v>10</v>
      </c>
    </row>
    <row r="4508" spans="1:11">
      <c r="A4508">
        <v>30</v>
      </c>
      <c r="B4508" t="b">
        <v>0</v>
      </c>
      <c r="C4508" t="s">
        <v>46385</v>
      </c>
      <c r="D4508">
        <v>1037022454355</v>
      </c>
      <c r="E4508">
        <v>1</v>
      </c>
      <c r="F4508">
        <v>6150935541</v>
      </c>
      <c r="G4508">
        <v>7998000</v>
      </c>
      <c r="H4508" t="s">
        <v>40293</v>
      </c>
      <c r="I4508">
        <v>31113</v>
      </c>
      <c r="J4508">
        <v>4</v>
      </c>
      <c r="K4508">
        <v>6</v>
      </c>
    </row>
    <row r="4509" spans="1:11">
      <c r="A4509">
        <v>30</v>
      </c>
      <c r="B4509" t="b">
        <v>0</v>
      </c>
      <c r="C4509" t="s">
        <v>44084</v>
      </c>
      <c r="D4509">
        <v>1037022454355</v>
      </c>
      <c r="E4509">
        <v>1</v>
      </c>
      <c r="F4509">
        <v>6157107767</v>
      </c>
      <c r="G4509">
        <v>1240000</v>
      </c>
      <c r="H4509" t="s">
        <v>40293</v>
      </c>
      <c r="I4509">
        <v>31117</v>
      </c>
      <c r="J4509">
        <v>23</v>
      </c>
      <c r="K4509">
        <v>23</v>
      </c>
    </row>
    <row r="4510" spans="1:11">
      <c r="A4510">
        <v>90</v>
      </c>
      <c r="B4510" t="b">
        <v>0</v>
      </c>
      <c r="C4510" t="s">
        <v>40803</v>
      </c>
      <c r="D4510">
        <v>1037022454355</v>
      </c>
      <c r="E4510">
        <v>1</v>
      </c>
      <c r="F4510">
        <v>6110719209</v>
      </c>
      <c r="G4510">
        <v>1000000</v>
      </c>
      <c r="H4510" t="s">
        <v>40293</v>
      </c>
      <c r="I4510">
        <v>31119</v>
      </c>
      <c r="J4510">
        <v>60</v>
      </c>
      <c r="K4510">
        <v>60</v>
      </c>
    </row>
    <row r="4511" spans="1:11">
      <c r="A4511">
        <v>30</v>
      </c>
      <c r="B4511" t="b">
        <v>0</v>
      </c>
      <c r="C4511" t="s">
        <v>46064</v>
      </c>
      <c r="D4511">
        <v>1037022454355</v>
      </c>
      <c r="E4511">
        <v>1</v>
      </c>
      <c r="F4511">
        <v>6155653367</v>
      </c>
      <c r="G4511">
        <v>1000000</v>
      </c>
      <c r="H4511" t="s">
        <v>40293</v>
      </c>
      <c r="I4511">
        <v>31119</v>
      </c>
      <c r="J4511">
        <v>30</v>
      </c>
      <c r="K4511">
        <v>30</v>
      </c>
    </row>
    <row r="4512" spans="1:11">
      <c r="A4512">
        <v>90</v>
      </c>
      <c r="B4512" t="b">
        <v>0</v>
      </c>
      <c r="C4512" t="s">
        <v>42804</v>
      </c>
      <c r="D4512">
        <v>1037022454355</v>
      </c>
      <c r="E4512">
        <v>1</v>
      </c>
      <c r="F4512">
        <v>6137784395</v>
      </c>
      <c r="G4512">
        <v>936000</v>
      </c>
      <c r="H4512" t="s">
        <v>40293</v>
      </c>
      <c r="I4512">
        <v>31119</v>
      </c>
      <c r="J4512">
        <v>50</v>
      </c>
      <c r="K4512">
        <v>50</v>
      </c>
    </row>
    <row r="4513" spans="1:11">
      <c r="A4513">
        <v>90</v>
      </c>
      <c r="B4513" t="b">
        <v>0</v>
      </c>
      <c r="C4513" t="s">
        <v>42933</v>
      </c>
      <c r="D4513">
        <v>1037022454355</v>
      </c>
      <c r="E4513">
        <v>1</v>
      </c>
      <c r="F4513">
        <v>6138266963</v>
      </c>
      <c r="G4513">
        <v>925000</v>
      </c>
      <c r="H4513" t="s">
        <v>40293</v>
      </c>
      <c r="I4513">
        <v>31119</v>
      </c>
      <c r="J4513">
        <v>155</v>
      </c>
      <c r="K4513">
        <v>164</v>
      </c>
    </row>
    <row r="4514" spans="1:11">
      <c r="A4514">
        <v>90</v>
      </c>
      <c r="B4514" t="b">
        <v>0</v>
      </c>
      <c r="C4514" t="s">
        <v>46319</v>
      </c>
      <c r="D4514">
        <v>1037022454355</v>
      </c>
      <c r="E4514">
        <v>1</v>
      </c>
      <c r="F4514">
        <v>6148877956</v>
      </c>
      <c r="G4514">
        <v>879700</v>
      </c>
      <c r="H4514" t="s">
        <v>40293</v>
      </c>
      <c r="I4514">
        <v>31119</v>
      </c>
      <c r="J4514">
        <v>6</v>
      </c>
      <c r="K4514">
        <v>15</v>
      </c>
    </row>
    <row r="4515" spans="1:11">
      <c r="A4515">
        <v>90</v>
      </c>
      <c r="B4515" t="b">
        <v>0</v>
      </c>
      <c r="C4515" t="s">
        <v>46486</v>
      </c>
      <c r="D4515">
        <v>1037022454355</v>
      </c>
      <c r="E4515">
        <v>1</v>
      </c>
      <c r="F4515">
        <v>6153403572</v>
      </c>
      <c r="G4515">
        <v>874000</v>
      </c>
      <c r="H4515" t="s">
        <v>40293</v>
      </c>
      <c r="I4515">
        <v>31119</v>
      </c>
      <c r="J4515">
        <v>6</v>
      </c>
      <c r="K4515">
        <v>6</v>
      </c>
    </row>
    <row r="4516" spans="1:11">
      <c r="A4516">
        <v>90</v>
      </c>
      <c r="B4516" t="b">
        <v>0</v>
      </c>
      <c r="C4516" t="s">
        <v>44244</v>
      </c>
      <c r="D4516">
        <v>1037022454355</v>
      </c>
      <c r="E4516">
        <v>1</v>
      </c>
      <c r="F4516">
        <v>6128011995</v>
      </c>
      <c r="G4516">
        <v>850000</v>
      </c>
      <c r="H4516" t="s">
        <v>40293</v>
      </c>
      <c r="I4516">
        <v>31119</v>
      </c>
      <c r="J4516">
        <v>108</v>
      </c>
      <c r="K4516">
        <v>144</v>
      </c>
    </row>
    <row r="4517" spans="1:11">
      <c r="A4517">
        <v>90</v>
      </c>
      <c r="B4517" t="b">
        <v>0</v>
      </c>
      <c r="C4517" t="s">
        <v>46372</v>
      </c>
      <c r="D4517">
        <v>1037022454355</v>
      </c>
      <c r="E4517">
        <v>1</v>
      </c>
      <c r="F4517">
        <v>6156842748</v>
      </c>
      <c r="G4517">
        <v>849900</v>
      </c>
      <c r="H4517" t="s">
        <v>40293</v>
      </c>
      <c r="I4517">
        <v>31119</v>
      </c>
      <c r="J4517">
        <v>5</v>
      </c>
      <c r="K4517">
        <v>5</v>
      </c>
    </row>
    <row r="4518" spans="1:11">
      <c r="A4518">
        <v>30</v>
      </c>
      <c r="B4518" t="b">
        <v>0</v>
      </c>
      <c r="C4518" t="s">
        <v>44042</v>
      </c>
      <c r="D4518">
        <v>1037022454355</v>
      </c>
      <c r="E4518">
        <v>1</v>
      </c>
      <c r="F4518">
        <v>6157107308</v>
      </c>
      <c r="G4518">
        <v>849800</v>
      </c>
      <c r="H4518" t="s">
        <v>40293</v>
      </c>
      <c r="I4518">
        <v>31119</v>
      </c>
      <c r="J4518">
        <v>18</v>
      </c>
      <c r="K4518">
        <v>20</v>
      </c>
    </row>
    <row r="4519" spans="1:11">
      <c r="A4519">
        <v>30</v>
      </c>
      <c r="B4519" t="b">
        <v>0</v>
      </c>
      <c r="C4519" t="s">
        <v>46063</v>
      </c>
      <c r="D4519">
        <v>1037022454355</v>
      </c>
      <c r="E4519">
        <v>1</v>
      </c>
      <c r="F4519">
        <v>6151628200</v>
      </c>
      <c r="G4519">
        <v>8000000</v>
      </c>
      <c r="H4519" t="s">
        <v>40293</v>
      </c>
      <c r="I4519">
        <v>31121</v>
      </c>
      <c r="J4519">
        <v>1</v>
      </c>
      <c r="K4519">
        <v>1</v>
      </c>
    </row>
    <row r="4520" spans="1:11">
      <c r="A4520">
        <v>90</v>
      </c>
      <c r="B4520" t="b">
        <v>0</v>
      </c>
      <c r="C4520" t="s">
        <v>41621</v>
      </c>
      <c r="D4520">
        <v>1037022454355</v>
      </c>
      <c r="E4520">
        <v>1</v>
      </c>
      <c r="F4520">
        <v>6122533742</v>
      </c>
      <c r="G4520">
        <v>4971000</v>
      </c>
      <c r="H4520" t="s">
        <v>40293</v>
      </c>
      <c r="I4520">
        <v>31123</v>
      </c>
      <c r="J4520">
        <v>3</v>
      </c>
      <c r="K4520">
        <v>12</v>
      </c>
    </row>
    <row r="4521" spans="1:11">
      <c r="A4521">
        <v>90</v>
      </c>
      <c r="B4521" t="b">
        <v>0</v>
      </c>
      <c r="C4521" t="s">
        <v>43771</v>
      </c>
      <c r="D4521">
        <v>1037022454355</v>
      </c>
      <c r="E4521">
        <v>1</v>
      </c>
      <c r="F4521">
        <v>6075541649</v>
      </c>
      <c r="G4521">
        <v>4940000</v>
      </c>
      <c r="H4521" t="s">
        <v>40293</v>
      </c>
      <c r="I4521">
        <v>31123</v>
      </c>
      <c r="J4521">
        <v>5</v>
      </c>
      <c r="K4521">
        <v>5</v>
      </c>
    </row>
    <row r="4522" spans="1:11">
      <c r="A4522">
        <v>90</v>
      </c>
      <c r="B4522" t="b">
        <v>0</v>
      </c>
      <c r="C4522" t="s">
        <v>43696</v>
      </c>
      <c r="D4522">
        <v>1037022454355</v>
      </c>
      <c r="E4522">
        <v>1</v>
      </c>
      <c r="F4522">
        <v>6135209824</v>
      </c>
      <c r="G4522">
        <v>4925000</v>
      </c>
      <c r="H4522" t="s">
        <v>40293</v>
      </c>
      <c r="I4522">
        <v>31123</v>
      </c>
      <c r="J4522">
        <v>1</v>
      </c>
      <c r="K4522">
        <v>1</v>
      </c>
    </row>
    <row r="4523" spans="1:11">
      <c r="A4523">
        <v>90</v>
      </c>
      <c r="B4523" t="b">
        <v>0</v>
      </c>
      <c r="C4523" t="s">
        <v>46390</v>
      </c>
      <c r="D4523">
        <v>1037022454355</v>
      </c>
      <c r="E4523">
        <v>1</v>
      </c>
      <c r="F4523">
        <v>6149928949</v>
      </c>
      <c r="G4523">
        <v>4915000</v>
      </c>
      <c r="H4523" t="s">
        <v>40293</v>
      </c>
      <c r="I4523">
        <v>31123</v>
      </c>
      <c r="J4523">
        <v>3</v>
      </c>
      <c r="K4523">
        <v>3</v>
      </c>
    </row>
    <row r="4524" spans="1:11">
      <c r="A4524">
        <v>30</v>
      </c>
      <c r="B4524" t="b">
        <v>0</v>
      </c>
      <c r="C4524" t="s">
        <v>45770</v>
      </c>
      <c r="D4524">
        <v>1037022454355</v>
      </c>
      <c r="E4524">
        <v>1</v>
      </c>
      <c r="F4524">
        <v>6152574937</v>
      </c>
      <c r="G4524">
        <v>4914000</v>
      </c>
      <c r="H4524" t="s">
        <v>40293</v>
      </c>
      <c r="I4524">
        <v>31123</v>
      </c>
      <c r="J4524">
        <v>4</v>
      </c>
      <c r="K4524">
        <v>10</v>
      </c>
    </row>
    <row r="4525" spans="1:11">
      <c r="A4525">
        <v>90</v>
      </c>
      <c r="B4525" t="b">
        <v>0</v>
      </c>
      <c r="C4525" t="s">
        <v>40722</v>
      </c>
      <c r="D4525">
        <v>1037022454355</v>
      </c>
      <c r="E4525">
        <v>1</v>
      </c>
      <c r="F4525">
        <v>6122975453</v>
      </c>
      <c r="G4525">
        <v>15000000</v>
      </c>
      <c r="H4525" t="s">
        <v>40293</v>
      </c>
      <c r="I4525">
        <v>31125</v>
      </c>
      <c r="J4525">
        <v>2</v>
      </c>
      <c r="K4525">
        <v>2</v>
      </c>
    </row>
    <row r="4526" spans="1:11">
      <c r="A4526">
        <v>90</v>
      </c>
      <c r="B4526" t="b">
        <v>0</v>
      </c>
      <c r="C4526" t="s">
        <v>40894</v>
      </c>
      <c r="D4526">
        <v>1037022454355</v>
      </c>
      <c r="E4526">
        <v>1</v>
      </c>
      <c r="F4526">
        <v>6112065045</v>
      </c>
      <c r="G4526">
        <v>15000000</v>
      </c>
      <c r="H4526" t="s">
        <v>40293</v>
      </c>
      <c r="I4526">
        <v>31125</v>
      </c>
      <c r="J4526">
        <v>12</v>
      </c>
      <c r="K4526">
        <v>12</v>
      </c>
    </row>
    <row r="4527" spans="1:11">
      <c r="A4527">
        <v>90</v>
      </c>
      <c r="B4527" t="b">
        <v>0</v>
      </c>
      <c r="C4527" t="s">
        <v>41883</v>
      </c>
      <c r="D4527">
        <v>1037022454355</v>
      </c>
      <c r="E4527">
        <v>1</v>
      </c>
      <c r="F4527">
        <v>6127731481</v>
      </c>
      <c r="G4527">
        <v>15000000</v>
      </c>
      <c r="H4527" t="s">
        <v>40293</v>
      </c>
      <c r="I4527">
        <v>31125</v>
      </c>
      <c r="J4527">
        <v>4</v>
      </c>
      <c r="K4527">
        <v>4</v>
      </c>
    </row>
    <row r="4528" spans="1:11">
      <c r="A4528">
        <v>90</v>
      </c>
      <c r="B4528" t="b">
        <v>0</v>
      </c>
      <c r="C4528" t="s">
        <v>41139</v>
      </c>
      <c r="D4528">
        <v>1037022454355</v>
      </c>
      <c r="E4528">
        <v>1</v>
      </c>
      <c r="F4528">
        <v>6118885881</v>
      </c>
      <c r="G4528">
        <v>15000000</v>
      </c>
      <c r="H4528" t="s">
        <v>40293</v>
      </c>
      <c r="I4528">
        <v>31125</v>
      </c>
      <c r="J4528">
        <v>4</v>
      </c>
      <c r="K4528">
        <v>4</v>
      </c>
    </row>
    <row r="4529" spans="1:11">
      <c r="A4529">
        <v>30</v>
      </c>
      <c r="B4529" t="b">
        <v>0</v>
      </c>
      <c r="C4529" t="s">
        <v>45370</v>
      </c>
      <c r="D4529">
        <v>1037022454355</v>
      </c>
      <c r="E4529">
        <v>1</v>
      </c>
      <c r="F4529">
        <v>6155060549</v>
      </c>
      <c r="G4529">
        <v>14990000</v>
      </c>
      <c r="H4529" t="s">
        <v>40293</v>
      </c>
      <c r="I4529">
        <v>31125</v>
      </c>
      <c r="J4529">
        <v>8</v>
      </c>
      <c r="K4529">
        <v>16</v>
      </c>
    </row>
    <row r="4530" spans="1:11">
      <c r="A4530">
        <v>30</v>
      </c>
      <c r="B4530" t="b">
        <v>0</v>
      </c>
      <c r="C4530" t="s">
        <v>43457</v>
      </c>
      <c r="D4530">
        <v>1037022454355</v>
      </c>
      <c r="E4530">
        <v>1</v>
      </c>
      <c r="F4530">
        <v>6146932325</v>
      </c>
      <c r="G4530">
        <v>4200000</v>
      </c>
      <c r="H4530" t="s">
        <v>40293</v>
      </c>
      <c r="I4530">
        <v>31143</v>
      </c>
      <c r="J4530">
        <v>5</v>
      </c>
      <c r="K4530">
        <v>5</v>
      </c>
    </row>
    <row r="4531" spans="1:11">
      <c r="A4531">
        <v>30</v>
      </c>
      <c r="B4531" t="b">
        <v>0</v>
      </c>
      <c r="C4531" t="s">
        <v>43471</v>
      </c>
      <c r="D4531">
        <v>1037022454355</v>
      </c>
      <c r="E4531">
        <v>1</v>
      </c>
      <c r="F4531">
        <v>6146932901</v>
      </c>
      <c r="G4531">
        <v>9200000</v>
      </c>
      <c r="H4531" t="s">
        <v>40293</v>
      </c>
      <c r="I4531">
        <v>31147</v>
      </c>
      <c r="J4531">
        <v>5</v>
      </c>
      <c r="K4531">
        <v>5</v>
      </c>
    </row>
    <row r="4532" spans="1:11">
      <c r="A4532">
        <v>90</v>
      </c>
      <c r="B4532" t="b">
        <v>0</v>
      </c>
      <c r="C4532" t="s">
        <v>46254</v>
      </c>
      <c r="D4532">
        <v>1037022454355</v>
      </c>
      <c r="E4532">
        <v>1</v>
      </c>
      <c r="F4532">
        <v>6155339575</v>
      </c>
      <c r="G4532">
        <v>1279000</v>
      </c>
      <c r="H4532" t="s">
        <v>40293</v>
      </c>
      <c r="I4532">
        <v>31153</v>
      </c>
      <c r="J4532">
        <v>2</v>
      </c>
      <c r="K4532">
        <v>5</v>
      </c>
    </row>
    <row r="4533" spans="1:11">
      <c r="A4533">
        <v>7</v>
      </c>
      <c r="B4533" t="b">
        <v>0</v>
      </c>
      <c r="C4533" t="s">
        <v>44565</v>
      </c>
      <c r="D4533">
        <v>1037022454355</v>
      </c>
      <c r="E4533">
        <v>1</v>
      </c>
      <c r="F4533">
        <v>6156638754</v>
      </c>
      <c r="G4533">
        <v>595000</v>
      </c>
      <c r="H4533" t="s">
        <v>40293</v>
      </c>
      <c r="I4533">
        <v>31153</v>
      </c>
      <c r="J4533">
        <v>15</v>
      </c>
      <c r="K4533">
        <v>15</v>
      </c>
    </row>
    <row r="4534" spans="1:11">
      <c r="A4534">
        <v>30</v>
      </c>
      <c r="B4534" t="b">
        <v>0</v>
      </c>
      <c r="C4534" t="s">
        <v>45012</v>
      </c>
      <c r="D4534">
        <v>1037022454355</v>
      </c>
      <c r="E4534">
        <v>1</v>
      </c>
      <c r="F4534">
        <v>6155055647</v>
      </c>
      <c r="G4534">
        <v>594900</v>
      </c>
      <c r="H4534" t="s">
        <v>40293</v>
      </c>
      <c r="I4534">
        <v>31153</v>
      </c>
      <c r="J4534">
        <v>12</v>
      </c>
      <c r="K4534">
        <v>15</v>
      </c>
    </row>
    <row r="4535" spans="1:11">
      <c r="A4535">
        <v>90</v>
      </c>
      <c r="B4535" t="b">
        <v>0</v>
      </c>
      <c r="C4535" t="s">
        <v>40573</v>
      </c>
      <c r="D4535">
        <v>1037022454355</v>
      </c>
      <c r="E4535">
        <v>1</v>
      </c>
      <c r="F4535">
        <v>6098360587</v>
      </c>
      <c r="G4535">
        <v>1798000</v>
      </c>
      <c r="H4535" t="s">
        <v>40293</v>
      </c>
      <c r="I4535">
        <v>31155</v>
      </c>
      <c r="J4535">
        <v>10</v>
      </c>
      <c r="K4535">
        <v>47</v>
      </c>
    </row>
    <row r="4536" spans="1:11">
      <c r="A4536">
        <v>90</v>
      </c>
      <c r="B4536" t="b">
        <v>0</v>
      </c>
      <c r="C4536" t="s">
        <v>43879</v>
      </c>
      <c r="D4536">
        <v>1037022454355</v>
      </c>
      <c r="E4536">
        <v>1</v>
      </c>
      <c r="F4536">
        <v>6138983664</v>
      </c>
      <c r="G4536">
        <v>1789000</v>
      </c>
      <c r="H4536" t="s">
        <v>40293</v>
      </c>
      <c r="I4536">
        <v>31155</v>
      </c>
      <c r="J4536">
        <v>13</v>
      </c>
      <c r="K4536">
        <v>20</v>
      </c>
    </row>
    <row r="4537" spans="1:11">
      <c r="A4537">
        <v>90</v>
      </c>
      <c r="B4537" t="b">
        <v>0</v>
      </c>
      <c r="C4537" t="s">
        <v>44534</v>
      </c>
      <c r="D4537">
        <v>1037022454355</v>
      </c>
      <c r="E4537">
        <v>1</v>
      </c>
      <c r="F4537">
        <v>6151838540</v>
      </c>
      <c r="G4537">
        <v>1600000</v>
      </c>
      <c r="H4537" t="s">
        <v>40293</v>
      </c>
      <c r="I4537">
        <v>31155</v>
      </c>
      <c r="J4537">
        <v>10</v>
      </c>
      <c r="K4537">
        <v>10</v>
      </c>
    </row>
    <row r="4538" spans="1:11">
      <c r="A4538">
        <v>90</v>
      </c>
      <c r="B4538" t="b">
        <v>0</v>
      </c>
      <c r="C4538" t="s">
        <v>44103</v>
      </c>
      <c r="D4538">
        <v>1037022454355</v>
      </c>
      <c r="E4538">
        <v>1</v>
      </c>
      <c r="F4538">
        <v>6150423392</v>
      </c>
      <c r="G4538">
        <v>1500000</v>
      </c>
      <c r="H4538" t="s">
        <v>40293</v>
      </c>
      <c r="I4538">
        <v>31155</v>
      </c>
      <c r="J4538">
        <v>9</v>
      </c>
      <c r="K4538">
        <v>20</v>
      </c>
    </row>
    <row r="4539" spans="1:11">
      <c r="A4539">
        <v>30</v>
      </c>
      <c r="B4539" t="b">
        <v>0</v>
      </c>
      <c r="C4539" t="s">
        <v>46342</v>
      </c>
      <c r="D4539">
        <v>1037022454355</v>
      </c>
      <c r="E4539">
        <v>1</v>
      </c>
      <c r="F4539">
        <v>6156604282</v>
      </c>
      <c r="G4539">
        <v>1249000</v>
      </c>
      <c r="H4539" t="s">
        <v>40293</v>
      </c>
      <c r="I4539">
        <v>31155</v>
      </c>
      <c r="J4539">
        <v>9</v>
      </c>
      <c r="K4539">
        <v>10</v>
      </c>
    </row>
    <row r="4540" spans="1:11">
      <c r="A4540">
        <v>14</v>
      </c>
      <c r="B4540" t="b">
        <v>0</v>
      </c>
      <c r="C4540" t="s">
        <v>46549</v>
      </c>
      <c r="D4540">
        <v>1037022454355</v>
      </c>
      <c r="E4540">
        <v>1</v>
      </c>
      <c r="F4540">
        <v>6156975868</v>
      </c>
      <c r="G4540">
        <v>1240000</v>
      </c>
      <c r="H4540" t="s">
        <v>40293</v>
      </c>
      <c r="I4540">
        <v>31155</v>
      </c>
      <c r="J4540">
        <v>32</v>
      </c>
      <c r="K4540">
        <v>40</v>
      </c>
    </row>
    <row r="4541" spans="1:11">
      <c r="A4541">
        <v>90</v>
      </c>
      <c r="B4541" t="b">
        <v>0</v>
      </c>
      <c r="C4541" t="s">
        <v>40748</v>
      </c>
      <c r="D4541">
        <v>1037022454355</v>
      </c>
      <c r="E4541">
        <v>1</v>
      </c>
      <c r="F4541">
        <v>6107539443</v>
      </c>
      <c r="G4541">
        <v>207200</v>
      </c>
      <c r="H4541" t="s">
        <v>40293</v>
      </c>
      <c r="I4541">
        <v>31159</v>
      </c>
      <c r="J4541">
        <v>21</v>
      </c>
      <c r="K4541">
        <v>30</v>
      </c>
    </row>
    <row r="4542" spans="1:11">
      <c r="A4542">
        <v>90</v>
      </c>
      <c r="B4542" t="b">
        <v>0</v>
      </c>
      <c r="C4542" t="s">
        <v>40810</v>
      </c>
      <c r="D4542">
        <v>1037022454355</v>
      </c>
      <c r="E4542">
        <v>1</v>
      </c>
      <c r="F4542">
        <v>6110719372</v>
      </c>
      <c r="G4542">
        <v>207200</v>
      </c>
      <c r="H4542" t="s">
        <v>40293</v>
      </c>
      <c r="I4542">
        <v>31159</v>
      </c>
      <c r="J4542">
        <v>30</v>
      </c>
      <c r="K4542">
        <v>30</v>
      </c>
    </row>
    <row r="4543" spans="1:11">
      <c r="A4543">
        <v>90</v>
      </c>
      <c r="B4543" t="b">
        <v>0</v>
      </c>
      <c r="C4543" t="s">
        <v>41662</v>
      </c>
      <c r="D4543">
        <v>1037022454355</v>
      </c>
      <c r="E4543">
        <v>1</v>
      </c>
      <c r="F4543">
        <v>6119355999</v>
      </c>
      <c r="G4543">
        <v>206700</v>
      </c>
      <c r="H4543" t="s">
        <v>40293</v>
      </c>
      <c r="I4543">
        <v>31159</v>
      </c>
      <c r="J4543">
        <v>25</v>
      </c>
      <c r="K4543">
        <v>28</v>
      </c>
    </row>
    <row r="4544" spans="1:11">
      <c r="A4544">
        <v>90</v>
      </c>
      <c r="B4544" t="b">
        <v>0</v>
      </c>
      <c r="C4544" t="s">
        <v>41775</v>
      </c>
      <c r="D4544">
        <v>1037022454355</v>
      </c>
      <c r="E4544">
        <v>1</v>
      </c>
      <c r="F4544">
        <v>6128011999</v>
      </c>
      <c r="G4544">
        <v>204000</v>
      </c>
      <c r="H4544" t="s">
        <v>40293</v>
      </c>
      <c r="I4544">
        <v>31159</v>
      </c>
      <c r="J4544">
        <v>13</v>
      </c>
      <c r="K4544">
        <v>48</v>
      </c>
    </row>
    <row r="4545" spans="1:11">
      <c r="A4545">
        <v>90</v>
      </c>
      <c r="B4545" t="b">
        <v>0</v>
      </c>
      <c r="C4545" t="s">
        <v>41423</v>
      </c>
      <c r="D4545">
        <v>1037022454355</v>
      </c>
      <c r="E4545">
        <v>1</v>
      </c>
      <c r="F4545">
        <v>6102966205</v>
      </c>
      <c r="G4545">
        <v>1926000</v>
      </c>
      <c r="H4545" t="s">
        <v>40293</v>
      </c>
      <c r="I4545">
        <v>31161</v>
      </c>
      <c r="J4545">
        <v>7</v>
      </c>
      <c r="K4545">
        <v>27</v>
      </c>
    </row>
    <row r="4546" spans="1:11">
      <c r="A4546">
        <v>90</v>
      </c>
      <c r="B4546" t="b">
        <v>0</v>
      </c>
      <c r="C4546" t="s">
        <v>42674</v>
      </c>
      <c r="D4546">
        <v>1037022454355</v>
      </c>
      <c r="E4546">
        <v>1</v>
      </c>
      <c r="F4546">
        <v>6133732658</v>
      </c>
      <c r="G4546">
        <v>1450000</v>
      </c>
      <c r="H4546" t="s">
        <v>40293</v>
      </c>
      <c r="I4546">
        <v>31161</v>
      </c>
      <c r="J4546">
        <v>40</v>
      </c>
      <c r="K4546">
        <v>40</v>
      </c>
    </row>
    <row r="4547" spans="1:11">
      <c r="A4547">
        <v>90</v>
      </c>
      <c r="B4547" t="b">
        <v>0</v>
      </c>
      <c r="C4547" t="s">
        <v>46474</v>
      </c>
      <c r="D4547">
        <v>1037022454355</v>
      </c>
      <c r="E4547">
        <v>1</v>
      </c>
      <c r="F4547">
        <v>6153403452</v>
      </c>
      <c r="G4547">
        <v>1395000</v>
      </c>
      <c r="H4547" t="s">
        <v>40293</v>
      </c>
      <c r="I4547">
        <v>31161</v>
      </c>
      <c r="J4547">
        <v>7</v>
      </c>
      <c r="K4547">
        <v>10</v>
      </c>
    </row>
    <row r="4548" spans="1:11">
      <c r="A4548">
        <v>90</v>
      </c>
      <c r="B4548" t="b">
        <v>0</v>
      </c>
      <c r="C4548" t="s">
        <v>44245</v>
      </c>
      <c r="D4548">
        <v>1037022454355</v>
      </c>
      <c r="E4548">
        <v>1</v>
      </c>
      <c r="F4548">
        <v>6128011996</v>
      </c>
      <c r="G4548">
        <v>1387000</v>
      </c>
      <c r="H4548" t="s">
        <v>40293</v>
      </c>
      <c r="I4548">
        <v>31161</v>
      </c>
      <c r="J4548">
        <v>56</v>
      </c>
      <c r="K4548">
        <v>153</v>
      </c>
    </row>
    <row r="4549" spans="1:11">
      <c r="A4549">
        <v>7</v>
      </c>
      <c r="B4549" t="b">
        <v>0</v>
      </c>
      <c r="C4549" t="s">
        <v>45988</v>
      </c>
      <c r="D4549">
        <v>1037022454355</v>
      </c>
      <c r="E4549">
        <v>1</v>
      </c>
      <c r="F4549">
        <v>6150694505</v>
      </c>
      <c r="G4549">
        <v>1350000</v>
      </c>
      <c r="H4549" t="s">
        <v>40293</v>
      </c>
      <c r="I4549">
        <v>31161</v>
      </c>
      <c r="J4549">
        <v>9</v>
      </c>
      <c r="K4549">
        <v>13</v>
      </c>
    </row>
    <row r="4550" spans="1:11">
      <c r="A4550">
        <v>30</v>
      </c>
      <c r="B4550" t="b">
        <v>0</v>
      </c>
      <c r="C4550" t="s">
        <v>45754</v>
      </c>
      <c r="D4550">
        <v>1037022454355</v>
      </c>
      <c r="E4550">
        <v>1</v>
      </c>
      <c r="F4550">
        <v>6155884363</v>
      </c>
      <c r="G4550">
        <v>1189000</v>
      </c>
      <c r="H4550" t="s">
        <v>40293</v>
      </c>
      <c r="I4550">
        <v>31161</v>
      </c>
      <c r="J4550">
        <v>9</v>
      </c>
      <c r="K4550">
        <v>10</v>
      </c>
    </row>
    <row r="4551" spans="1:11">
      <c r="A4551">
        <v>14</v>
      </c>
      <c r="B4551" t="b">
        <v>0</v>
      </c>
      <c r="C4551" t="s">
        <v>46566</v>
      </c>
      <c r="D4551">
        <v>1037022454355</v>
      </c>
      <c r="E4551">
        <v>1</v>
      </c>
      <c r="F4551">
        <v>6156976095</v>
      </c>
      <c r="G4551">
        <v>1180000</v>
      </c>
      <c r="H4551" t="s">
        <v>40293</v>
      </c>
      <c r="I4551">
        <v>31161</v>
      </c>
      <c r="J4551">
        <v>30</v>
      </c>
      <c r="K4551">
        <v>40</v>
      </c>
    </row>
    <row r="4552" spans="1:11">
      <c r="A4552">
        <v>90</v>
      </c>
      <c r="B4552" t="b">
        <v>0</v>
      </c>
      <c r="C4552" t="s">
        <v>44506</v>
      </c>
      <c r="D4552">
        <v>1037022454355</v>
      </c>
      <c r="E4552">
        <v>1</v>
      </c>
      <c r="F4552">
        <v>6155475397</v>
      </c>
      <c r="G4552">
        <v>3877000</v>
      </c>
      <c r="H4552" t="s">
        <v>40293</v>
      </c>
      <c r="I4552">
        <v>31165</v>
      </c>
      <c r="J4552">
        <v>16</v>
      </c>
      <c r="K4552">
        <v>17</v>
      </c>
    </row>
    <row r="4553" spans="1:11">
      <c r="A4553">
        <v>30</v>
      </c>
      <c r="B4553" t="b">
        <v>0</v>
      </c>
      <c r="C4553" t="s">
        <v>45840</v>
      </c>
      <c r="D4553">
        <v>1037022454355</v>
      </c>
      <c r="E4553">
        <v>1</v>
      </c>
      <c r="F4553">
        <v>6156606230</v>
      </c>
      <c r="G4553">
        <v>3119000</v>
      </c>
      <c r="H4553" t="s">
        <v>40293</v>
      </c>
      <c r="I4553">
        <v>31165</v>
      </c>
      <c r="J4553">
        <v>18</v>
      </c>
      <c r="K4553">
        <v>20</v>
      </c>
    </row>
    <row r="4554" spans="1:11">
      <c r="A4554">
        <v>14</v>
      </c>
      <c r="B4554" t="b">
        <v>0</v>
      </c>
      <c r="C4554" t="s">
        <v>46350</v>
      </c>
      <c r="D4554">
        <v>1037022454355</v>
      </c>
      <c r="E4554">
        <v>1</v>
      </c>
      <c r="F4554">
        <v>6156975675</v>
      </c>
      <c r="G4554">
        <v>3100000</v>
      </c>
      <c r="H4554" t="s">
        <v>40293</v>
      </c>
      <c r="I4554">
        <v>31165</v>
      </c>
      <c r="J4554">
        <v>20</v>
      </c>
      <c r="K4554">
        <v>22</v>
      </c>
    </row>
    <row r="4555" spans="1:11">
      <c r="A4555">
        <v>90</v>
      </c>
      <c r="B4555" t="b">
        <v>0</v>
      </c>
      <c r="C4555" t="s">
        <v>42274</v>
      </c>
      <c r="D4555">
        <v>1037022454355</v>
      </c>
      <c r="E4555">
        <v>1</v>
      </c>
      <c r="F4555">
        <v>6129417272</v>
      </c>
      <c r="G4555">
        <v>13620000</v>
      </c>
      <c r="H4555" t="s">
        <v>40293</v>
      </c>
      <c r="I4555">
        <v>31167</v>
      </c>
      <c r="J4555">
        <v>4</v>
      </c>
      <c r="K4555">
        <v>8</v>
      </c>
    </row>
    <row r="4556" spans="1:11">
      <c r="A4556">
        <v>90</v>
      </c>
      <c r="B4556" t="b">
        <v>0</v>
      </c>
      <c r="C4556" t="s">
        <v>44246</v>
      </c>
      <c r="D4556">
        <v>1037022454355</v>
      </c>
      <c r="E4556">
        <v>1</v>
      </c>
      <c r="F4556">
        <v>6128011997</v>
      </c>
      <c r="G4556">
        <v>13390000</v>
      </c>
      <c r="H4556" t="s">
        <v>40293</v>
      </c>
      <c r="I4556">
        <v>31167</v>
      </c>
      <c r="J4556">
        <v>34</v>
      </c>
      <c r="K4556">
        <v>46</v>
      </c>
    </row>
    <row r="4557" spans="1:11">
      <c r="A4557">
        <v>30</v>
      </c>
      <c r="B4557" t="b">
        <v>0</v>
      </c>
      <c r="C4557" t="s">
        <v>46050</v>
      </c>
      <c r="D4557">
        <v>1037022454355</v>
      </c>
      <c r="E4557">
        <v>1</v>
      </c>
      <c r="F4557">
        <v>6156604094</v>
      </c>
      <c r="G4557">
        <v>13380000</v>
      </c>
      <c r="H4557" t="s">
        <v>40293</v>
      </c>
      <c r="I4557">
        <v>31167</v>
      </c>
      <c r="J4557">
        <v>10</v>
      </c>
      <c r="K4557">
        <v>15</v>
      </c>
    </row>
    <row r="4558" spans="1:11">
      <c r="A4558">
        <v>30</v>
      </c>
      <c r="B4558" t="b">
        <v>0</v>
      </c>
      <c r="C4558" t="s">
        <v>46210</v>
      </c>
      <c r="D4558">
        <v>1037022454355</v>
      </c>
      <c r="E4558">
        <v>1</v>
      </c>
      <c r="F4558">
        <v>6156512797</v>
      </c>
      <c r="G4558">
        <v>4201000</v>
      </c>
      <c r="H4558" t="s">
        <v>40293</v>
      </c>
      <c r="I4558">
        <v>31171</v>
      </c>
      <c r="J4558">
        <v>18</v>
      </c>
      <c r="K4558">
        <v>19</v>
      </c>
    </row>
    <row r="4559" spans="1:11">
      <c r="A4559">
        <v>14</v>
      </c>
      <c r="B4559" t="b">
        <v>0</v>
      </c>
      <c r="C4559" t="s">
        <v>46513</v>
      </c>
      <c r="D4559">
        <v>1037022454355</v>
      </c>
      <c r="E4559">
        <v>1</v>
      </c>
      <c r="F4559">
        <v>6156975513</v>
      </c>
      <c r="G4559">
        <v>2601000</v>
      </c>
      <c r="H4559" t="s">
        <v>40293</v>
      </c>
      <c r="I4559">
        <v>31171</v>
      </c>
      <c r="J4559">
        <v>43</v>
      </c>
      <c r="K4559">
        <v>43</v>
      </c>
    </row>
    <row r="4560" spans="1:11">
      <c r="A4560">
        <v>90</v>
      </c>
      <c r="B4560" t="b">
        <v>0</v>
      </c>
      <c r="C4560" t="s">
        <v>45145</v>
      </c>
      <c r="D4560">
        <v>1037022454355</v>
      </c>
      <c r="E4560">
        <v>1</v>
      </c>
      <c r="F4560">
        <v>6151584118</v>
      </c>
      <c r="G4560">
        <v>16640000</v>
      </c>
      <c r="H4560" t="s">
        <v>40293</v>
      </c>
      <c r="I4560">
        <v>31173</v>
      </c>
      <c r="J4560">
        <v>1</v>
      </c>
      <c r="K4560">
        <v>1</v>
      </c>
    </row>
    <row r="4561" spans="1:11">
      <c r="A4561">
        <v>30</v>
      </c>
      <c r="B4561" t="b">
        <v>0</v>
      </c>
      <c r="C4561" t="s">
        <v>45520</v>
      </c>
      <c r="D4561">
        <v>1037022454355</v>
      </c>
      <c r="E4561">
        <v>1</v>
      </c>
      <c r="F4561">
        <v>6156613701</v>
      </c>
      <c r="G4561">
        <v>16630000</v>
      </c>
      <c r="H4561" t="s">
        <v>40293</v>
      </c>
      <c r="I4561">
        <v>31173</v>
      </c>
      <c r="J4561">
        <v>13</v>
      </c>
      <c r="K4561">
        <v>13</v>
      </c>
    </row>
    <row r="4562" spans="1:11">
      <c r="A4562">
        <v>90</v>
      </c>
      <c r="B4562" t="b">
        <v>0</v>
      </c>
      <c r="C4562" t="s">
        <v>44448</v>
      </c>
      <c r="D4562">
        <v>1037022454355</v>
      </c>
      <c r="E4562">
        <v>1</v>
      </c>
      <c r="F4562">
        <v>6149871184</v>
      </c>
      <c r="G4562">
        <v>499000</v>
      </c>
      <c r="H4562" t="s">
        <v>40293</v>
      </c>
      <c r="I4562">
        <v>31177</v>
      </c>
      <c r="J4562">
        <v>30</v>
      </c>
      <c r="K4562">
        <v>30</v>
      </c>
    </row>
    <row r="4563" spans="1:11">
      <c r="A4563">
        <v>90</v>
      </c>
      <c r="B4563" t="b">
        <v>0</v>
      </c>
      <c r="C4563" t="s">
        <v>44377</v>
      </c>
      <c r="D4563">
        <v>1037022454355</v>
      </c>
      <c r="E4563">
        <v>1</v>
      </c>
      <c r="F4563">
        <v>6143382217</v>
      </c>
      <c r="G4563">
        <v>488900</v>
      </c>
      <c r="H4563" t="s">
        <v>40293</v>
      </c>
      <c r="I4563">
        <v>31177</v>
      </c>
      <c r="J4563">
        <v>3</v>
      </c>
      <c r="K4563">
        <v>10</v>
      </c>
    </row>
    <row r="4564" spans="1:11">
      <c r="A4564">
        <v>90</v>
      </c>
      <c r="B4564" t="b">
        <v>0</v>
      </c>
      <c r="C4564" t="s">
        <v>44266</v>
      </c>
      <c r="D4564">
        <v>1037022454355</v>
      </c>
      <c r="E4564">
        <v>1</v>
      </c>
      <c r="F4564">
        <v>6156291051</v>
      </c>
      <c r="G4564">
        <v>484800</v>
      </c>
      <c r="H4564" t="s">
        <v>40293</v>
      </c>
      <c r="I4564">
        <v>31177</v>
      </c>
      <c r="J4564">
        <v>4</v>
      </c>
      <c r="K4564">
        <v>5</v>
      </c>
    </row>
    <row r="4565" spans="1:11">
      <c r="A4565">
        <v>7</v>
      </c>
      <c r="B4565" t="b">
        <v>0</v>
      </c>
      <c r="C4565" t="s">
        <v>45864</v>
      </c>
      <c r="D4565">
        <v>1037022454355</v>
      </c>
      <c r="E4565">
        <v>1</v>
      </c>
      <c r="F4565">
        <v>6156639208</v>
      </c>
      <c r="G4565">
        <v>480000</v>
      </c>
      <c r="H4565" t="s">
        <v>40293</v>
      </c>
      <c r="I4565">
        <v>31177</v>
      </c>
      <c r="J4565">
        <v>25</v>
      </c>
      <c r="K4565">
        <v>26</v>
      </c>
    </row>
    <row r="4566" spans="1:11">
      <c r="A4566">
        <v>30</v>
      </c>
      <c r="B4566" t="b">
        <v>0</v>
      </c>
      <c r="C4566" t="s">
        <v>44403</v>
      </c>
      <c r="D4566">
        <v>1037022454355</v>
      </c>
      <c r="E4566">
        <v>1</v>
      </c>
      <c r="F4566">
        <v>6150296586</v>
      </c>
      <c r="G4566">
        <v>479900</v>
      </c>
      <c r="H4566" t="s">
        <v>40293</v>
      </c>
      <c r="I4566">
        <v>31177</v>
      </c>
      <c r="J4566">
        <v>6</v>
      </c>
      <c r="K4566">
        <v>10</v>
      </c>
    </row>
    <row r="4567" spans="1:11">
      <c r="A4567">
        <v>90</v>
      </c>
      <c r="B4567" t="b">
        <v>0</v>
      </c>
      <c r="C4567" t="s">
        <v>41375</v>
      </c>
      <c r="D4567">
        <v>1037022454355</v>
      </c>
      <c r="E4567">
        <v>1</v>
      </c>
      <c r="F4567">
        <v>6123857041</v>
      </c>
      <c r="G4567">
        <v>1000000</v>
      </c>
      <c r="H4567" t="s">
        <v>40293</v>
      </c>
      <c r="I4567">
        <v>31179</v>
      </c>
      <c r="J4567">
        <v>8</v>
      </c>
      <c r="K4567">
        <v>17</v>
      </c>
    </row>
    <row r="4568" spans="1:11">
      <c r="A4568">
        <v>90</v>
      </c>
      <c r="B4568" t="b">
        <v>0</v>
      </c>
      <c r="C4568" t="s">
        <v>43666</v>
      </c>
      <c r="D4568">
        <v>1037022454355</v>
      </c>
      <c r="E4568">
        <v>1</v>
      </c>
      <c r="F4568">
        <v>6143009921</v>
      </c>
      <c r="G4568">
        <v>900000</v>
      </c>
      <c r="H4568" t="s">
        <v>40293</v>
      </c>
      <c r="I4568">
        <v>31179</v>
      </c>
      <c r="J4568">
        <v>15</v>
      </c>
      <c r="K4568">
        <v>15</v>
      </c>
    </row>
    <row r="4569" spans="1:11">
      <c r="A4569">
        <v>90</v>
      </c>
      <c r="B4569" t="b">
        <v>0</v>
      </c>
      <c r="C4569" t="s">
        <v>44908</v>
      </c>
      <c r="D4569">
        <v>1037022454355</v>
      </c>
      <c r="E4569">
        <v>1</v>
      </c>
      <c r="F4569">
        <v>6153403337</v>
      </c>
      <c r="G4569">
        <v>799000</v>
      </c>
      <c r="H4569" t="s">
        <v>40293</v>
      </c>
      <c r="I4569">
        <v>31179</v>
      </c>
      <c r="J4569">
        <v>1</v>
      </c>
      <c r="K4569">
        <v>2</v>
      </c>
    </row>
    <row r="4570" spans="1:11">
      <c r="A4570">
        <v>90</v>
      </c>
      <c r="B4570" t="b">
        <v>0</v>
      </c>
      <c r="C4570" t="s">
        <v>45573</v>
      </c>
      <c r="D4570">
        <v>1037022454355</v>
      </c>
      <c r="E4570">
        <v>1</v>
      </c>
      <c r="F4570">
        <v>6124064322</v>
      </c>
      <c r="G4570">
        <v>798600</v>
      </c>
      <c r="H4570" t="s">
        <v>40293</v>
      </c>
      <c r="I4570">
        <v>31179</v>
      </c>
      <c r="J4570">
        <v>8</v>
      </c>
      <c r="K4570">
        <v>12</v>
      </c>
    </row>
    <row r="4571" spans="1:11">
      <c r="A4571">
        <v>30</v>
      </c>
      <c r="B4571" t="b">
        <v>0</v>
      </c>
      <c r="C4571" t="s">
        <v>44901</v>
      </c>
      <c r="D4571">
        <v>1037022454355</v>
      </c>
      <c r="E4571">
        <v>1</v>
      </c>
      <c r="F4571">
        <v>6155054370</v>
      </c>
      <c r="G4571">
        <v>798500</v>
      </c>
      <c r="H4571" t="s">
        <v>40293</v>
      </c>
      <c r="I4571">
        <v>31179</v>
      </c>
      <c r="J4571">
        <v>11</v>
      </c>
      <c r="K4571">
        <v>15</v>
      </c>
    </row>
    <row r="4572" spans="1:11">
      <c r="A4572">
        <v>90</v>
      </c>
      <c r="B4572" t="b">
        <v>0</v>
      </c>
      <c r="C4572" t="s">
        <v>43439</v>
      </c>
      <c r="D4572">
        <v>1037022454355</v>
      </c>
      <c r="E4572">
        <v>1</v>
      </c>
      <c r="F4572">
        <v>6138903714</v>
      </c>
      <c r="G4572">
        <v>8159000</v>
      </c>
      <c r="H4572" t="s">
        <v>40293</v>
      </c>
      <c r="I4572">
        <v>31183</v>
      </c>
      <c r="J4572">
        <v>4</v>
      </c>
      <c r="K4572">
        <v>13</v>
      </c>
    </row>
    <row r="4573" spans="1:11">
      <c r="A4573">
        <v>90</v>
      </c>
      <c r="B4573" t="b">
        <v>0</v>
      </c>
      <c r="C4573" t="s">
        <v>44995</v>
      </c>
      <c r="D4573">
        <v>1037022454355</v>
      </c>
      <c r="E4573">
        <v>1</v>
      </c>
      <c r="F4573">
        <v>6147879253</v>
      </c>
      <c r="G4573">
        <v>3200000</v>
      </c>
      <c r="H4573" t="s">
        <v>40293</v>
      </c>
      <c r="I4573">
        <v>31183</v>
      </c>
      <c r="J4573">
        <v>10</v>
      </c>
      <c r="K4573">
        <v>14</v>
      </c>
    </row>
    <row r="4574" spans="1:11">
      <c r="A4574">
        <v>30</v>
      </c>
      <c r="B4574" t="b">
        <v>0</v>
      </c>
      <c r="C4574" t="s">
        <v>44163</v>
      </c>
      <c r="D4574">
        <v>1037022454355</v>
      </c>
      <c r="E4574">
        <v>1</v>
      </c>
      <c r="F4574">
        <v>6156606564</v>
      </c>
      <c r="G4574">
        <v>3199000</v>
      </c>
      <c r="H4574" t="s">
        <v>40293</v>
      </c>
      <c r="I4574">
        <v>31183</v>
      </c>
      <c r="J4574">
        <v>13</v>
      </c>
      <c r="K4574">
        <v>15</v>
      </c>
    </row>
    <row r="4575" spans="1:11">
      <c r="A4575">
        <v>30</v>
      </c>
      <c r="B4575" t="b">
        <v>0</v>
      </c>
      <c r="C4575" t="s">
        <v>44335</v>
      </c>
      <c r="D4575">
        <v>1037022454355</v>
      </c>
      <c r="E4575">
        <v>1</v>
      </c>
      <c r="F4575">
        <v>6157111311</v>
      </c>
      <c r="G4575">
        <v>16890000</v>
      </c>
      <c r="H4575" t="s">
        <v>40293</v>
      </c>
      <c r="I4575">
        <v>31185</v>
      </c>
      <c r="J4575">
        <v>8</v>
      </c>
      <c r="K4575">
        <v>8</v>
      </c>
    </row>
    <row r="4576" spans="1:11">
      <c r="A4576">
        <v>90</v>
      </c>
      <c r="B4576" t="b">
        <v>0</v>
      </c>
      <c r="C4576" t="s">
        <v>46434</v>
      </c>
      <c r="D4576">
        <v>1037022454355</v>
      </c>
      <c r="E4576">
        <v>1</v>
      </c>
      <c r="F4576">
        <v>6150552191</v>
      </c>
      <c r="G4576">
        <v>300000</v>
      </c>
      <c r="H4576" t="s">
        <v>40293</v>
      </c>
      <c r="I4576">
        <v>31189</v>
      </c>
      <c r="J4576">
        <v>18</v>
      </c>
      <c r="K4576">
        <v>18</v>
      </c>
    </row>
    <row r="4577" spans="1:11">
      <c r="A4577">
        <v>30</v>
      </c>
      <c r="B4577" t="b">
        <v>0</v>
      </c>
      <c r="C4577" t="s">
        <v>42931</v>
      </c>
      <c r="D4577">
        <v>1037022454355</v>
      </c>
      <c r="E4577">
        <v>1</v>
      </c>
      <c r="F4577">
        <v>6145246525</v>
      </c>
      <c r="G4577">
        <v>2499000</v>
      </c>
      <c r="H4577" t="s">
        <v>40293</v>
      </c>
      <c r="I4577">
        <v>31195</v>
      </c>
      <c r="J4577">
        <v>4</v>
      </c>
      <c r="K4577">
        <v>5</v>
      </c>
    </row>
    <row r="4578" spans="1:11">
      <c r="A4578">
        <v>30</v>
      </c>
      <c r="B4578" t="b">
        <v>0</v>
      </c>
      <c r="C4578" t="s">
        <v>43469</v>
      </c>
      <c r="D4578">
        <v>1037022454355</v>
      </c>
      <c r="E4578">
        <v>1</v>
      </c>
      <c r="F4578">
        <v>6146932742</v>
      </c>
      <c r="G4578">
        <v>16200000</v>
      </c>
      <c r="H4578" t="s">
        <v>40293</v>
      </c>
      <c r="I4578">
        <v>31197</v>
      </c>
      <c r="J4578">
        <v>5</v>
      </c>
      <c r="K4578">
        <v>5</v>
      </c>
    </row>
    <row r="4579" spans="1:11">
      <c r="A4579">
        <v>90</v>
      </c>
      <c r="B4579" t="b">
        <v>0</v>
      </c>
      <c r="C4579" t="s">
        <v>41064</v>
      </c>
      <c r="D4579">
        <v>1037022454355</v>
      </c>
      <c r="E4579">
        <v>1</v>
      </c>
      <c r="F4579">
        <v>6110719613</v>
      </c>
      <c r="G4579">
        <v>228300</v>
      </c>
      <c r="H4579" t="s">
        <v>40293</v>
      </c>
      <c r="I4579">
        <v>31201</v>
      </c>
      <c r="J4579">
        <v>11</v>
      </c>
      <c r="K4579">
        <v>30</v>
      </c>
    </row>
    <row r="4580" spans="1:11">
      <c r="A4580">
        <v>30</v>
      </c>
      <c r="B4580" t="b">
        <v>0</v>
      </c>
      <c r="C4580" t="s">
        <v>44532</v>
      </c>
      <c r="D4580">
        <v>1037022454355</v>
      </c>
      <c r="E4580">
        <v>1</v>
      </c>
      <c r="F4580">
        <v>6156616841</v>
      </c>
      <c r="G4580">
        <v>228200</v>
      </c>
      <c r="H4580" t="s">
        <v>40293</v>
      </c>
      <c r="I4580">
        <v>31201</v>
      </c>
      <c r="J4580">
        <v>12</v>
      </c>
      <c r="K4580">
        <v>13</v>
      </c>
    </row>
    <row r="4581" spans="1:11">
      <c r="A4581">
        <v>90</v>
      </c>
      <c r="B4581" t="b">
        <v>0</v>
      </c>
      <c r="C4581" t="s">
        <v>41200</v>
      </c>
      <c r="D4581">
        <v>1037022454355</v>
      </c>
      <c r="E4581">
        <v>1</v>
      </c>
      <c r="F4581">
        <v>6107540150</v>
      </c>
      <c r="G4581">
        <v>198000</v>
      </c>
      <c r="H4581" t="s">
        <v>40293</v>
      </c>
      <c r="I4581">
        <v>31213</v>
      </c>
      <c r="J4581">
        <v>20</v>
      </c>
      <c r="K4581">
        <v>30</v>
      </c>
    </row>
    <row r="4582" spans="1:11">
      <c r="A4582">
        <v>90</v>
      </c>
      <c r="B4582" t="b">
        <v>0</v>
      </c>
      <c r="C4582" t="s">
        <v>41686</v>
      </c>
      <c r="D4582">
        <v>1037022454355</v>
      </c>
      <c r="E4582">
        <v>1</v>
      </c>
      <c r="F4582">
        <v>6119356685</v>
      </c>
      <c r="G4582">
        <v>197800</v>
      </c>
      <c r="H4582" t="s">
        <v>40293</v>
      </c>
      <c r="I4582">
        <v>31213</v>
      </c>
      <c r="J4582">
        <v>1</v>
      </c>
      <c r="K4582">
        <v>8</v>
      </c>
    </row>
    <row r="4583" spans="1:11">
      <c r="A4583">
        <v>90</v>
      </c>
      <c r="B4583" t="b">
        <v>0</v>
      </c>
      <c r="C4583" t="s">
        <v>40390</v>
      </c>
      <c r="D4583">
        <v>1037022454355</v>
      </c>
      <c r="E4583">
        <v>1</v>
      </c>
      <c r="F4583">
        <v>6121248477</v>
      </c>
      <c r="G4583">
        <v>197600</v>
      </c>
      <c r="H4583" t="s">
        <v>40293</v>
      </c>
      <c r="I4583">
        <v>31213</v>
      </c>
      <c r="J4583">
        <v>10</v>
      </c>
      <c r="K4583">
        <v>10</v>
      </c>
    </row>
    <row r="4584" spans="1:11">
      <c r="A4584">
        <v>90</v>
      </c>
      <c r="B4584" t="b">
        <v>0</v>
      </c>
      <c r="C4584" t="s">
        <v>41775</v>
      </c>
      <c r="D4584">
        <v>1037022454355</v>
      </c>
      <c r="E4584">
        <v>1</v>
      </c>
      <c r="F4584">
        <v>6128012001</v>
      </c>
      <c r="G4584">
        <v>196000</v>
      </c>
      <c r="H4584" t="s">
        <v>40293</v>
      </c>
      <c r="I4584">
        <v>31213</v>
      </c>
      <c r="J4584">
        <v>70</v>
      </c>
      <c r="K4584">
        <v>70</v>
      </c>
    </row>
    <row r="4585" spans="1:11">
      <c r="A4585">
        <v>90</v>
      </c>
      <c r="B4585" t="b">
        <v>0</v>
      </c>
      <c r="C4585" t="s">
        <v>42704</v>
      </c>
      <c r="D4585">
        <v>1037022454355</v>
      </c>
      <c r="E4585">
        <v>1</v>
      </c>
      <c r="F4585">
        <v>6135405990</v>
      </c>
      <c r="G4585">
        <v>195900</v>
      </c>
      <c r="H4585" t="s">
        <v>40293</v>
      </c>
      <c r="I4585">
        <v>31213</v>
      </c>
      <c r="J4585">
        <v>8</v>
      </c>
      <c r="K4585">
        <v>20</v>
      </c>
    </row>
    <row r="4586" spans="1:11">
      <c r="A4586">
        <v>30</v>
      </c>
      <c r="B4586" t="b">
        <v>0</v>
      </c>
      <c r="C4586" t="s">
        <v>44986</v>
      </c>
      <c r="D4586">
        <v>1037022454355</v>
      </c>
      <c r="E4586">
        <v>1</v>
      </c>
      <c r="F4586">
        <v>6155055345</v>
      </c>
      <c r="G4586">
        <v>195800</v>
      </c>
      <c r="H4586" t="s">
        <v>40293</v>
      </c>
      <c r="I4586">
        <v>31213</v>
      </c>
      <c r="J4586">
        <v>12</v>
      </c>
      <c r="K4586">
        <v>15</v>
      </c>
    </row>
    <row r="4587" spans="1:11">
      <c r="A4587">
        <v>90</v>
      </c>
      <c r="B4587" t="b">
        <v>0</v>
      </c>
      <c r="C4587" t="s">
        <v>42452</v>
      </c>
      <c r="D4587">
        <v>1037022454355</v>
      </c>
      <c r="E4587">
        <v>1</v>
      </c>
      <c r="F4587">
        <v>6135261242</v>
      </c>
      <c r="G4587">
        <v>1000000</v>
      </c>
      <c r="H4587" t="s">
        <v>40293</v>
      </c>
      <c r="I4587">
        <v>31215</v>
      </c>
      <c r="J4587">
        <v>30</v>
      </c>
      <c r="K4587">
        <v>30</v>
      </c>
    </row>
    <row r="4588" spans="1:11">
      <c r="A4588">
        <v>90</v>
      </c>
      <c r="B4588" t="b">
        <v>0</v>
      </c>
      <c r="C4588" t="s">
        <v>43884</v>
      </c>
      <c r="D4588">
        <v>1037022454355</v>
      </c>
      <c r="E4588">
        <v>1</v>
      </c>
      <c r="F4588">
        <v>6138983762</v>
      </c>
      <c r="G4588">
        <v>1000000</v>
      </c>
      <c r="H4588" t="s">
        <v>40293</v>
      </c>
      <c r="I4588">
        <v>31215</v>
      </c>
      <c r="J4588">
        <v>10</v>
      </c>
      <c r="K4588">
        <v>10</v>
      </c>
    </row>
    <row r="4589" spans="1:11">
      <c r="A4589">
        <v>30</v>
      </c>
      <c r="B4589" t="b">
        <v>0</v>
      </c>
      <c r="C4589" t="s">
        <v>43093</v>
      </c>
      <c r="D4589">
        <v>1037022454355</v>
      </c>
      <c r="E4589">
        <v>1</v>
      </c>
      <c r="F4589">
        <v>6145939768</v>
      </c>
      <c r="G4589">
        <v>999900</v>
      </c>
      <c r="H4589" t="s">
        <v>40293</v>
      </c>
      <c r="I4589">
        <v>31215</v>
      </c>
      <c r="J4589">
        <v>5</v>
      </c>
      <c r="K4589">
        <v>5</v>
      </c>
    </row>
    <row r="4590" spans="1:11">
      <c r="A4590">
        <v>90</v>
      </c>
      <c r="B4590" t="b">
        <v>0</v>
      </c>
      <c r="C4590" t="s">
        <v>44766</v>
      </c>
      <c r="D4590">
        <v>1037022454355</v>
      </c>
      <c r="E4590">
        <v>1</v>
      </c>
      <c r="F4590">
        <v>6156658220</v>
      </c>
      <c r="G4590">
        <v>1800000</v>
      </c>
      <c r="H4590" t="s">
        <v>40293</v>
      </c>
      <c r="I4590">
        <v>31220</v>
      </c>
      <c r="J4590">
        <v>46</v>
      </c>
      <c r="K4590">
        <v>46</v>
      </c>
    </row>
    <row r="4591" spans="1:11">
      <c r="A4591">
        <v>30</v>
      </c>
      <c r="B4591" t="b">
        <v>0</v>
      </c>
      <c r="C4591" t="s">
        <v>46004</v>
      </c>
      <c r="D4591">
        <v>1037022454355</v>
      </c>
      <c r="E4591">
        <v>1</v>
      </c>
      <c r="F4591">
        <v>6150939243</v>
      </c>
      <c r="G4591">
        <v>1799000</v>
      </c>
      <c r="H4591" t="s">
        <v>40293</v>
      </c>
      <c r="I4591">
        <v>31220</v>
      </c>
      <c r="J4591">
        <v>5</v>
      </c>
      <c r="K4591">
        <v>10</v>
      </c>
    </row>
    <row r="4592" spans="1:11">
      <c r="A4592">
        <v>90</v>
      </c>
      <c r="B4592" t="b">
        <v>0</v>
      </c>
      <c r="C4592" t="s">
        <v>40583</v>
      </c>
      <c r="D4592">
        <v>1037022454355</v>
      </c>
      <c r="E4592">
        <v>1</v>
      </c>
      <c r="F4592">
        <v>6112582096</v>
      </c>
      <c r="G4592">
        <v>3500000</v>
      </c>
      <c r="H4592" t="s">
        <v>40293</v>
      </c>
      <c r="I4592">
        <v>31222</v>
      </c>
      <c r="J4592">
        <v>1</v>
      </c>
      <c r="K4592">
        <v>2</v>
      </c>
    </row>
    <row r="4593" spans="1:11">
      <c r="A4593">
        <v>90</v>
      </c>
      <c r="B4593" t="b">
        <v>0</v>
      </c>
      <c r="C4593" t="s">
        <v>42859</v>
      </c>
      <c r="D4593">
        <v>1037022454355</v>
      </c>
      <c r="E4593">
        <v>1</v>
      </c>
      <c r="F4593">
        <v>6070697328</v>
      </c>
      <c r="G4593">
        <v>69990000</v>
      </c>
      <c r="H4593" t="s">
        <v>40293</v>
      </c>
      <c r="I4593">
        <v>31224</v>
      </c>
      <c r="J4593">
        <v>2</v>
      </c>
      <c r="K4593">
        <v>2</v>
      </c>
    </row>
    <row r="4594" spans="1:11">
      <c r="A4594">
        <v>90</v>
      </c>
      <c r="B4594" t="b">
        <v>0</v>
      </c>
      <c r="C4594" t="s">
        <v>43861</v>
      </c>
      <c r="D4594">
        <v>1037022454355</v>
      </c>
      <c r="E4594">
        <v>1</v>
      </c>
      <c r="F4594">
        <v>6138983271</v>
      </c>
      <c r="G4594">
        <v>1500000</v>
      </c>
      <c r="H4594" t="s">
        <v>40293</v>
      </c>
      <c r="I4594">
        <v>31228</v>
      </c>
      <c r="J4594">
        <v>10</v>
      </c>
      <c r="K4594">
        <v>10</v>
      </c>
    </row>
    <row r="4595" spans="1:11">
      <c r="A4595">
        <v>30</v>
      </c>
      <c r="B4595" t="b">
        <v>0</v>
      </c>
      <c r="C4595" t="s">
        <v>46447</v>
      </c>
      <c r="D4595">
        <v>1037022454355</v>
      </c>
      <c r="E4595">
        <v>1</v>
      </c>
      <c r="F4595">
        <v>6147898102</v>
      </c>
      <c r="G4595">
        <v>1499000</v>
      </c>
      <c r="H4595" t="s">
        <v>40293</v>
      </c>
      <c r="I4595">
        <v>31228</v>
      </c>
      <c r="J4595">
        <v>8</v>
      </c>
      <c r="K4595">
        <v>8</v>
      </c>
    </row>
    <row r="4596" spans="1:11">
      <c r="A4596">
        <v>90</v>
      </c>
      <c r="B4596" t="b">
        <v>0</v>
      </c>
      <c r="C4596" t="s">
        <v>43366</v>
      </c>
      <c r="D4596">
        <v>1037022454355</v>
      </c>
      <c r="E4596">
        <v>1</v>
      </c>
      <c r="F4596">
        <v>6145498658</v>
      </c>
      <c r="G4596">
        <v>865000</v>
      </c>
      <c r="H4596" t="s">
        <v>40293</v>
      </c>
      <c r="I4596">
        <v>31232</v>
      </c>
      <c r="J4596">
        <v>2</v>
      </c>
      <c r="K4596">
        <v>2</v>
      </c>
    </row>
    <row r="4597" spans="1:11">
      <c r="A4597">
        <v>30</v>
      </c>
      <c r="B4597" t="b">
        <v>0</v>
      </c>
      <c r="C4597" t="s">
        <v>43730</v>
      </c>
      <c r="D4597">
        <v>1037022454355</v>
      </c>
      <c r="E4597">
        <v>1</v>
      </c>
      <c r="F4597">
        <v>6146921389</v>
      </c>
      <c r="G4597">
        <v>864900</v>
      </c>
      <c r="H4597" t="s">
        <v>40293</v>
      </c>
      <c r="I4597">
        <v>31232</v>
      </c>
      <c r="J4597">
        <v>5</v>
      </c>
      <c r="K4597">
        <v>5</v>
      </c>
    </row>
    <row r="4598" spans="1:11">
      <c r="A4598">
        <v>90</v>
      </c>
      <c r="B4598" t="b">
        <v>0</v>
      </c>
      <c r="C4598" t="s">
        <v>40879</v>
      </c>
      <c r="D4598">
        <v>1037022454355</v>
      </c>
      <c r="E4598">
        <v>1</v>
      </c>
      <c r="F4598">
        <v>6110721179</v>
      </c>
      <c r="G4598">
        <v>229200</v>
      </c>
      <c r="H4598" t="s">
        <v>40293</v>
      </c>
      <c r="I4598">
        <v>31238</v>
      </c>
      <c r="J4598">
        <v>39</v>
      </c>
      <c r="K4598">
        <v>60</v>
      </c>
    </row>
    <row r="4599" spans="1:11">
      <c r="A4599">
        <v>90</v>
      </c>
      <c r="B4599" t="b">
        <v>0</v>
      </c>
      <c r="C4599" t="s">
        <v>41775</v>
      </c>
      <c r="D4599">
        <v>1037022454355</v>
      </c>
      <c r="E4599">
        <v>1</v>
      </c>
      <c r="F4599">
        <v>6128012002</v>
      </c>
      <c r="G4599">
        <v>228400</v>
      </c>
      <c r="H4599" t="s">
        <v>40293</v>
      </c>
      <c r="I4599">
        <v>31238</v>
      </c>
      <c r="J4599">
        <v>10</v>
      </c>
      <c r="K4599">
        <v>22</v>
      </c>
    </row>
    <row r="4600" spans="1:11">
      <c r="A4600">
        <v>90</v>
      </c>
      <c r="B4600" t="b">
        <v>0</v>
      </c>
      <c r="C4600" t="s">
        <v>43010</v>
      </c>
      <c r="D4600">
        <v>1037022454355</v>
      </c>
      <c r="E4600">
        <v>1</v>
      </c>
      <c r="F4600">
        <v>6138302667</v>
      </c>
      <c r="G4600">
        <v>220000</v>
      </c>
      <c r="H4600" t="s">
        <v>40293</v>
      </c>
      <c r="I4600">
        <v>31238</v>
      </c>
      <c r="J4600">
        <v>457</v>
      </c>
      <c r="K4600">
        <v>462</v>
      </c>
    </row>
    <row r="4601" spans="1:11">
      <c r="A4601">
        <v>30</v>
      </c>
      <c r="B4601" t="b">
        <v>0</v>
      </c>
      <c r="C4601" t="s">
        <v>45856</v>
      </c>
      <c r="D4601">
        <v>1037022454355</v>
      </c>
      <c r="E4601">
        <v>1</v>
      </c>
      <c r="F4601">
        <v>6156606346</v>
      </c>
      <c r="G4601">
        <v>219900</v>
      </c>
      <c r="H4601" t="s">
        <v>40293</v>
      </c>
      <c r="I4601">
        <v>31238</v>
      </c>
      <c r="J4601">
        <v>9</v>
      </c>
      <c r="K4601">
        <v>10</v>
      </c>
    </row>
    <row r="4602" spans="1:11">
      <c r="A4602">
        <v>90</v>
      </c>
      <c r="B4602" t="b">
        <v>0</v>
      </c>
      <c r="C4602" t="s">
        <v>43888</v>
      </c>
      <c r="D4602">
        <v>1037022454355</v>
      </c>
      <c r="E4602">
        <v>1</v>
      </c>
      <c r="F4602">
        <v>6138983911</v>
      </c>
      <c r="G4602">
        <v>1500000</v>
      </c>
      <c r="H4602" t="s">
        <v>40293</v>
      </c>
      <c r="I4602">
        <v>31240</v>
      </c>
      <c r="J4602">
        <v>10</v>
      </c>
      <c r="K4602">
        <v>10</v>
      </c>
    </row>
    <row r="4603" spans="1:11">
      <c r="A4603">
        <v>30</v>
      </c>
      <c r="B4603" t="b">
        <v>0</v>
      </c>
      <c r="C4603" t="s">
        <v>43136</v>
      </c>
      <c r="D4603">
        <v>1037022454355</v>
      </c>
      <c r="E4603">
        <v>1</v>
      </c>
      <c r="F4603">
        <v>6145940823</v>
      </c>
      <c r="G4603">
        <v>1499000</v>
      </c>
      <c r="H4603" t="s">
        <v>40293</v>
      </c>
      <c r="I4603">
        <v>31240</v>
      </c>
      <c r="J4603">
        <v>5</v>
      </c>
      <c r="K4603">
        <v>5</v>
      </c>
    </row>
    <row r="4604" spans="1:11">
      <c r="A4604">
        <v>90</v>
      </c>
      <c r="B4604" t="b">
        <v>0</v>
      </c>
      <c r="C4604" t="s">
        <v>45960</v>
      </c>
      <c r="D4604">
        <v>1037022454355</v>
      </c>
      <c r="E4604">
        <v>1</v>
      </c>
      <c r="F4604">
        <v>6156922663</v>
      </c>
      <c r="G4604">
        <v>3504000</v>
      </c>
      <c r="H4604" t="s">
        <v>40293</v>
      </c>
      <c r="I4604">
        <v>31244</v>
      </c>
      <c r="J4604">
        <v>1</v>
      </c>
      <c r="K4604">
        <v>1</v>
      </c>
    </row>
    <row r="4605" spans="1:11">
      <c r="A4605">
        <v>30</v>
      </c>
      <c r="B4605" t="b">
        <v>0</v>
      </c>
      <c r="C4605" t="s">
        <v>46192</v>
      </c>
      <c r="D4605">
        <v>1037022454355</v>
      </c>
      <c r="E4605">
        <v>1</v>
      </c>
      <c r="F4605">
        <v>6154317094</v>
      </c>
      <c r="G4605">
        <v>3503000</v>
      </c>
      <c r="H4605" t="s">
        <v>40293</v>
      </c>
      <c r="I4605">
        <v>31244</v>
      </c>
      <c r="J4605">
        <v>15</v>
      </c>
      <c r="K4605">
        <v>15</v>
      </c>
    </row>
    <row r="4606" spans="1:11">
      <c r="A4606">
        <v>30</v>
      </c>
      <c r="B4606" t="b">
        <v>0</v>
      </c>
      <c r="C4606" t="s">
        <v>43145</v>
      </c>
      <c r="D4606">
        <v>1037022454355</v>
      </c>
      <c r="E4606">
        <v>1</v>
      </c>
      <c r="F4606">
        <v>6146923956</v>
      </c>
      <c r="G4606">
        <v>5430000</v>
      </c>
      <c r="H4606" t="s">
        <v>40293</v>
      </c>
      <c r="I4606">
        <v>31250</v>
      </c>
      <c r="J4606">
        <v>5</v>
      </c>
      <c r="K4606">
        <v>5</v>
      </c>
    </row>
    <row r="4607" spans="1:11">
      <c r="A4607">
        <v>30</v>
      </c>
      <c r="B4607" t="b">
        <v>0</v>
      </c>
      <c r="C4607" t="s">
        <v>43431</v>
      </c>
      <c r="D4607">
        <v>1037022454355</v>
      </c>
      <c r="E4607">
        <v>1</v>
      </c>
      <c r="F4607">
        <v>6146924356</v>
      </c>
      <c r="G4607">
        <v>5600000</v>
      </c>
      <c r="H4607" t="s">
        <v>40293</v>
      </c>
      <c r="I4607">
        <v>31256</v>
      </c>
      <c r="J4607">
        <v>5</v>
      </c>
      <c r="K4607">
        <v>5</v>
      </c>
    </row>
    <row r="4608" spans="1:11">
      <c r="A4608">
        <v>90</v>
      </c>
      <c r="B4608" t="b">
        <v>0</v>
      </c>
      <c r="C4608" t="s">
        <v>42453</v>
      </c>
      <c r="D4608">
        <v>1037022454355</v>
      </c>
      <c r="E4608">
        <v>1</v>
      </c>
      <c r="F4608">
        <v>6135261357</v>
      </c>
      <c r="G4608">
        <v>4000000</v>
      </c>
      <c r="H4608" t="s">
        <v>40293</v>
      </c>
      <c r="I4608">
        <v>31258</v>
      </c>
      <c r="J4608">
        <v>2</v>
      </c>
      <c r="K4608">
        <v>2</v>
      </c>
    </row>
    <row r="4609" spans="1:11">
      <c r="A4609">
        <v>90</v>
      </c>
      <c r="B4609" t="b">
        <v>0</v>
      </c>
      <c r="C4609" t="s">
        <v>43223</v>
      </c>
      <c r="D4609">
        <v>1037022454355</v>
      </c>
      <c r="E4609">
        <v>1</v>
      </c>
      <c r="F4609">
        <v>6145517400</v>
      </c>
      <c r="G4609">
        <v>3998000</v>
      </c>
      <c r="H4609" t="s">
        <v>40293</v>
      </c>
      <c r="I4609">
        <v>31258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42824</v>
      </c>
      <c r="D4610">
        <v>1037022454355</v>
      </c>
      <c r="E4610">
        <v>1</v>
      </c>
      <c r="F4610">
        <v>6070695523</v>
      </c>
      <c r="G4610">
        <v>3997000</v>
      </c>
      <c r="H4610" t="s">
        <v>40293</v>
      </c>
      <c r="I4610">
        <v>31258</v>
      </c>
      <c r="J4610">
        <v>2</v>
      </c>
      <c r="K4610">
        <v>2</v>
      </c>
    </row>
    <row r="4611" spans="1:11">
      <c r="A4611">
        <v>30</v>
      </c>
      <c r="B4611" t="b">
        <v>0</v>
      </c>
      <c r="C4611" t="s">
        <v>43910</v>
      </c>
      <c r="D4611">
        <v>1037022454355</v>
      </c>
      <c r="E4611">
        <v>1</v>
      </c>
      <c r="F4611">
        <v>6145243051</v>
      </c>
      <c r="G4611">
        <v>3996000</v>
      </c>
      <c r="H4611" t="s">
        <v>40293</v>
      </c>
      <c r="I4611">
        <v>31258</v>
      </c>
      <c r="J4611">
        <v>5</v>
      </c>
      <c r="K4611">
        <v>5</v>
      </c>
    </row>
    <row r="4612" spans="1:11">
      <c r="A4612">
        <v>90</v>
      </c>
      <c r="B4612" t="b">
        <v>0</v>
      </c>
      <c r="C4612" t="s">
        <v>41910</v>
      </c>
      <c r="D4612">
        <v>1037022454355</v>
      </c>
      <c r="E4612">
        <v>1</v>
      </c>
      <c r="F4612">
        <v>6127045648</v>
      </c>
      <c r="G4612">
        <v>750000</v>
      </c>
      <c r="H4612" t="s">
        <v>40293</v>
      </c>
      <c r="I4612">
        <v>31264</v>
      </c>
      <c r="J4612">
        <v>6</v>
      </c>
      <c r="K4612">
        <v>8</v>
      </c>
    </row>
    <row r="4613" spans="1:11">
      <c r="A4613">
        <v>30</v>
      </c>
      <c r="B4613" t="b">
        <v>0</v>
      </c>
      <c r="C4613" t="s">
        <v>43926</v>
      </c>
      <c r="D4613">
        <v>1037022454355</v>
      </c>
      <c r="E4613">
        <v>1</v>
      </c>
      <c r="F4613">
        <v>6146947435</v>
      </c>
      <c r="G4613">
        <v>749900</v>
      </c>
      <c r="H4613" t="s">
        <v>40293</v>
      </c>
      <c r="I4613">
        <v>31264</v>
      </c>
      <c r="J4613">
        <v>5</v>
      </c>
      <c r="K4613">
        <v>5</v>
      </c>
    </row>
    <row r="4614" spans="1:11">
      <c r="A4614">
        <v>30</v>
      </c>
      <c r="B4614" t="b">
        <v>0</v>
      </c>
      <c r="C4614" t="s">
        <v>43131</v>
      </c>
      <c r="D4614">
        <v>1037022454355</v>
      </c>
      <c r="E4614">
        <v>1</v>
      </c>
      <c r="F4614">
        <v>6146923672</v>
      </c>
      <c r="G4614">
        <v>8001000</v>
      </c>
      <c r="H4614" t="s">
        <v>40293</v>
      </c>
      <c r="I4614">
        <v>31268</v>
      </c>
      <c r="J4614">
        <v>4</v>
      </c>
      <c r="K4614">
        <v>5</v>
      </c>
    </row>
    <row r="4615" spans="1:11">
      <c r="A4615">
        <v>90</v>
      </c>
      <c r="B4615" t="b">
        <v>0</v>
      </c>
      <c r="C4615" t="s">
        <v>44349</v>
      </c>
      <c r="D4615">
        <v>1037022454355</v>
      </c>
      <c r="E4615">
        <v>1</v>
      </c>
      <c r="F4615">
        <v>6138040608</v>
      </c>
      <c r="G4615">
        <v>699500</v>
      </c>
      <c r="H4615" t="s">
        <v>40293</v>
      </c>
      <c r="I4615">
        <v>31274</v>
      </c>
      <c r="J4615">
        <v>29</v>
      </c>
      <c r="K4615">
        <v>30</v>
      </c>
    </row>
    <row r="4616" spans="1:11">
      <c r="A4616">
        <v>90</v>
      </c>
      <c r="B4616" t="b">
        <v>0</v>
      </c>
      <c r="C4616" t="s">
        <v>44434</v>
      </c>
      <c r="D4616">
        <v>1037022454355</v>
      </c>
      <c r="E4616">
        <v>1</v>
      </c>
      <c r="F4616">
        <v>6149871005</v>
      </c>
      <c r="G4616">
        <v>399000</v>
      </c>
      <c r="H4616" t="s">
        <v>40293</v>
      </c>
      <c r="I4616">
        <v>31274</v>
      </c>
      <c r="J4616">
        <v>30</v>
      </c>
      <c r="K4616">
        <v>30</v>
      </c>
    </row>
    <row r="4617" spans="1:11">
      <c r="A4617">
        <v>90</v>
      </c>
      <c r="B4617" t="b">
        <v>0</v>
      </c>
      <c r="C4617" t="s">
        <v>44252</v>
      </c>
      <c r="D4617">
        <v>1037022454355</v>
      </c>
      <c r="E4617">
        <v>1</v>
      </c>
      <c r="F4617">
        <v>6128012010</v>
      </c>
      <c r="G4617">
        <v>397800</v>
      </c>
      <c r="H4617" t="s">
        <v>40293</v>
      </c>
      <c r="I4617">
        <v>31274</v>
      </c>
      <c r="J4617">
        <v>31</v>
      </c>
      <c r="K4617">
        <v>40</v>
      </c>
    </row>
    <row r="4618" spans="1:11">
      <c r="A4618">
        <v>90</v>
      </c>
      <c r="B4618" t="b">
        <v>0</v>
      </c>
      <c r="C4618" t="s">
        <v>46145</v>
      </c>
      <c r="D4618">
        <v>1037022454355</v>
      </c>
      <c r="E4618">
        <v>1</v>
      </c>
      <c r="F4618">
        <v>6145648409</v>
      </c>
      <c r="G4618">
        <v>397600</v>
      </c>
      <c r="H4618" t="s">
        <v>40293</v>
      </c>
      <c r="I4618">
        <v>31274</v>
      </c>
      <c r="J4618">
        <v>4</v>
      </c>
      <c r="K4618">
        <v>5</v>
      </c>
    </row>
    <row r="4619" spans="1:11">
      <c r="A4619">
        <v>30</v>
      </c>
      <c r="B4619" t="b">
        <v>0</v>
      </c>
      <c r="C4619" t="s">
        <v>44170</v>
      </c>
      <c r="D4619">
        <v>1037022454355</v>
      </c>
      <c r="E4619">
        <v>1</v>
      </c>
      <c r="F4619">
        <v>6147901210</v>
      </c>
      <c r="G4619">
        <v>397500</v>
      </c>
      <c r="H4619" t="s">
        <v>40293</v>
      </c>
      <c r="I4619">
        <v>31274</v>
      </c>
      <c r="J4619">
        <v>6</v>
      </c>
      <c r="K4619">
        <v>8</v>
      </c>
    </row>
    <row r="4620" spans="1:11">
      <c r="A4620">
        <v>90</v>
      </c>
      <c r="B4620" t="b">
        <v>0</v>
      </c>
      <c r="C4620" t="s">
        <v>42914</v>
      </c>
      <c r="D4620">
        <v>1037022454355</v>
      </c>
      <c r="E4620">
        <v>1</v>
      </c>
      <c r="F4620">
        <v>6145213299</v>
      </c>
      <c r="G4620">
        <v>3498000</v>
      </c>
      <c r="H4620" t="s">
        <v>40293</v>
      </c>
      <c r="I4620">
        <v>31276</v>
      </c>
      <c r="J4620">
        <v>14</v>
      </c>
      <c r="K4620">
        <v>16</v>
      </c>
    </row>
    <row r="4621" spans="1:11">
      <c r="A4621">
        <v>30</v>
      </c>
      <c r="B4621" t="b">
        <v>0</v>
      </c>
      <c r="C4621" t="s">
        <v>45115</v>
      </c>
      <c r="D4621">
        <v>1037022454355</v>
      </c>
      <c r="E4621">
        <v>1</v>
      </c>
      <c r="F4621">
        <v>6155056969</v>
      </c>
      <c r="G4621">
        <v>3473000</v>
      </c>
      <c r="H4621" t="s">
        <v>40293</v>
      </c>
      <c r="I4621">
        <v>31276</v>
      </c>
      <c r="J4621">
        <v>13</v>
      </c>
      <c r="K4621">
        <v>13</v>
      </c>
    </row>
    <row r="4622" spans="1:11">
      <c r="A4622">
        <v>30</v>
      </c>
      <c r="B4622" t="b">
        <v>0</v>
      </c>
      <c r="C4622" t="s">
        <v>46419</v>
      </c>
      <c r="D4622">
        <v>1037022454355</v>
      </c>
      <c r="E4622">
        <v>1</v>
      </c>
      <c r="F4622">
        <v>6146619826</v>
      </c>
      <c r="G4622">
        <v>3472000</v>
      </c>
      <c r="H4622" t="s">
        <v>40293</v>
      </c>
      <c r="I4622">
        <v>31276</v>
      </c>
      <c r="J4622">
        <v>6</v>
      </c>
      <c r="K4622">
        <v>10</v>
      </c>
    </row>
    <row r="4623" spans="1:11">
      <c r="A4623">
        <v>30</v>
      </c>
      <c r="B4623" t="b">
        <v>0</v>
      </c>
      <c r="C4623" t="s">
        <v>45147</v>
      </c>
      <c r="D4623">
        <v>1037022454355</v>
      </c>
      <c r="E4623">
        <v>1</v>
      </c>
      <c r="F4623">
        <v>6147881376</v>
      </c>
      <c r="G4623">
        <v>8787000</v>
      </c>
      <c r="H4623" t="s">
        <v>40293</v>
      </c>
      <c r="I4623">
        <v>31280</v>
      </c>
      <c r="J4623">
        <v>6</v>
      </c>
      <c r="K4623">
        <v>10</v>
      </c>
    </row>
    <row r="4624" spans="1:11">
      <c r="A4624">
        <v>30</v>
      </c>
      <c r="B4624" t="b">
        <v>0</v>
      </c>
      <c r="C4624" t="s">
        <v>46408</v>
      </c>
      <c r="D4624">
        <v>1037022454355</v>
      </c>
      <c r="E4624">
        <v>1</v>
      </c>
      <c r="F4624">
        <v>6146619684</v>
      </c>
      <c r="G4624">
        <v>8787000</v>
      </c>
      <c r="H4624" t="s">
        <v>40293</v>
      </c>
      <c r="I4624">
        <v>31280</v>
      </c>
      <c r="J4624">
        <v>2</v>
      </c>
      <c r="K4624">
        <v>10</v>
      </c>
    </row>
    <row r="4625" spans="1:11">
      <c r="A4625">
        <v>90</v>
      </c>
      <c r="B4625" t="b">
        <v>0</v>
      </c>
      <c r="C4625" t="s">
        <v>45158</v>
      </c>
      <c r="D4625">
        <v>1037022454355</v>
      </c>
      <c r="E4625">
        <v>1</v>
      </c>
      <c r="F4625">
        <v>6145132979</v>
      </c>
      <c r="G4625">
        <v>9798000</v>
      </c>
      <c r="H4625" t="s">
        <v>40293</v>
      </c>
      <c r="I4625">
        <v>31282</v>
      </c>
      <c r="J4625">
        <v>10</v>
      </c>
      <c r="K4625">
        <v>10</v>
      </c>
    </row>
    <row r="4626" spans="1:11">
      <c r="A4626">
        <v>30</v>
      </c>
      <c r="B4626" t="b">
        <v>0</v>
      </c>
      <c r="C4626" t="s">
        <v>45765</v>
      </c>
      <c r="D4626">
        <v>1037022454355</v>
      </c>
      <c r="E4626">
        <v>1</v>
      </c>
      <c r="F4626">
        <v>6146938785</v>
      </c>
      <c r="G4626">
        <v>9797000</v>
      </c>
      <c r="H4626" t="s">
        <v>40293</v>
      </c>
      <c r="I4626">
        <v>31282</v>
      </c>
      <c r="J4626">
        <v>5</v>
      </c>
      <c r="K4626">
        <v>5</v>
      </c>
    </row>
    <row r="4627" spans="1:11">
      <c r="A4627">
        <v>90</v>
      </c>
      <c r="B4627" t="b">
        <v>0</v>
      </c>
      <c r="C4627" t="s">
        <v>41909</v>
      </c>
      <c r="D4627">
        <v>1037022454355</v>
      </c>
      <c r="E4627">
        <v>1</v>
      </c>
      <c r="F4627">
        <v>6127045585</v>
      </c>
      <c r="G4627">
        <v>750000</v>
      </c>
      <c r="H4627" t="s">
        <v>40293</v>
      </c>
      <c r="I4627">
        <v>31286</v>
      </c>
      <c r="J4627">
        <v>5</v>
      </c>
      <c r="K4627">
        <v>10</v>
      </c>
    </row>
    <row r="4628" spans="1:11">
      <c r="A4628">
        <v>90</v>
      </c>
      <c r="B4628" t="b">
        <v>0</v>
      </c>
      <c r="C4628" t="s">
        <v>42338</v>
      </c>
      <c r="D4628">
        <v>1037022454355</v>
      </c>
      <c r="E4628">
        <v>1</v>
      </c>
      <c r="F4628">
        <v>6135057661</v>
      </c>
      <c r="G4628">
        <v>10000000</v>
      </c>
      <c r="H4628" t="s">
        <v>40293</v>
      </c>
      <c r="I4628">
        <v>31288</v>
      </c>
      <c r="J4628">
        <v>57</v>
      </c>
      <c r="K4628">
        <v>58</v>
      </c>
    </row>
    <row r="4629" spans="1:11">
      <c r="A4629">
        <v>30</v>
      </c>
      <c r="B4629" t="b">
        <v>0</v>
      </c>
      <c r="C4629" t="s">
        <v>43365</v>
      </c>
      <c r="D4629">
        <v>1037022454355</v>
      </c>
      <c r="E4629">
        <v>1</v>
      </c>
      <c r="F4629">
        <v>6145941011</v>
      </c>
      <c r="G4629">
        <v>9999000</v>
      </c>
      <c r="H4629" t="s">
        <v>40293</v>
      </c>
      <c r="I4629">
        <v>31288</v>
      </c>
      <c r="J4629">
        <v>3</v>
      </c>
      <c r="K4629">
        <v>5</v>
      </c>
    </row>
    <row r="4630" spans="1:11">
      <c r="A4630">
        <v>90</v>
      </c>
      <c r="B4630" t="b">
        <v>0</v>
      </c>
      <c r="C4630" t="s">
        <v>46415</v>
      </c>
      <c r="D4630">
        <v>1037022454355</v>
      </c>
      <c r="E4630">
        <v>1</v>
      </c>
      <c r="F4630">
        <v>6149929341</v>
      </c>
      <c r="G4630">
        <v>3000000</v>
      </c>
      <c r="H4630" t="s">
        <v>40293</v>
      </c>
      <c r="I4630">
        <v>31292</v>
      </c>
      <c r="J4630">
        <v>1</v>
      </c>
      <c r="K4630">
        <v>2</v>
      </c>
    </row>
    <row r="4631" spans="1:11">
      <c r="A4631">
        <v>30</v>
      </c>
      <c r="B4631" t="b">
        <v>0</v>
      </c>
      <c r="C4631" t="s">
        <v>43097</v>
      </c>
      <c r="D4631">
        <v>1037022454355</v>
      </c>
      <c r="E4631">
        <v>1</v>
      </c>
      <c r="F4631">
        <v>6146922940</v>
      </c>
      <c r="G4631">
        <v>15600000</v>
      </c>
      <c r="H4631" t="s">
        <v>40293</v>
      </c>
      <c r="I4631">
        <v>31294</v>
      </c>
      <c r="J4631">
        <v>10</v>
      </c>
      <c r="K4631">
        <v>10</v>
      </c>
    </row>
    <row r="4632" spans="1:11">
      <c r="A4632">
        <v>90</v>
      </c>
      <c r="B4632" t="b">
        <v>0</v>
      </c>
      <c r="C4632" t="s">
        <v>42342</v>
      </c>
      <c r="D4632">
        <v>1037022454355</v>
      </c>
      <c r="E4632">
        <v>1</v>
      </c>
      <c r="F4632">
        <v>6135057810</v>
      </c>
      <c r="G4632">
        <v>4500000</v>
      </c>
      <c r="H4632" t="s">
        <v>40293</v>
      </c>
      <c r="I4632">
        <v>31300</v>
      </c>
      <c r="J4632">
        <v>99</v>
      </c>
      <c r="K4632">
        <v>101</v>
      </c>
    </row>
    <row r="4633" spans="1:11">
      <c r="A4633">
        <v>30</v>
      </c>
      <c r="B4633" t="b">
        <v>0</v>
      </c>
      <c r="C4633" t="s">
        <v>44324</v>
      </c>
      <c r="D4633">
        <v>1037022454355</v>
      </c>
      <c r="E4633">
        <v>1</v>
      </c>
      <c r="F4633">
        <v>6157111231</v>
      </c>
      <c r="G4633">
        <v>4499000</v>
      </c>
      <c r="H4633" t="s">
        <v>40293</v>
      </c>
      <c r="I4633">
        <v>31300</v>
      </c>
      <c r="J4633">
        <v>8</v>
      </c>
      <c r="K4633">
        <v>8</v>
      </c>
    </row>
    <row r="4634" spans="1:11">
      <c r="A4634">
        <v>90</v>
      </c>
      <c r="B4634" t="b">
        <v>0</v>
      </c>
      <c r="C4634" t="s">
        <v>46429</v>
      </c>
      <c r="D4634">
        <v>1037022454355</v>
      </c>
      <c r="E4634">
        <v>1</v>
      </c>
      <c r="F4634">
        <v>6149929524</v>
      </c>
      <c r="G4634">
        <v>2200000</v>
      </c>
      <c r="H4634" t="s">
        <v>40293</v>
      </c>
      <c r="I4634">
        <v>31304</v>
      </c>
      <c r="J4634">
        <v>2</v>
      </c>
      <c r="K4634">
        <v>2</v>
      </c>
    </row>
    <row r="4635" spans="1:11">
      <c r="A4635">
        <v>90</v>
      </c>
      <c r="B4635" t="b">
        <v>0</v>
      </c>
      <c r="C4635" t="s">
        <v>46093</v>
      </c>
      <c r="D4635">
        <v>1037022454355</v>
      </c>
      <c r="E4635">
        <v>1</v>
      </c>
      <c r="F4635">
        <v>6152677252</v>
      </c>
      <c r="G4635">
        <v>2150000</v>
      </c>
      <c r="H4635" t="s">
        <v>40293</v>
      </c>
      <c r="I4635">
        <v>31304</v>
      </c>
      <c r="J4635">
        <v>89</v>
      </c>
      <c r="K4635">
        <v>91</v>
      </c>
    </row>
    <row r="4636" spans="1:11">
      <c r="A4636">
        <v>30</v>
      </c>
      <c r="B4636" t="b">
        <v>0</v>
      </c>
      <c r="C4636" t="s">
        <v>45630</v>
      </c>
      <c r="D4636">
        <v>1037022454355</v>
      </c>
      <c r="E4636">
        <v>1</v>
      </c>
      <c r="F4636">
        <v>6154309936</v>
      </c>
      <c r="G4636">
        <v>16510000</v>
      </c>
      <c r="H4636" t="s">
        <v>40293</v>
      </c>
      <c r="I4636">
        <v>31306</v>
      </c>
      <c r="J4636">
        <v>5</v>
      </c>
      <c r="K4636">
        <v>5</v>
      </c>
    </row>
    <row r="4637" spans="1:11">
      <c r="A4637">
        <v>90</v>
      </c>
      <c r="B4637" t="b">
        <v>0</v>
      </c>
      <c r="C4637" t="s">
        <v>41775</v>
      </c>
      <c r="D4637">
        <v>1037022454355</v>
      </c>
      <c r="E4637">
        <v>1</v>
      </c>
      <c r="F4637">
        <v>6128012003</v>
      </c>
      <c r="G4637">
        <v>599900</v>
      </c>
      <c r="H4637" t="s">
        <v>40293</v>
      </c>
      <c r="I4637">
        <v>31310</v>
      </c>
      <c r="J4637">
        <v>13</v>
      </c>
      <c r="K4637">
        <v>15</v>
      </c>
    </row>
    <row r="4638" spans="1:11">
      <c r="A4638">
        <v>90</v>
      </c>
      <c r="B4638" t="b">
        <v>0</v>
      </c>
      <c r="C4638" t="s">
        <v>44904</v>
      </c>
      <c r="D4638">
        <v>1037022454355</v>
      </c>
      <c r="E4638">
        <v>1</v>
      </c>
      <c r="F4638">
        <v>6098955620</v>
      </c>
      <c r="G4638">
        <v>599200</v>
      </c>
      <c r="H4638" t="s">
        <v>40293</v>
      </c>
      <c r="I4638">
        <v>31310</v>
      </c>
      <c r="J4638">
        <v>1</v>
      </c>
      <c r="K4638">
        <v>5</v>
      </c>
    </row>
    <row r="4639" spans="1:11">
      <c r="A4639">
        <v>30</v>
      </c>
      <c r="B4639" t="b">
        <v>0</v>
      </c>
      <c r="C4639" t="s">
        <v>46028</v>
      </c>
      <c r="D4639">
        <v>1037022454355</v>
      </c>
      <c r="E4639">
        <v>1</v>
      </c>
      <c r="F4639">
        <v>6146941879</v>
      </c>
      <c r="G4639">
        <v>599100</v>
      </c>
      <c r="H4639" t="s">
        <v>40293</v>
      </c>
      <c r="I4639">
        <v>31310</v>
      </c>
      <c r="J4639">
        <v>4</v>
      </c>
      <c r="K4639">
        <v>5</v>
      </c>
    </row>
    <row r="4640" spans="1:11">
      <c r="A4640">
        <v>30</v>
      </c>
      <c r="B4640" t="b">
        <v>0</v>
      </c>
      <c r="C4640" t="s">
        <v>43586</v>
      </c>
      <c r="D4640">
        <v>1037022454355</v>
      </c>
      <c r="E4640">
        <v>1</v>
      </c>
      <c r="F4640">
        <v>6146936635</v>
      </c>
      <c r="G4640">
        <v>4200000</v>
      </c>
      <c r="H4640" t="s">
        <v>40293</v>
      </c>
      <c r="I4640">
        <v>31312</v>
      </c>
      <c r="J4640">
        <v>5</v>
      </c>
      <c r="K4640">
        <v>5</v>
      </c>
    </row>
    <row r="4641" spans="1:11">
      <c r="A4641">
        <v>30</v>
      </c>
      <c r="B4641" t="b">
        <v>0</v>
      </c>
      <c r="C4641" t="s">
        <v>43782</v>
      </c>
      <c r="D4641">
        <v>1037022454355</v>
      </c>
      <c r="E4641">
        <v>1</v>
      </c>
      <c r="F4641">
        <v>6146937247</v>
      </c>
      <c r="G4641">
        <v>7600000</v>
      </c>
      <c r="H4641" t="s">
        <v>40293</v>
      </c>
      <c r="I4641">
        <v>31316</v>
      </c>
      <c r="J4641">
        <v>5</v>
      </c>
      <c r="K4641">
        <v>5</v>
      </c>
    </row>
    <row r="4642" spans="1:11">
      <c r="A4642">
        <v>30</v>
      </c>
      <c r="B4642" t="b">
        <v>0</v>
      </c>
      <c r="C4642" t="s">
        <v>43602</v>
      </c>
      <c r="D4642">
        <v>1037022454355</v>
      </c>
      <c r="E4642">
        <v>1</v>
      </c>
      <c r="F4642">
        <v>6146936789</v>
      </c>
      <c r="G4642">
        <v>14000000</v>
      </c>
      <c r="H4642" t="s">
        <v>40293</v>
      </c>
      <c r="I4642">
        <v>31318</v>
      </c>
      <c r="J4642">
        <v>4</v>
      </c>
      <c r="K4642">
        <v>5</v>
      </c>
    </row>
    <row r="4643" spans="1:11">
      <c r="A4643">
        <v>30</v>
      </c>
      <c r="B4643" t="b">
        <v>0</v>
      </c>
      <c r="C4643" t="s">
        <v>44263</v>
      </c>
      <c r="D4643">
        <v>1037022454355</v>
      </c>
      <c r="E4643">
        <v>1</v>
      </c>
      <c r="F4643">
        <v>6156618624</v>
      </c>
      <c r="G4643">
        <v>4202000</v>
      </c>
      <c r="H4643" t="s">
        <v>40293</v>
      </c>
      <c r="I4643">
        <v>31328</v>
      </c>
      <c r="J4643">
        <v>13</v>
      </c>
      <c r="K4643">
        <v>13</v>
      </c>
    </row>
    <row r="4644" spans="1:11">
      <c r="A4644">
        <v>30</v>
      </c>
      <c r="B4644" t="b">
        <v>0</v>
      </c>
      <c r="C4644" t="s">
        <v>46234</v>
      </c>
      <c r="D4644">
        <v>1037022454355</v>
      </c>
      <c r="E4644">
        <v>1</v>
      </c>
      <c r="F4644">
        <v>6156614700</v>
      </c>
      <c r="G4644">
        <v>14210000</v>
      </c>
      <c r="H4644" t="s">
        <v>40293</v>
      </c>
      <c r="I4644">
        <v>31330</v>
      </c>
      <c r="J4644">
        <v>13</v>
      </c>
      <c r="K4644">
        <v>13</v>
      </c>
    </row>
    <row r="4645" spans="1:11">
      <c r="A4645">
        <v>90</v>
      </c>
      <c r="B4645" t="b">
        <v>0</v>
      </c>
      <c r="C4645" t="s">
        <v>41269</v>
      </c>
      <c r="D4645">
        <v>1037022454355</v>
      </c>
      <c r="E4645">
        <v>1</v>
      </c>
      <c r="F4645">
        <v>6107648211</v>
      </c>
      <c r="G4645">
        <v>1700000</v>
      </c>
      <c r="H4645" t="s">
        <v>40293</v>
      </c>
      <c r="I4645">
        <v>31336</v>
      </c>
      <c r="J4645">
        <v>2</v>
      </c>
      <c r="K4645">
        <v>3</v>
      </c>
    </row>
    <row r="4646" spans="1:11">
      <c r="A4646">
        <v>30</v>
      </c>
      <c r="B4646" t="b">
        <v>0</v>
      </c>
      <c r="C4646" t="s">
        <v>42939</v>
      </c>
      <c r="D4646">
        <v>1037022454355</v>
      </c>
      <c r="E4646">
        <v>1</v>
      </c>
      <c r="F4646">
        <v>6145246724</v>
      </c>
      <c r="G4646">
        <v>1699000</v>
      </c>
      <c r="H4646" t="s">
        <v>40293</v>
      </c>
      <c r="I4646">
        <v>31336</v>
      </c>
      <c r="J4646">
        <v>5</v>
      </c>
      <c r="K4646">
        <v>5</v>
      </c>
    </row>
    <row r="4647" spans="1:11">
      <c r="A4647">
        <v>30</v>
      </c>
      <c r="B4647" t="b">
        <v>0</v>
      </c>
      <c r="C4647" t="s">
        <v>44270</v>
      </c>
      <c r="D4647">
        <v>1037022454355</v>
      </c>
      <c r="E4647">
        <v>1</v>
      </c>
      <c r="F4647">
        <v>6156618793</v>
      </c>
      <c r="G4647">
        <v>9801000</v>
      </c>
      <c r="H4647" t="s">
        <v>40293</v>
      </c>
      <c r="I4647">
        <v>31340</v>
      </c>
      <c r="J4647">
        <v>8</v>
      </c>
      <c r="K4647">
        <v>8</v>
      </c>
    </row>
    <row r="4648" spans="1:11">
      <c r="A4648">
        <v>30</v>
      </c>
      <c r="B4648" t="b">
        <v>0</v>
      </c>
      <c r="C4648" t="s">
        <v>43701</v>
      </c>
      <c r="D4648">
        <v>1037022454355</v>
      </c>
      <c r="E4648">
        <v>1</v>
      </c>
      <c r="F4648">
        <v>6145243817</v>
      </c>
      <c r="G4648">
        <v>9999000</v>
      </c>
      <c r="H4648" t="s">
        <v>40293</v>
      </c>
      <c r="I4648">
        <v>31342</v>
      </c>
      <c r="J4648">
        <v>9</v>
      </c>
      <c r="K4648">
        <v>10</v>
      </c>
    </row>
    <row r="4649" spans="1:11">
      <c r="A4649">
        <v>30</v>
      </c>
      <c r="B4649" t="b">
        <v>0</v>
      </c>
      <c r="C4649" t="s">
        <v>43121</v>
      </c>
      <c r="D4649">
        <v>1037022454355</v>
      </c>
      <c r="E4649">
        <v>1</v>
      </c>
      <c r="F4649">
        <v>6146923387</v>
      </c>
      <c r="G4649">
        <v>5400000</v>
      </c>
      <c r="H4649" t="s">
        <v>40293</v>
      </c>
      <c r="I4649">
        <v>31348</v>
      </c>
      <c r="J4649">
        <v>5</v>
      </c>
      <c r="K4649">
        <v>5</v>
      </c>
    </row>
    <row r="4650" spans="1:11">
      <c r="A4650">
        <v>90</v>
      </c>
      <c r="B4650" t="b">
        <v>0</v>
      </c>
      <c r="C4650" t="s">
        <v>43223</v>
      </c>
      <c r="D4650">
        <v>1037022454355</v>
      </c>
      <c r="E4650">
        <v>1</v>
      </c>
      <c r="F4650">
        <v>6145517401</v>
      </c>
      <c r="G4650">
        <v>9000000</v>
      </c>
      <c r="H4650" t="s">
        <v>40293</v>
      </c>
      <c r="I4650">
        <v>31354</v>
      </c>
      <c r="J4650">
        <v>2</v>
      </c>
      <c r="K4650">
        <v>2</v>
      </c>
    </row>
    <row r="4651" spans="1:11">
      <c r="A4651">
        <v>90</v>
      </c>
      <c r="B4651" t="b">
        <v>0</v>
      </c>
      <c r="C4651" t="s">
        <v>42149</v>
      </c>
      <c r="D4651">
        <v>1037022454355</v>
      </c>
      <c r="E4651">
        <v>1</v>
      </c>
      <c r="F4651">
        <v>6067636239</v>
      </c>
      <c r="G4651">
        <v>740000</v>
      </c>
      <c r="H4651" t="s">
        <v>40293</v>
      </c>
      <c r="I4651">
        <v>31358</v>
      </c>
      <c r="J4651">
        <v>12</v>
      </c>
      <c r="K4651">
        <v>150</v>
      </c>
    </row>
    <row r="4652" spans="1:11">
      <c r="A4652">
        <v>90</v>
      </c>
      <c r="B4652" t="b">
        <v>0</v>
      </c>
      <c r="C4652" t="s">
        <v>46101</v>
      </c>
      <c r="D4652">
        <v>1037022454355</v>
      </c>
      <c r="E4652">
        <v>1</v>
      </c>
      <c r="F4652">
        <v>6155500559</v>
      </c>
      <c r="G4652">
        <v>739700</v>
      </c>
      <c r="H4652" t="s">
        <v>40293</v>
      </c>
      <c r="I4652">
        <v>31358</v>
      </c>
      <c r="J4652">
        <v>14</v>
      </c>
      <c r="K4652">
        <v>15</v>
      </c>
    </row>
    <row r="4653" spans="1:11">
      <c r="A4653">
        <v>90</v>
      </c>
      <c r="B4653" t="b">
        <v>0</v>
      </c>
      <c r="C4653" t="s">
        <v>42988</v>
      </c>
      <c r="D4653">
        <v>1037022454355</v>
      </c>
      <c r="E4653">
        <v>1</v>
      </c>
      <c r="F4653">
        <v>6140562955</v>
      </c>
      <c r="G4653">
        <v>4784000</v>
      </c>
      <c r="H4653" t="s">
        <v>40293</v>
      </c>
      <c r="I4653">
        <v>31360</v>
      </c>
      <c r="J4653">
        <v>29</v>
      </c>
      <c r="K4653">
        <v>30</v>
      </c>
    </row>
    <row r="4654" spans="1:11">
      <c r="A4654">
        <v>90</v>
      </c>
      <c r="B4654" t="b">
        <v>0</v>
      </c>
      <c r="C4654" t="s">
        <v>45884</v>
      </c>
      <c r="D4654">
        <v>1037022454355</v>
      </c>
      <c r="E4654">
        <v>1</v>
      </c>
      <c r="F4654">
        <v>6143433892</v>
      </c>
      <c r="G4654">
        <v>4776000</v>
      </c>
      <c r="H4654" t="s">
        <v>40293</v>
      </c>
      <c r="I4654">
        <v>31360</v>
      </c>
      <c r="J4654">
        <v>8</v>
      </c>
      <c r="K4654">
        <v>8</v>
      </c>
    </row>
    <row r="4655" spans="1:11">
      <c r="A4655">
        <v>90</v>
      </c>
      <c r="B4655" t="b">
        <v>0</v>
      </c>
      <c r="C4655" t="s">
        <v>45950</v>
      </c>
      <c r="D4655">
        <v>1037022454355</v>
      </c>
      <c r="E4655">
        <v>1</v>
      </c>
      <c r="F4655">
        <v>6141173676</v>
      </c>
      <c r="G4655">
        <v>4770000</v>
      </c>
      <c r="H4655" t="s">
        <v>40293</v>
      </c>
      <c r="I4655">
        <v>31360</v>
      </c>
      <c r="J4655">
        <v>3</v>
      </c>
      <c r="K4655">
        <v>33</v>
      </c>
    </row>
    <row r="4656" spans="1:11">
      <c r="A4656">
        <v>30</v>
      </c>
      <c r="B4656" t="b">
        <v>0</v>
      </c>
      <c r="C4656" t="s">
        <v>44318</v>
      </c>
      <c r="D4656">
        <v>1037022454355</v>
      </c>
      <c r="E4656">
        <v>1</v>
      </c>
      <c r="F4656">
        <v>6157111157</v>
      </c>
      <c r="G4656">
        <v>4769000</v>
      </c>
      <c r="H4656" t="s">
        <v>40293</v>
      </c>
      <c r="I4656">
        <v>31360</v>
      </c>
      <c r="J4656">
        <v>12</v>
      </c>
      <c r="K4656">
        <v>13</v>
      </c>
    </row>
    <row r="4657" spans="1:11">
      <c r="A4657">
        <v>90</v>
      </c>
      <c r="B4657" t="b">
        <v>0</v>
      </c>
      <c r="C4657" t="s">
        <v>43202</v>
      </c>
      <c r="D4657">
        <v>1037022454355</v>
      </c>
      <c r="E4657">
        <v>1</v>
      </c>
      <c r="F4657">
        <v>6138242113</v>
      </c>
      <c r="G4657">
        <v>3500000</v>
      </c>
      <c r="H4657" t="s">
        <v>40293</v>
      </c>
      <c r="I4657">
        <v>31364</v>
      </c>
      <c r="J4657">
        <v>60</v>
      </c>
      <c r="K4657">
        <v>77</v>
      </c>
    </row>
    <row r="4658" spans="1:11">
      <c r="A4658">
        <v>90</v>
      </c>
      <c r="B4658" t="b">
        <v>0</v>
      </c>
      <c r="C4658" t="s">
        <v>44886</v>
      </c>
      <c r="D4658">
        <v>1037022454355</v>
      </c>
      <c r="E4658">
        <v>1</v>
      </c>
      <c r="F4658">
        <v>6147714120</v>
      </c>
      <c r="G4658">
        <v>3493000</v>
      </c>
      <c r="H4658" t="s">
        <v>40293</v>
      </c>
      <c r="I4658">
        <v>31364</v>
      </c>
      <c r="J4658">
        <v>3</v>
      </c>
      <c r="K4658">
        <v>10</v>
      </c>
    </row>
    <row r="4659" spans="1:11">
      <c r="A4659">
        <v>90</v>
      </c>
      <c r="B4659" t="b">
        <v>0</v>
      </c>
      <c r="C4659" t="s">
        <v>44794</v>
      </c>
      <c r="D4659">
        <v>1037022454355</v>
      </c>
      <c r="E4659">
        <v>1</v>
      </c>
      <c r="F4659">
        <v>6145517398</v>
      </c>
      <c r="G4659">
        <v>3489000</v>
      </c>
      <c r="H4659" t="s">
        <v>40293</v>
      </c>
      <c r="I4659">
        <v>31364</v>
      </c>
      <c r="J4659">
        <v>7</v>
      </c>
      <c r="K4659">
        <v>10</v>
      </c>
    </row>
    <row r="4660" spans="1:11">
      <c r="A4660">
        <v>90</v>
      </c>
      <c r="B4660" t="b">
        <v>0</v>
      </c>
      <c r="C4660" t="s">
        <v>44106</v>
      </c>
      <c r="D4660">
        <v>1037022454355</v>
      </c>
      <c r="E4660">
        <v>1</v>
      </c>
      <c r="F4660">
        <v>6130533248</v>
      </c>
      <c r="G4660">
        <v>3472000</v>
      </c>
      <c r="H4660" t="s">
        <v>40293</v>
      </c>
      <c r="I4660">
        <v>31364</v>
      </c>
      <c r="J4660">
        <v>80</v>
      </c>
      <c r="K4660">
        <v>80</v>
      </c>
    </row>
    <row r="4661" spans="1:11">
      <c r="A4661">
        <v>90</v>
      </c>
      <c r="B4661" t="b">
        <v>0</v>
      </c>
      <c r="C4661" t="s">
        <v>44458</v>
      </c>
      <c r="D4661">
        <v>1037022454355</v>
      </c>
      <c r="E4661">
        <v>1</v>
      </c>
      <c r="F4661">
        <v>6132700933</v>
      </c>
      <c r="G4661">
        <v>3468000</v>
      </c>
      <c r="H4661" t="s">
        <v>40293</v>
      </c>
      <c r="I4661">
        <v>31364</v>
      </c>
      <c r="J4661">
        <v>2</v>
      </c>
      <c r="K4661">
        <v>20</v>
      </c>
    </row>
    <row r="4662" spans="1:11">
      <c r="A4662">
        <v>90</v>
      </c>
      <c r="B4662" t="b">
        <v>0</v>
      </c>
      <c r="C4662" t="s">
        <v>45961</v>
      </c>
      <c r="D4662">
        <v>1037022454355</v>
      </c>
      <c r="E4662">
        <v>1</v>
      </c>
      <c r="F4662">
        <v>6156958386</v>
      </c>
      <c r="G4662">
        <v>3400000</v>
      </c>
      <c r="H4662" t="s">
        <v>40293</v>
      </c>
      <c r="I4662">
        <v>31364</v>
      </c>
      <c r="J4662">
        <v>11</v>
      </c>
      <c r="K4662">
        <v>11</v>
      </c>
    </row>
    <row r="4663" spans="1:11">
      <c r="A4663">
        <v>30</v>
      </c>
      <c r="B4663" t="b">
        <v>0</v>
      </c>
      <c r="C4663" t="s">
        <v>45822</v>
      </c>
      <c r="D4663">
        <v>1037022454355</v>
      </c>
      <c r="E4663">
        <v>1</v>
      </c>
      <c r="F4663">
        <v>6156606071</v>
      </c>
      <c r="G4663">
        <v>3399000</v>
      </c>
      <c r="H4663" t="s">
        <v>40293</v>
      </c>
      <c r="I4663">
        <v>31364</v>
      </c>
      <c r="J4663">
        <v>10</v>
      </c>
      <c r="K4663">
        <v>10</v>
      </c>
    </row>
    <row r="4664" spans="1:11">
      <c r="A4664">
        <v>90</v>
      </c>
      <c r="B4664" t="b">
        <v>0</v>
      </c>
      <c r="C4664" t="s">
        <v>44356</v>
      </c>
      <c r="D4664">
        <v>1037022454355</v>
      </c>
      <c r="E4664">
        <v>1</v>
      </c>
      <c r="F4664">
        <v>6156292445</v>
      </c>
      <c r="G4664">
        <v>3398000</v>
      </c>
      <c r="H4664" t="s">
        <v>40293</v>
      </c>
      <c r="I4664">
        <v>31364</v>
      </c>
      <c r="J4664">
        <v>3</v>
      </c>
      <c r="K4664">
        <v>3</v>
      </c>
    </row>
    <row r="4665" spans="1:11">
      <c r="A4665">
        <v>90</v>
      </c>
      <c r="B4665" t="b">
        <v>0</v>
      </c>
      <c r="C4665" t="s">
        <v>43467</v>
      </c>
      <c r="D4665">
        <v>1037022454355</v>
      </c>
      <c r="E4665">
        <v>1</v>
      </c>
      <c r="F4665">
        <v>6146441135</v>
      </c>
      <c r="G4665">
        <v>27900000</v>
      </c>
      <c r="H4665" t="s">
        <v>40293</v>
      </c>
      <c r="I4665">
        <v>31366</v>
      </c>
      <c r="J4665">
        <v>4</v>
      </c>
      <c r="K4665">
        <v>6</v>
      </c>
    </row>
    <row r="4666" spans="1:11">
      <c r="A4666">
        <v>90</v>
      </c>
      <c r="B4666" t="b">
        <v>0</v>
      </c>
      <c r="C4666" t="s">
        <v>44755</v>
      </c>
      <c r="D4666">
        <v>1037022454355</v>
      </c>
      <c r="E4666">
        <v>1</v>
      </c>
      <c r="F4666">
        <v>6148629960</v>
      </c>
      <c r="G4666">
        <v>27880000</v>
      </c>
      <c r="H4666" t="s">
        <v>40293</v>
      </c>
      <c r="I4666">
        <v>31366</v>
      </c>
      <c r="J4666">
        <v>3</v>
      </c>
      <c r="K4666">
        <v>3</v>
      </c>
    </row>
    <row r="4667" spans="1:11">
      <c r="A4667">
        <v>90</v>
      </c>
      <c r="B4667" t="b">
        <v>0</v>
      </c>
      <c r="C4667" t="s">
        <v>46243</v>
      </c>
      <c r="D4667">
        <v>1037022454355</v>
      </c>
      <c r="E4667">
        <v>1</v>
      </c>
      <c r="F4667">
        <v>6149632034</v>
      </c>
      <c r="G4667">
        <v>27860000</v>
      </c>
      <c r="H4667" t="s">
        <v>40293</v>
      </c>
      <c r="I4667">
        <v>31366</v>
      </c>
      <c r="J4667">
        <v>8</v>
      </c>
      <c r="K4667">
        <v>8</v>
      </c>
    </row>
    <row r="4668" spans="1:11">
      <c r="A4668">
        <v>30</v>
      </c>
      <c r="B4668" t="b">
        <v>0</v>
      </c>
      <c r="C4668" t="s">
        <v>44761</v>
      </c>
      <c r="D4668">
        <v>1037022454355</v>
      </c>
      <c r="E4668">
        <v>1</v>
      </c>
      <c r="F4668">
        <v>6155052540</v>
      </c>
      <c r="G4668">
        <v>27650000</v>
      </c>
      <c r="H4668" t="s">
        <v>40293</v>
      </c>
      <c r="I4668">
        <v>31366</v>
      </c>
      <c r="J4668">
        <v>8</v>
      </c>
      <c r="K4668">
        <v>10</v>
      </c>
    </row>
    <row r="4669" spans="1:11">
      <c r="A4669">
        <v>90</v>
      </c>
      <c r="B4669" t="b">
        <v>0</v>
      </c>
      <c r="C4669" t="s">
        <v>44789</v>
      </c>
      <c r="D4669">
        <v>1037022454355</v>
      </c>
      <c r="E4669">
        <v>1</v>
      </c>
      <c r="F4669">
        <v>6142535479</v>
      </c>
      <c r="G4669">
        <v>27640000</v>
      </c>
      <c r="H4669" t="s">
        <v>40293</v>
      </c>
      <c r="I4669">
        <v>31366</v>
      </c>
      <c r="J4669">
        <v>6</v>
      </c>
      <c r="K4669">
        <v>12</v>
      </c>
    </row>
    <row r="4670" spans="1:11">
      <c r="A4670">
        <v>90</v>
      </c>
      <c r="B4670" t="b">
        <v>0</v>
      </c>
      <c r="C4670" t="s">
        <v>45731</v>
      </c>
      <c r="D4670">
        <v>1037022454355</v>
      </c>
      <c r="E4670">
        <v>1</v>
      </c>
      <c r="F4670">
        <v>6157456999</v>
      </c>
      <c r="G4670">
        <v>27630000</v>
      </c>
      <c r="H4670" t="s">
        <v>40293</v>
      </c>
      <c r="I4670">
        <v>31366</v>
      </c>
      <c r="J4670">
        <v>4</v>
      </c>
      <c r="K4670">
        <v>4</v>
      </c>
    </row>
    <row r="4671" spans="1:11">
      <c r="A4671">
        <v>30</v>
      </c>
      <c r="B4671" t="b">
        <v>0</v>
      </c>
      <c r="C4671" t="s">
        <v>45904</v>
      </c>
      <c r="D4671">
        <v>1037022454355</v>
      </c>
      <c r="E4671">
        <v>1</v>
      </c>
      <c r="F4671">
        <v>6127017363</v>
      </c>
      <c r="G4671">
        <v>493900</v>
      </c>
      <c r="H4671" t="s">
        <v>40293</v>
      </c>
      <c r="I4671">
        <v>31370</v>
      </c>
      <c r="J4671">
        <v>3</v>
      </c>
      <c r="K4671">
        <v>6</v>
      </c>
    </row>
    <row r="4672" spans="1:11">
      <c r="A4672">
        <v>30</v>
      </c>
      <c r="B4672" t="b">
        <v>0</v>
      </c>
      <c r="C4672" t="s">
        <v>44062</v>
      </c>
      <c r="D4672">
        <v>1037022454355</v>
      </c>
      <c r="E4672">
        <v>1</v>
      </c>
      <c r="F4672">
        <v>6157107567</v>
      </c>
      <c r="G4672">
        <v>493000</v>
      </c>
      <c r="H4672" t="s">
        <v>40293</v>
      </c>
      <c r="I4672">
        <v>31370</v>
      </c>
      <c r="J4672">
        <v>20</v>
      </c>
      <c r="K4672">
        <v>20</v>
      </c>
    </row>
    <row r="4673" spans="1:11">
      <c r="A4673">
        <v>90</v>
      </c>
      <c r="B4673" t="b">
        <v>0</v>
      </c>
      <c r="C4673" t="s">
        <v>46417</v>
      </c>
      <c r="D4673">
        <v>1037022454355</v>
      </c>
      <c r="E4673">
        <v>1</v>
      </c>
      <c r="F4673">
        <v>6131153306</v>
      </c>
      <c r="G4673">
        <v>492900</v>
      </c>
      <c r="H4673" t="s">
        <v>40293</v>
      </c>
      <c r="I4673">
        <v>31370</v>
      </c>
      <c r="J4673">
        <v>11</v>
      </c>
      <c r="K4673">
        <v>30</v>
      </c>
    </row>
    <row r="4674" spans="1:11">
      <c r="A4674">
        <v>90</v>
      </c>
      <c r="B4674" t="b">
        <v>0</v>
      </c>
      <c r="C4674" t="s">
        <v>45346</v>
      </c>
      <c r="D4674">
        <v>1037022454355</v>
      </c>
      <c r="E4674">
        <v>1</v>
      </c>
      <c r="F4674">
        <v>6150800406</v>
      </c>
      <c r="G4674">
        <v>1297000</v>
      </c>
      <c r="H4674" t="s">
        <v>40293</v>
      </c>
      <c r="I4674">
        <v>31372</v>
      </c>
      <c r="J4674">
        <v>2</v>
      </c>
      <c r="K4674">
        <v>10</v>
      </c>
    </row>
    <row r="4675" spans="1:11">
      <c r="A4675">
        <v>30</v>
      </c>
      <c r="B4675" t="b">
        <v>0</v>
      </c>
      <c r="C4675" t="s">
        <v>46326</v>
      </c>
      <c r="D4675">
        <v>1037022454355</v>
      </c>
      <c r="E4675">
        <v>1</v>
      </c>
      <c r="F4675">
        <v>6156612511</v>
      </c>
      <c r="G4675">
        <v>1295000</v>
      </c>
      <c r="H4675" t="s">
        <v>40293</v>
      </c>
      <c r="I4675">
        <v>31372</v>
      </c>
      <c r="J4675">
        <v>6</v>
      </c>
      <c r="K4675">
        <v>11</v>
      </c>
    </row>
    <row r="4676" spans="1:11">
      <c r="A4676">
        <v>30</v>
      </c>
      <c r="B4676" t="b">
        <v>0</v>
      </c>
      <c r="C4676" t="s">
        <v>45807</v>
      </c>
      <c r="D4676">
        <v>1037022454355</v>
      </c>
      <c r="E4676">
        <v>1</v>
      </c>
      <c r="F4676">
        <v>6121740754</v>
      </c>
      <c r="G4676">
        <v>8890000</v>
      </c>
      <c r="H4676" t="s">
        <v>40293</v>
      </c>
      <c r="I4676">
        <v>31376</v>
      </c>
      <c r="J4676">
        <v>23</v>
      </c>
      <c r="K4676">
        <v>34</v>
      </c>
    </row>
    <row r="4677" spans="1:11">
      <c r="A4677">
        <v>30</v>
      </c>
      <c r="B4677" t="b">
        <v>0</v>
      </c>
      <c r="C4677" t="s">
        <v>45157</v>
      </c>
      <c r="D4677">
        <v>1037022454355</v>
      </c>
      <c r="E4677">
        <v>1</v>
      </c>
      <c r="F4677">
        <v>6154304053</v>
      </c>
      <c r="G4677">
        <v>8889000</v>
      </c>
      <c r="H4677" t="s">
        <v>40293</v>
      </c>
      <c r="I4677">
        <v>31376</v>
      </c>
      <c r="J4677">
        <v>7</v>
      </c>
      <c r="K4677">
        <v>7</v>
      </c>
    </row>
    <row r="4678" spans="1:11">
      <c r="A4678">
        <v>90</v>
      </c>
      <c r="B4678" t="b">
        <v>0</v>
      </c>
      <c r="C4678" t="s">
        <v>41157</v>
      </c>
      <c r="D4678">
        <v>1037022454355</v>
      </c>
      <c r="E4678">
        <v>1</v>
      </c>
      <c r="F4678">
        <v>6093458319</v>
      </c>
      <c r="G4678">
        <v>11010000</v>
      </c>
      <c r="H4678" t="s">
        <v>40293</v>
      </c>
      <c r="I4678">
        <v>31378</v>
      </c>
      <c r="J4678">
        <v>2</v>
      </c>
      <c r="K4678">
        <v>4</v>
      </c>
    </row>
    <row r="4679" spans="1:11">
      <c r="A4679">
        <v>90</v>
      </c>
      <c r="B4679" t="b">
        <v>0</v>
      </c>
      <c r="C4679" t="s">
        <v>42240</v>
      </c>
      <c r="D4679">
        <v>1037022454355</v>
      </c>
      <c r="E4679">
        <v>1</v>
      </c>
      <c r="F4679">
        <v>6117552598</v>
      </c>
      <c r="G4679">
        <v>10920000</v>
      </c>
      <c r="H4679" t="s">
        <v>40293</v>
      </c>
      <c r="I4679">
        <v>31378</v>
      </c>
      <c r="J4679">
        <v>3</v>
      </c>
      <c r="K4679">
        <v>16</v>
      </c>
    </row>
    <row r="4680" spans="1:11">
      <c r="A4680">
        <v>30</v>
      </c>
      <c r="B4680" t="b">
        <v>0</v>
      </c>
      <c r="C4680" t="s">
        <v>45636</v>
      </c>
      <c r="D4680">
        <v>1037022454355</v>
      </c>
      <c r="E4680">
        <v>1</v>
      </c>
      <c r="F4680">
        <v>6156603773</v>
      </c>
      <c r="G4680">
        <v>10910000</v>
      </c>
      <c r="H4680" t="s">
        <v>40293</v>
      </c>
      <c r="I4680">
        <v>31378</v>
      </c>
      <c r="J4680">
        <v>2</v>
      </c>
      <c r="K4680">
        <v>5</v>
      </c>
    </row>
    <row r="4681" spans="1:11">
      <c r="A4681">
        <v>30</v>
      </c>
      <c r="B4681" t="b">
        <v>0</v>
      </c>
      <c r="C4681" t="s">
        <v>44885</v>
      </c>
      <c r="D4681">
        <v>1037022454355</v>
      </c>
      <c r="E4681">
        <v>1</v>
      </c>
      <c r="F4681">
        <v>6155807815</v>
      </c>
      <c r="G4681">
        <v>600000</v>
      </c>
      <c r="H4681" t="s">
        <v>40293</v>
      </c>
      <c r="I4681">
        <v>31382</v>
      </c>
      <c r="J4681">
        <v>1</v>
      </c>
      <c r="K4681">
        <v>1</v>
      </c>
    </row>
    <row r="4682" spans="1:11">
      <c r="A4682">
        <v>30</v>
      </c>
      <c r="B4682" t="b">
        <v>0</v>
      </c>
      <c r="C4682" t="s">
        <v>44518</v>
      </c>
      <c r="D4682">
        <v>1037022454355</v>
      </c>
      <c r="E4682">
        <v>1</v>
      </c>
      <c r="F4682">
        <v>6145415821</v>
      </c>
      <c r="G4682">
        <v>599900</v>
      </c>
      <c r="H4682" t="s">
        <v>40293</v>
      </c>
      <c r="I4682">
        <v>31382</v>
      </c>
      <c r="J4682">
        <v>5</v>
      </c>
      <c r="K4682">
        <v>5</v>
      </c>
    </row>
    <row r="4683" spans="1:11">
      <c r="A4683">
        <v>90</v>
      </c>
      <c r="B4683" t="b">
        <v>0</v>
      </c>
      <c r="C4683" t="s">
        <v>43223</v>
      </c>
      <c r="D4683">
        <v>1037022454355</v>
      </c>
      <c r="E4683">
        <v>1</v>
      </c>
      <c r="F4683">
        <v>6145517399</v>
      </c>
      <c r="G4683">
        <v>2000000</v>
      </c>
      <c r="H4683" t="s">
        <v>40293</v>
      </c>
      <c r="I4683">
        <v>31388</v>
      </c>
      <c r="J4683">
        <v>2</v>
      </c>
      <c r="K4683">
        <v>2</v>
      </c>
    </row>
    <row r="4684" spans="1:11">
      <c r="A4684">
        <v>90</v>
      </c>
      <c r="B4684" t="b">
        <v>0</v>
      </c>
      <c r="C4684" t="s">
        <v>44074</v>
      </c>
      <c r="D4684">
        <v>1037022454355</v>
      </c>
      <c r="E4684">
        <v>1</v>
      </c>
      <c r="F4684">
        <v>6151111133</v>
      </c>
      <c r="G4684">
        <v>100000000</v>
      </c>
      <c r="H4684" t="s">
        <v>40293</v>
      </c>
      <c r="I4684">
        <v>31392</v>
      </c>
      <c r="J4684">
        <v>2</v>
      </c>
      <c r="K4684">
        <v>2</v>
      </c>
    </row>
    <row r="4685" spans="1:11">
      <c r="A4685">
        <v>30</v>
      </c>
      <c r="B4685" t="b">
        <v>0</v>
      </c>
      <c r="C4685" t="s">
        <v>42937</v>
      </c>
      <c r="D4685">
        <v>1037022454355</v>
      </c>
      <c r="E4685">
        <v>1</v>
      </c>
      <c r="F4685">
        <v>6146922056</v>
      </c>
      <c r="G4685">
        <v>8899000</v>
      </c>
      <c r="H4685" t="s">
        <v>40293</v>
      </c>
      <c r="I4685">
        <v>31400</v>
      </c>
      <c r="J4685">
        <v>5</v>
      </c>
      <c r="K4685">
        <v>5</v>
      </c>
    </row>
    <row r="4686" spans="1:11">
      <c r="A4686">
        <v>90</v>
      </c>
      <c r="B4686" t="b">
        <v>0</v>
      </c>
      <c r="C4686" t="s">
        <v>40699</v>
      </c>
      <c r="D4686">
        <v>1037022454355</v>
      </c>
      <c r="E4686">
        <v>1</v>
      </c>
      <c r="F4686">
        <v>6107538686</v>
      </c>
      <c r="G4686">
        <v>8440000</v>
      </c>
      <c r="H4686" t="s">
        <v>40293</v>
      </c>
      <c r="I4686">
        <v>31402</v>
      </c>
      <c r="J4686">
        <v>2</v>
      </c>
      <c r="K4686">
        <v>2</v>
      </c>
    </row>
    <row r="4687" spans="1:11">
      <c r="A4687">
        <v>90</v>
      </c>
      <c r="B4687" t="b">
        <v>0</v>
      </c>
      <c r="C4687" t="s">
        <v>43297</v>
      </c>
      <c r="D4687">
        <v>1037022454355</v>
      </c>
      <c r="E4687">
        <v>1</v>
      </c>
      <c r="F4687">
        <v>6139817494</v>
      </c>
      <c r="G4687">
        <v>380000</v>
      </c>
      <c r="H4687" t="s">
        <v>40293</v>
      </c>
      <c r="I4687">
        <v>31406</v>
      </c>
      <c r="J4687">
        <v>10</v>
      </c>
      <c r="K4687">
        <v>10</v>
      </c>
    </row>
    <row r="4688" spans="1:11">
      <c r="A4688">
        <v>30</v>
      </c>
      <c r="B4688" t="b">
        <v>0</v>
      </c>
      <c r="C4688" t="s">
        <v>46237</v>
      </c>
      <c r="D4688">
        <v>1037022454355</v>
      </c>
      <c r="E4688">
        <v>1</v>
      </c>
      <c r="F4688">
        <v>6154317721</v>
      </c>
      <c r="G4688">
        <v>379900</v>
      </c>
      <c r="H4688" t="s">
        <v>40293</v>
      </c>
      <c r="I4688">
        <v>31406</v>
      </c>
      <c r="J4688">
        <v>5</v>
      </c>
      <c r="K4688">
        <v>6</v>
      </c>
    </row>
    <row r="4689" spans="1:11">
      <c r="A4689">
        <v>90</v>
      </c>
      <c r="B4689" t="b">
        <v>0</v>
      </c>
      <c r="C4689" t="s">
        <v>42543</v>
      </c>
      <c r="D4689">
        <v>1037022454355</v>
      </c>
      <c r="E4689">
        <v>1</v>
      </c>
      <c r="F4689">
        <v>6135266467</v>
      </c>
      <c r="G4689">
        <v>3104000</v>
      </c>
      <c r="H4689" t="s">
        <v>40293</v>
      </c>
      <c r="I4689">
        <v>31408</v>
      </c>
      <c r="J4689">
        <v>5</v>
      </c>
      <c r="K4689">
        <v>20</v>
      </c>
    </row>
    <row r="4690" spans="1:11">
      <c r="A4690">
        <v>90</v>
      </c>
      <c r="B4690" t="b">
        <v>0</v>
      </c>
      <c r="C4690" t="s">
        <v>45604</v>
      </c>
      <c r="D4690">
        <v>1037022454355</v>
      </c>
      <c r="E4690">
        <v>1</v>
      </c>
      <c r="F4690">
        <v>6155653198</v>
      </c>
      <c r="G4690">
        <v>3104000</v>
      </c>
      <c r="H4690" t="s">
        <v>40293</v>
      </c>
      <c r="I4690">
        <v>31408</v>
      </c>
      <c r="J4690">
        <v>20</v>
      </c>
      <c r="K4690">
        <v>20</v>
      </c>
    </row>
    <row r="4691" spans="1:11">
      <c r="A4691">
        <v>30</v>
      </c>
      <c r="B4691" t="b">
        <v>0</v>
      </c>
      <c r="C4691" t="s">
        <v>46432</v>
      </c>
      <c r="D4691">
        <v>1037022454355</v>
      </c>
      <c r="E4691">
        <v>1</v>
      </c>
      <c r="F4691">
        <v>6156614239</v>
      </c>
      <c r="G4691">
        <v>3103000</v>
      </c>
      <c r="H4691" t="s">
        <v>40293</v>
      </c>
      <c r="I4691">
        <v>31408</v>
      </c>
      <c r="J4691">
        <v>7</v>
      </c>
      <c r="K4691">
        <v>8</v>
      </c>
    </row>
    <row r="4692" spans="1:11">
      <c r="A4692">
        <v>90</v>
      </c>
      <c r="B4692" t="b">
        <v>0</v>
      </c>
      <c r="C4692" t="s">
        <v>43924</v>
      </c>
      <c r="D4692">
        <v>1037022454355</v>
      </c>
      <c r="E4692">
        <v>1</v>
      </c>
      <c r="F4692">
        <v>6141023275</v>
      </c>
      <c r="G4692">
        <v>3900000</v>
      </c>
      <c r="H4692" t="s">
        <v>40293</v>
      </c>
      <c r="I4692">
        <v>31412</v>
      </c>
      <c r="J4692">
        <v>2</v>
      </c>
      <c r="K4692">
        <v>2</v>
      </c>
    </row>
    <row r="4693" spans="1:11">
      <c r="A4693">
        <v>90</v>
      </c>
      <c r="B4693" t="b">
        <v>0</v>
      </c>
      <c r="C4693" t="s">
        <v>44975</v>
      </c>
      <c r="D4693">
        <v>1037022454355</v>
      </c>
      <c r="E4693">
        <v>1</v>
      </c>
      <c r="F4693">
        <v>6147879027</v>
      </c>
      <c r="G4693">
        <v>3200000</v>
      </c>
      <c r="H4693" t="s">
        <v>40293</v>
      </c>
      <c r="I4693">
        <v>31412</v>
      </c>
      <c r="J4693">
        <v>10</v>
      </c>
      <c r="K4693">
        <v>10</v>
      </c>
    </row>
    <row r="4694" spans="1:11">
      <c r="A4694">
        <v>30</v>
      </c>
      <c r="B4694" t="b">
        <v>0</v>
      </c>
      <c r="C4694" t="s">
        <v>46250</v>
      </c>
      <c r="D4694">
        <v>1037022454355</v>
      </c>
      <c r="E4694">
        <v>1</v>
      </c>
      <c r="F4694">
        <v>6154317973</v>
      </c>
      <c r="G4694">
        <v>3199000</v>
      </c>
      <c r="H4694" t="s">
        <v>40293</v>
      </c>
      <c r="I4694">
        <v>31412</v>
      </c>
      <c r="J4694">
        <v>8</v>
      </c>
      <c r="K4694">
        <v>8</v>
      </c>
    </row>
    <row r="4695" spans="1:11">
      <c r="A4695">
        <v>30</v>
      </c>
      <c r="B4695" t="b">
        <v>0</v>
      </c>
      <c r="C4695" t="s">
        <v>45538</v>
      </c>
      <c r="D4695">
        <v>1037022454355</v>
      </c>
      <c r="E4695">
        <v>1</v>
      </c>
      <c r="F4695">
        <v>6152572147</v>
      </c>
      <c r="G4695">
        <v>17090000</v>
      </c>
      <c r="H4695" t="s">
        <v>40293</v>
      </c>
      <c r="I4695">
        <v>31414</v>
      </c>
      <c r="J4695">
        <v>8</v>
      </c>
      <c r="K4695">
        <v>10</v>
      </c>
    </row>
    <row r="4696" spans="1:11">
      <c r="A4696">
        <v>30</v>
      </c>
      <c r="B4696" t="b">
        <v>0</v>
      </c>
      <c r="C4696" t="s">
        <v>43225</v>
      </c>
      <c r="D4696">
        <v>1037022454355</v>
      </c>
      <c r="E4696">
        <v>1</v>
      </c>
      <c r="F4696">
        <v>6146926492</v>
      </c>
      <c r="G4696">
        <v>5400000</v>
      </c>
      <c r="H4696" t="s">
        <v>40293</v>
      </c>
      <c r="I4696">
        <v>31418</v>
      </c>
      <c r="J4696">
        <v>5</v>
      </c>
      <c r="K4696">
        <v>5</v>
      </c>
    </row>
    <row r="4697" spans="1:11">
      <c r="A4697">
        <v>90</v>
      </c>
      <c r="B4697" t="b">
        <v>0</v>
      </c>
      <c r="C4697" t="s">
        <v>43366</v>
      </c>
      <c r="D4697">
        <v>1037022454355</v>
      </c>
      <c r="E4697">
        <v>1</v>
      </c>
      <c r="F4697">
        <v>6145498659</v>
      </c>
      <c r="G4697">
        <v>1500000</v>
      </c>
      <c r="H4697" t="s">
        <v>40293</v>
      </c>
      <c r="I4697">
        <v>31426</v>
      </c>
      <c r="J4697">
        <v>4</v>
      </c>
      <c r="K4697">
        <v>4</v>
      </c>
    </row>
    <row r="4698" spans="1:11">
      <c r="A4698">
        <v>30</v>
      </c>
      <c r="B4698" t="b">
        <v>0</v>
      </c>
      <c r="C4698" t="s">
        <v>43231</v>
      </c>
      <c r="D4698">
        <v>1037022454355</v>
      </c>
      <c r="E4698">
        <v>1</v>
      </c>
      <c r="F4698">
        <v>6146926772</v>
      </c>
      <c r="G4698">
        <v>9201000</v>
      </c>
      <c r="H4698" t="s">
        <v>40293</v>
      </c>
      <c r="I4698">
        <v>31436</v>
      </c>
      <c r="J4698">
        <v>5</v>
      </c>
      <c r="K4698">
        <v>5</v>
      </c>
    </row>
    <row r="4699" spans="1:11">
      <c r="A4699">
        <v>90</v>
      </c>
      <c r="B4699" t="b">
        <v>0</v>
      </c>
      <c r="C4699" t="s">
        <v>43366</v>
      </c>
      <c r="D4699">
        <v>1037022454355</v>
      </c>
      <c r="E4699">
        <v>1</v>
      </c>
      <c r="F4699">
        <v>6145498660</v>
      </c>
      <c r="G4699">
        <v>632000</v>
      </c>
      <c r="H4699" t="s">
        <v>40293</v>
      </c>
      <c r="I4699">
        <v>31438</v>
      </c>
      <c r="J4699">
        <v>2</v>
      </c>
      <c r="K4699">
        <v>2</v>
      </c>
    </row>
    <row r="4700" spans="1:11">
      <c r="A4700">
        <v>30</v>
      </c>
      <c r="B4700" t="b">
        <v>0</v>
      </c>
      <c r="C4700" t="s">
        <v>43201</v>
      </c>
      <c r="D4700">
        <v>1037022454355</v>
      </c>
      <c r="E4700">
        <v>1</v>
      </c>
      <c r="F4700">
        <v>6146925598</v>
      </c>
      <c r="G4700">
        <v>631900</v>
      </c>
      <c r="H4700" t="s">
        <v>40293</v>
      </c>
      <c r="I4700">
        <v>31438</v>
      </c>
      <c r="J4700">
        <v>5</v>
      </c>
      <c r="K4700">
        <v>5</v>
      </c>
    </row>
    <row r="4701" spans="1:11">
      <c r="A4701">
        <v>30</v>
      </c>
      <c r="B4701" t="b">
        <v>0</v>
      </c>
      <c r="C4701" t="s">
        <v>43927</v>
      </c>
      <c r="D4701">
        <v>1037022454355</v>
      </c>
      <c r="E4701">
        <v>1</v>
      </c>
      <c r="F4701">
        <v>6146926997</v>
      </c>
      <c r="G4701">
        <v>5401000</v>
      </c>
      <c r="H4701" t="s">
        <v>40293</v>
      </c>
      <c r="I4701">
        <v>31442</v>
      </c>
      <c r="J4701">
        <v>4</v>
      </c>
      <c r="K4701">
        <v>5</v>
      </c>
    </row>
    <row r="4702" spans="1:11">
      <c r="A4702">
        <v>90</v>
      </c>
      <c r="B4702" t="b">
        <v>0</v>
      </c>
      <c r="C4702" t="s">
        <v>42434</v>
      </c>
      <c r="D4702">
        <v>1037022454355</v>
      </c>
      <c r="E4702">
        <v>1</v>
      </c>
      <c r="F4702">
        <v>6135260571</v>
      </c>
      <c r="G4702">
        <v>1500000</v>
      </c>
      <c r="H4702" t="s">
        <v>40293</v>
      </c>
      <c r="I4702">
        <v>31444</v>
      </c>
      <c r="J4702">
        <v>2</v>
      </c>
      <c r="K4702">
        <v>8</v>
      </c>
    </row>
    <row r="4703" spans="1:11">
      <c r="A4703">
        <v>30</v>
      </c>
      <c r="B4703" t="b">
        <v>0</v>
      </c>
      <c r="C4703" t="s">
        <v>43081</v>
      </c>
      <c r="D4703">
        <v>1037022454355</v>
      </c>
      <c r="E4703">
        <v>1</v>
      </c>
      <c r="F4703">
        <v>6145939410</v>
      </c>
      <c r="G4703">
        <v>1499000</v>
      </c>
      <c r="H4703" t="s">
        <v>40293</v>
      </c>
      <c r="I4703">
        <v>31444</v>
      </c>
      <c r="J4703">
        <v>4</v>
      </c>
      <c r="K4703">
        <v>5</v>
      </c>
    </row>
    <row r="4704" spans="1:11">
      <c r="A4704">
        <v>90</v>
      </c>
      <c r="B4704" t="b">
        <v>0</v>
      </c>
      <c r="C4704" t="s">
        <v>44232</v>
      </c>
      <c r="D4704">
        <v>1037022454355</v>
      </c>
      <c r="E4704">
        <v>1</v>
      </c>
      <c r="F4704">
        <v>6099173816</v>
      </c>
      <c r="G4704">
        <v>1915000</v>
      </c>
      <c r="H4704" t="s">
        <v>40293</v>
      </c>
      <c r="I4704">
        <v>31448</v>
      </c>
      <c r="J4704">
        <v>2</v>
      </c>
      <c r="K4704">
        <v>6</v>
      </c>
    </row>
    <row r="4705" spans="1:11">
      <c r="A4705">
        <v>30</v>
      </c>
      <c r="B4705" t="b">
        <v>0</v>
      </c>
      <c r="C4705" t="s">
        <v>46523</v>
      </c>
      <c r="D4705">
        <v>1037022454355</v>
      </c>
      <c r="E4705">
        <v>1</v>
      </c>
      <c r="F4705">
        <v>6145244661</v>
      </c>
      <c r="G4705">
        <v>1914000</v>
      </c>
      <c r="H4705" t="s">
        <v>40293</v>
      </c>
      <c r="I4705">
        <v>31448</v>
      </c>
      <c r="J4705">
        <v>5</v>
      </c>
      <c r="K4705">
        <v>5</v>
      </c>
    </row>
    <row r="4706" spans="1:11">
      <c r="A4706">
        <v>90</v>
      </c>
      <c r="B4706" t="b">
        <v>0</v>
      </c>
      <c r="C4706" t="s">
        <v>42469</v>
      </c>
      <c r="D4706">
        <v>1037022454355</v>
      </c>
      <c r="E4706">
        <v>1</v>
      </c>
      <c r="F4706">
        <v>6135295192</v>
      </c>
      <c r="G4706">
        <v>7000000</v>
      </c>
      <c r="H4706" t="s">
        <v>40293</v>
      </c>
      <c r="I4706">
        <v>31450</v>
      </c>
      <c r="J4706">
        <v>1</v>
      </c>
      <c r="K4706">
        <v>1</v>
      </c>
    </row>
    <row r="4707" spans="1:11">
      <c r="A4707">
        <v>90</v>
      </c>
      <c r="B4707" t="b">
        <v>0</v>
      </c>
      <c r="C4707" t="s">
        <v>43366</v>
      </c>
      <c r="D4707">
        <v>1037022454355</v>
      </c>
      <c r="E4707">
        <v>1</v>
      </c>
      <c r="F4707">
        <v>6145498661</v>
      </c>
      <c r="G4707">
        <v>6989000</v>
      </c>
      <c r="H4707" t="s">
        <v>40293</v>
      </c>
      <c r="I4707">
        <v>31450</v>
      </c>
      <c r="J4707">
        <v>2</v>
      </c>
      <c r="K4707">
        <v>2</v>
      </c>
    </row>
    <row r="4708" spans="1:11">
      <c r="A4708">
        <v>30</v>
      </c>
      <c r="B4708" t="b">
        <v>0</v>
      </c>
      <c r="C4708" t="s">
        <v>43875</v>
      </c>
      <c r="D4708">
        <v>1037022454355</v>
      </c>
      <c r="E4708">
        <v>1</v>
      </c>
      <c r="F4708">
        <v>6145242279</v>
      </c>
      <c r="G4708">
        <v>6988000</v>
      </c>
      <c r="H4708" t="s">
        <v>40293</v>
      </c>
      <c r="I4708">
        <v>31450</v>
      </c>
      <c r="J4708">
        <v>5</v>
      </c>
      <c r="K4708">
        <v>5</v>
      </c>
    </row>
    <row r="4709" spans="1:11">
      <c r="A4709">
        <v>30</v>
      </c>
      <c r="B4709" t="b">
        <v>0</v>
      </c>
      <c r="C4709" t="s">
        <v>44265</v>
      </c>
      <c r="D4709">
        <v>1037022454355</v>
      </c>
      <c r="E4709">
        <v>1</v>
      </c>
      <c r="F4709">
        <v>6146927191</v>
      </c>
      <c r="G4709">
        <v>5398000</v>
      </c>
      <c r="H4709" t="s">
        <v>40293</v>
      </c>
      <c r="I4709">
        <v>31454</v>
      </c>
      <c r="J4709">
        <v>4</v>
      </c>
      <c r="K4709">
        <v>5</v>
      </c>
    </row>
    <row r="4710" spans="1:11">
      <c r="A4710">
        <v>30</v>
      </c>
      <c r="B4710" t="b">
        <v>0</v>
      </c>
      <c r="C4710" t="s">
        <v>43186</v>
      </c>
      <c r="D4710">
        <v>1037022454355</v>
      </c>
      <c r="E4710">
        <v>1</v>
      </c>
      <c r="F4710">
        <v>6146925152</v>
      </c>
      <c r="G4710">
        <v>5400000</v>
      </c>
      <c r="H4710" t="s">
        <v>40293</v>
      </c>
      <c r="I4710">
        <v>31456</v>
      </c>
      <c r="J4710">
        <v>5</v>
      </c>
      <c r="K4710">
        <v>5</v>
      </c>
    </row>
    <row r="4711" spans="1:11">
      <c r="A4711">
        <v>90</v>
      </c>
      <c r="B4711" t="b">
        <v>0</v>
      </c>
      <c r="C4711" t="s">
        <v>45030</v>
      </c>
      <c r="D4711">
        <v>1037022454355</v>
      </c>
      <c r="E4711">
        <v>1</v>
      </c>
      <c r="F4711">
        <v>6152401726</v>
      </c>
      <c r="G4711">
        <v>2230000</v>
      </c>
      <c r="H4711" t="s">
        <v>40293</v>
      </c>
      <c r="I4711">
        <v>31460</v>
      </c>
      <c r="J4711">
        <v>1</v>
      </c>
      <c r="K4711">
        <v>1</v>
      </c>
    </row>
    <row r="4712" spans="1:11">
      <c r="A4712">
        <v>90</v>
      </c>
      <c r="B4712" t="b">
        <v>0</v>
      </c>
      <c r="C4712" t="s">
        <v>46146</v>
      </c>
      <c r="D4712">
        <v>1037022454355</v>
      </c>
      <c r="E4712">
        <v>1</v>
      </c>
      <c r="F4712">
        <v>6135638691</v>
      </c>
      <c r="G4712">
        <v>2229000</v>
      </c>
      <c r="H4712" t="s">
        <v>40293</v>
      </c>
      <c r="I4712">
        <v>31460</v>
      </c>
      <c r="J4712">
        <v>3</v>
      </c>
      <c r="K4712">
        <v>6</v>
      </c>
    </row>
    <row r="4713" spans="1:11">
      <c r="A4713">
        <v>30</v>
      </c>
      <c r="B4713" t="b">
        <v>0</v>
      </c>
      <c r="C4713" t="s">
        <v>46129</v>
      </c>
      <c r="D4713">
        <v>1037022454355</v>
      </c>
      <c r="E4713">
        <v>1</v>
      </c>
      <c r="F4713">
        <v>6156609975</v>
      </c>
      <c r="G4713">
        <v>2228000</v>
      </c>
      <c r="H4713" t="s">
        <v>40293</v>
      </c>
      <c r="I4713">
        <v>31460</v>
      </c>
      <c r="J4713">
        <v>13</v>
      </c>
      <c r="K4713">
        <v>13</v>
      </c>
    </row>
    <row r="4714" spans="1:11">
      <c r="A4714">
        <v>90</v>
      </c>
      <c r="B4714" t="b">
        <v>0</v>
      </c>
      <c r="C4714" t="s">
        <v>46522</v>
      </c>
      <c r="D4714">
        <v>1037022454355</v>
      </c>
      <c r="E4714">
        <v>1</v>
      </c>
      <c r="F4714">
        <v>6135638606</v>
      </c>
      <c r="G4714">
        <v>4373000</v>
      </c>
      <c r="H4714" t="s">
        <v>40293</v>
      </c>
      <c r="I4714">
        <v>31462</v>
      </c>
      <c r="J4714">
        <v>2</v>
      </c>
      <c r="K4714">
        <v>2</v>
      </c>
    </row>
    <row r="4715" spans="1:11">
      <c r="A4715">
        <v>30</v>
      </c>
      <c r="B4715" t="b">
        <v>0</v>
      </c>
      <c r="C4715" t="s">
        <v>46348</v>
      </c>
      <c r="D4715">
        <v>1037022454355</v>
      </c>
      <c r="E4715">
        <v>1</v>
      </c>
      <c r="F4715">
        <v>6145242427</v>
      </c>
      <c r="G4715">
        <v>4372000</v>
      </c>
      <c r="H4715" t="s">
        <v>40293</v>
      </c>
      <c r="I4715">
        <v>31462</v>
      </c>
      <c r="J4715">
        <v>5</v>
      </c>
      <c r="K4715">
        <v>5</v>
      </c>
    </row>
    <row r="4716" spans="1:11">
      <c r="A4716">
        <v>30</v>
      </c>
      <c r="B4716" t="b">
        <v>0</v>
      </c>
      <c r="C4716" t="s">
        <v>43269</v>
      </c>
      <c r="D4716">
        <v>1037022454355</v>
      </c>
      <c r="E4716">
        <v>1</v>
      </c>
      <c r="F4716">
        <v>6146927412</v>
      </c>
      <c r="G4716">
        <v>5400000</v>
      </c>
      <c r="H4716" t="s">
        <v>40293</v>
      </c>
      <c r="I4716">
        <v>31466</v>
      </c>
      <c r="J4716">
        <v>5</v>
      </c>
      <c r="K4716">
        <v>5</v>
      </c>
    </row>
    <row r="4717" spans="1:11">
      <c r="A4717">
        <v>30</v>
      </c>
      <c r="B4717" t="b">
        <v>0</v>
      </c>
      <c r="C4717" t="s">
        <v>43277</v>
      </c>
      <c r="D4717">
        <v>1037022454355</v>
      </c>
      <c r="E4717">
        <v>1</v>
      </c>
      <c r="F4717">
        <v>6146927652</v>
      </c>
      <c r="G4717">
        <v>9199000</v>
      </c>
      <c r="H4717" t="s">
        <v>40293</v>
      </c>
      <c r="I4717">
        <v>31472</v>
      </c>
      <c r="J4717">
        <v>5</v>
      </c>
      <c r="K4717">
        <v>5</v>
      </c>
    </row>
    <row r="4718" spans="1:11">
      <c r="A4718">
        <v>30</v>
      </c>
      <c r="B4718" t="b">
        <v>0</v>
      </c>
      <c r="C4718" t="s">
        <v>44350</v>
      </c>
      <c r="D4718">
        <v>1037022454355</v>
      </c>
      <c r="E4718">
        <v>1</v>
      </c>
      <c r="F4718">
        <v>6157111590</v>
      </c>
      <c r="G4718">
        <v>1220000</v>
      </c>
      <c r="H4718" t="s">
        <v>40293</v>
      </c>
      <c r="I4718">
        <v>31478</v>
      </c>
      <c r="J4718">
        <v>12</v>
      </c>
      <c r="K4718">
        <v>12</v>
      </c>
    </row>
    <row r="4719" spans="1:11">
      <c r="A4719">
        <v>30</v>
      </c>
      <c r="B4719" t="b">
        <v>0</v>
      </c>
      <c r="C4719" t="s">
        <v>43208</v>
      </c>
      <c r="D4719">
        <v>1037022454355</v>
      </c>
      <c r="E4719">
        <v>1</v>
      </c>
      <c r="F4719">
        <v>6146925838</v>
      </c>
      <c r="G4719">
        <v>5400000</v>
      </c>
      <c r="H4719" t="s">
        <v>40293</v>
      </c>
      <c r="I4719">
        <v>31480</v>
      </c>
      <c r="J4719">
        <v>4</v>
      </c>
      <c r="K4719">
        <v>5</v>
      </c>
    </row>
    <row r="4720" spans="1:11">
      <c r="A4720">
        <v>90</v>
      </c>
      <c r="B4720" t="b">
        <v>0</v>
      </c>
      <c r="C4720" t="s">
        <v>40622</v>
      </c>
      <c r="D4720">
        <v>1037022454355</v>
      </c>
      <c r="E4720">
        <v>1</v>
      </c>
      <c r="F4720">
        <v>6072868084</v>
      </c>
      <c r="G4720">
        <v>1498000</v>
      </c>
      <c r="H4720" t="s">
        <v>40293</v>
      </c>
      <c r="I4720">
        <v>31484</v>
      </c>
      <c r="J4720">
        <v>2</v>
      </c>
      <c r="K4720">
        <v>10</v>
      </c>
    </row>
    <row r="4721" spans="1:11">
      <c r="A4721">
        <v>90</v>
      </c>
      <c r="B4721" t="b">
        <v>0</v>
      </c>
      <c r="C4721" t="s">
        <v>41679</v>
      </c>
      <c r="D4721">
        <v>1037022454355</v>
      </c>
      <c r="E4721">
        <v>1</v>
      </c>
      <c r="F4721">
        <v>6119356421</v>
      </c>
      <c r="G4721">
        <v>1491000</v>
      </c>
      <c r="H4721" t="s">
        <v>40293</v>
      </c>
      <c r="I4721">
        <v>31484</v>
      </c>
      <c r="J4721">
        <v>2</v>
      </c>
      <c r="K4721">
        <v>2</v>
      </c>
    </row>
    <row r="4722" spans="1:11">
      <c r="A4722">
        <v>90</v>
      </c>
      <c r="B4722" t="b">
        <v>0</v>
      </c>
      <c r="C4722" t="s">
        <v>42570</v>
      </c>
      <c r="D4722">
        <v>1037022454355</v>
      </c>
      <c r="E4722">
        <v>1</v>
      </c>
      <c r="F4722">
        <v>6089982552</v>
      </c>
      <c r="G4722">
        <v>1482000</v>
      </c>
      <c r="H4722" t="s">
        <v>40293</v>
      </c>
      <c r="I4722">
        <v>31484</v>
      </c>
      <c r="J4722">
        <v>6</v>
      </c>
      <c r="K4722">
        <v>10</v>
      </c>
    </row>
    <row r="4723" spans="1:11">
      <c r="A4723">
        <v>90</v>
      </c>
      <c r="B4723" t="b">
        <v>0</v>
      </c>
      <c r="C4723" t="s">
        <v>43679</v>
      </c>
      <c r="D4723">
        <v>1037022454355</v>
      </c>
      <c r="E4723">
        <v>1</v>
      </c>
      <c r="F4723">
        <v>6076325129</v>
      </c>
      <c r="G4723">
        <v>1480000</v>
      </c>
      <c r="H4723" t="s">
        <v>40293</v>
      </c>
      <c r="I4723">
        <v>31484</v>
      </c>
      <c r="J4723">
        <v>16</v>
      </c>
      <c r="K4723">
        <v>20</v>
      </c>
    </row>
    <row r="4724" spans="1:11">
      <c r="A4724">
        <v>90</v>
      </c>
      <c r="B4724" t="b">
        <v>0</v>
      </c>
      <c r="C4724" t="s">
        <v>43223</v>
      </c>
      <c r="D4724">
        <v>1037022454355</v>
      </c>
      <c r="E4724">
        <v>1</v>
      </c>
      <c r="F4724">
        <v>6145517403</v>
      </c>
      <c r="G4724">
        <v>1477000</v>
      </c>
      <c r="H4724" t="s">
        <v>40293</v>
      </c>
      <c r="I4724">
        <v>31484</v>
      </c>
      <c r="J4724">
        <v>88</v>
      </c>
      <c r="K4724">
        <v>100</v>
      </c>
    </row>
    <row r="4725" spans="1:11">
      <c r="A4725">
        <v>90</v>
      </c>
      <c r="B4725" t="b">
        <v>0</v>
      </c>
      <c r="C4725" t="s">
        <v>45391</v>
      </c>
      <c r="D4725">
        <v>1037022454355</v>
      </c>
      <c r="E4725">
        <v>1</v>
      </c>
      <c r="F4725">
        <v>6144673397</v>
      </c>
      <c r="G4725">
        <v>1475000</v>
      </c>
      <c r="H4725" t="s">
        <v>40293</v>
      </c>
      <c r="I4725">
        <v>31484</v>
      </c>
      <c r="J4725">
        <v>3</v>
      </c>
      <c r="K4725">
        <v>4</v>
      </c>
    </row>
    <row r="4726" spans="1:11">
      <c r="A4726">
        <v>30</v>
      </c>
      <c r="B4726" t="b">
        <v>0</v>
      </c>
      <c r="C4726" t="s">
        <v>46120</v>
      </c>
      <c r="D4726">
        <v>1037022454355</v>
      </c>
      <c r="E4726">
        <v>1</v>
      </c>
      <c r="F4726">
        <v>6154316080</v>
      </c>
      <c r="G4726">
        <v>1474000</v>
      </c>
      <c r="H4726" t="s">
        <v>40293</v>
      </c>
      <c r="I4726">
        <v>31484</v>
      </c>
      <c r="J4726">
        <v>7</v>
      </c>
      <c r="K4726">
        <v>10</v>
      </c>
    </row>
    <row r="4727" spans="1:11">
      <c r="A4727">
        <v>30</v>
      </c>
      <c r="B4727" t="b">
        <v>0</v>
      </c>
      <c r="C4727" t="s">
        <v>44120</v>
      </c>
      <c r="D4727">
        <v>1037022454355</v>
      </c>
      <c r="E4727">
        <v>1</v>
      </c>
      <c r="F4727">
        <v>6150936068</v>
      </c>
      <c r="G4727">
        <v>9851000</v>
      </c>
      <c r="H4727" t="s">
        <v>40293</v>
      </c>
      <c r="I4727">
        <v>31486</v>
      </c>
      <c r="J4727">
        <v>6</v>
      </c>
      <c r="K4727">
        <v>12</v>
      </c>
    </row>
    <row r="4728" spans="1:11">
      <c r="A4728">
        <v>30</v>
      </c>
      <c r="B4728" t="b">
        <v>0</v>
      </c>
      <c r="C4728" t="s">
        <v>45585</v>
      </c>
      <c r="D4728">
        <v>1037022454355</v>
      </c>
      <c r="E4728">
        <v>1</v>
      </c>
      <c r="F4728">
        <v>6148509493</v>
      </c>
      <c r="G4728">
        <v>20530000</v>
      </c>
      <c r="H4728" t="s">
        <v>40293</v>
      </c>
      <c r="I4728">
        <v>31488</v>
      </c>
      <c r="J4728">
        <v>4</v>
      </c>
      <c r="K4728">
        <v>5</v>
      </c>
    </row>
    <row r="4729" spans="1:11">
      <c r="A4729">
        <v>30</v>
      </c>
      <c r="B4729" t="b">
        <v>0</v>
      </c>
      <c r="C4729" t="s">
        <v>43285</v>
      </c>
      <c r="D4729">
        <v>1037022454355</v>
      </c>
      <c r="E4729">
        <v>1</v>
      </c>
      <c r="F4729">
        <v>6146927799</v>
      </c>
      <c r="G4729">
        <v>5399000</v>
      </c>
      <c r="H4729" t="s">
        <v>40293</v>
      </c>
      <c r="I4729">
        <v>31490</v>
      </c>
      <c r="J4729">
        <v>5</v>
      </c>
      <c r="K4729">
        <v>5</v>
      </c>
    </row>
    <row r="4730" spans="1:11">
      <c r="A4730">
        <v>30</v>
      </c>
      <c r="B4730" t="b">
        <v>0</v>
      </c>
      <c r="C4730" t="s">
        <v>43292</v>
      </c>
      <c r="D4730">
        <v>1037022454355</v>
      </c>
      <c r="E4730">
        <v>1</v>
      </c>
      <c r="F4730">
        <v>6146928042</v>
      </c>
      <c r="G4730">
        <v>9200000</v>
      </c>
      <c r="H4730" t="s">
        <v>40293</v>
      </c>
      <c r="I4730">
        <v>31496</v>
      </c>
      <c r="J4730">
        <v>5</v>
      </c>
      <c r="K4730">
        <v>5</v>
      </c>
    </row>
    <row r="4731" spans="1:11">
      <c r="A4731">
        <v>30</v>
      </c>
      <c r="B4731" t="b">
        <v>0</v>
      </c>
      <c r="C4731" t="s">
        <v>43219</v>
      </c>
      <c r="D4731">
        <v>1037022454355</v>
      </c>
      <c r="E4731">
        <v>1</v>
      </c>
      <c r="F4731">
        <v>6146926371</v>
      </c>
      <c r="G4731">
        <v>9199000</v>
      </c>
      <c r="H4731" t="s">
        <v>40293</v>
      </c>
      <c r="I4731">
        <v>31498</v>
      </c>
      <c r="J4731">
        <v>5</v>
      </c>
      <c r="K4731">
        <v>5</v>
      </c>
    </row>
    <row r="4732" spans="1:11">
      <c r="A4732">
        <v>90</v>
      </c>
      <c r="B4732" t="b">
        <v>0</v>
      </c>
      <c r="C4732" t="s">
        <v>41614</v>
      </c>
      <c r="D4732">
        <v>1037022454355</v>
      </c>
      <c r="E4732">
        <v>1</v>
      </c>
      <c r="F4732">
        <v>6099669787</v>
      </c>
      <c r="G4732">
        <v>135000000</v>
      </c>
      <c r="H4732" t="s">
        <v>40293</v>
      </c>
      <c r="I4732">
        <v>31500</v>
      </c>
      <c r="J4732">
        <v>2</v>
      </c>
      <c r="K4732">
        <v>4</v>
      </c>
    </row>
    <row r="4733" spans="1:11">
      <c r="A4733">
        <v>30</v>
      </c>
      <c r="B4733" t="b">
        <v>0</v>
      </c>
      <c r="C4733" t="s">
        <v>43328</v>
      </c>
      <c r="D4733">
        <v>1037022454355</v>
      </c>
      <c r="E4733">
        <v>1</v>
      </c>
      <c r="F4733">
        <v>6146928904</v>
      </c>
      <c r="G4733">
        <v>4200000</v>
      </c>
      <c r="H4733" t="s">
        <v>40293</v>
      </c>
      <c r="I4733">
        <v>31502</v>
      </c>
      <c r="J4733">
        <v>5</v>
      </c>
      <c r="K4733">
        <v>5</v>
      </c>
    </row>
    <row r="4734" spans="1:11">
      <c r="A4734">
        <v>90</v>
      </c>
      <c r="B4734" t="b">
        <v>0</v>
      </c>
      <c r="C4734" t="s">
        <v>42825</v>
      </c>
      <c r="D4734">
        <v>1037022454355</v>
      </c>
      <c r="E4734">
        <v>1</v>
      </c>
      <c r="F4734">
        <v>6070695657</v>
      </c>
      <c r="G4734">
        <v>2854000</v>
      </c>
      <c r="H4734" t="s">
        <v>40293</v>
      </c>
      <c r="I4734">
        <v>31504</v>
      </c>
      <c r="J4734">
        <v>3</v>
      </c>
      <c r="K4734">
        <v>3</v>
      </c>
    </row>
    <row r="4735" spans="1:11">
      <c r="A4735">
        <v>30</v>
      </c>
      <c r="B4735" t="b">
        <v>0</v>
      </c>
      <c r="C4735" t="s">
        <v>42997</v>
      </c>
      <c r="D4735">
        <v>1037022454355</v>
      </c>
      <c r="E4735">
        <v>1</v>
      </c>
      <c r="F4735">
        <v>6145937159</v>
      </c>
      <c r="G4735">
        <v>2853000</v>
      </c>
      <c r="H4735" t="s">
        <v>40293</v>
      </c>
      <c r="I4735">
        <v>31504</v>
      </c>
      <c r="J4735">
        <v>5</v>
      </c>
      <c r="K4735">
        <v>5</v>
      </c>
    </row>
    <row r="4736" spans="1:11">
      <c r="A4736">
        <v>90</v>
      </c>
      <c r="B4736" t="b">
        <v>0</v>
      </c>
      <c r="C4736" t="s">
        <v>42830</v>
      </c>
      <c r="D4736">
        <v>1037022454355</v>
      </c>
      <c r="E4736">
        <v>1</v>
      </c>
      <c r="F4736">
        <v>6070695919</v>
      </c>
      <c r="G4736">
        <v>1993000</v>
      </c>
      <c r="H4736" t="s">
        <v>40293</v>
      </c>
      <c r="I4736">
        <v>31516</v>
      </c>
      <c r="J4736">
        <v>5</v>
      </c>
      <c r="K4736">
        <v>10</v>
      </c>
    </row>
    <row r="4737" spans="1:11">
      <c r="A4737">
        <v>30</v>
      </c>
      <c r="B4737" t="b">
        <v>0</v>
      </c>
      <c r="C4737" t="s">
        <v>43244</v>
      </c>
      <c r="D4737">
        <v>1037022454355</v>
      </c>
      <c r="E4737">
        <v>1</v>
      </c>
      <c r="F4737">
        <v>6146929037</v>
      </c>
      <c r="G4737">
        <v>9200000</v>
      </c>
      <c r="H4737" t="s">
        <v>40293</v>
      </c>
      <c r="I4737">
        <v>31520</v>
      </c>
      <c r="J4737">
        <v>5</v>
      </c>
      <c r="K4737">
        <v>5</v>
      </c>
    </row>
    <row r="4738" spans="1:11">
      <c r="A4738">
        <v>30</v>
      </c>
      <c r="B4738" t="b">
        <v>0</v>
      </c>
      <c r="C4738" t="s">
        <v>43300</v>
      </c>
      <c r="D4738">
        <v>1037022454355</v>
      </c>
      <c r="E4738">
        <v>1</v>
      </c>
      <c r="F4738">
        <v>6146928225</v>
      </c>
      <c r="G4738">
        <v>9200000</v>
      </c>
      <c r="H4738" t="s">
        <v>40293</v>
      </c>
      <c r="I4738">
        <v>31522</v>
      </c>
      <c r="J4738">
        <v>5</v>
      </c>
      <c r="K4738">
        <v>5</v>
      </c>
    </row>
    <row r="4739" spans="1:11">
      <c r="A4739">
        <v>90</v>
      </c>
      <c r="B4739" t="b">
        <v>0</v>
      </c>
      <c r="C4739" t="s">
        <v>45859</v>
      </c>
      <c r="D4739">
        <v>1037022454355</v>
      </c>
      <c r="E4739">
        <v>1</v>
      </c>
      <c r="F4739">
        <v>6069607352</v>
      </c>
      <c r="G4739">
        <v>777300</v>
      </c>
      <c r="H4739" t="s">
        <v>40293</v>
      </c>
      <c r="I4739">
        <v>31526</v>
      </c>
      <c r="J4739">
        <v>8</v>
      </c>
      <c r="K4739">
        <v>46</v>
      </c>
    </row>
    <row r="4740" spans="1:11">
      <c r="A4740">
        <v>30</v>
      </c>
      <c r="B4740" t="b">
        <v>0</v>
      </c>
      <c r="C4740" t="s">
        <v>45853</v>
      </c>
      <c r="D4740">
        <v>1037022454355</v>
      </c>
      <c r="E4740">
        <v>1</v>
      </c>
      <c r="F4740">
        <v>6150282109</v>
      </c>
      <c r="G4740">
        <v>777200</v>
      </c>
      <c r="H4740" t="s">
        <v>40293</v>
      </c>
      <c r="I4740">
        <v>31526</v>
      </c>
      <c r="J4740">
        <v>4</v>
      </c>
      <c r="K4740">
        <v>5</v>
      </c>
    </row>
    <row r="4741" spans="1:11">
      <c r="A4741">
        <v>90</v>
      </c>
      <c r="B4741" t="b">
        <v>0</v>
      </c>
      <c r="C4741" t="s">
        <v>44694</v>
      </c>
      <c r="D4741">
        <v>1037022454355</v>
      </c>
      <c r="E4741">
        <v>1</v>
      </c>
      <c r="F4741">
        <v>6151316274</v>
      </c>
      <c r="G4741">
        <v>3250000</v>
      </c>
      <c r="H4741" t="s">
        <v>40293</v>
      </c>
      <c r="I4741">
        <v>31528</v>
      </c>
      <c r="J4741">
        <v>25</v>
      </c>
      <c r="K4741">
        <v>25</v>
      </c>
    </row>
    <row r="4742" spans="1:11">
      <c r="A4742">
        <v>90</v>
      </c>
      <c r="B4742" t="b">
        <v>0</v>
      </c>
      <c r="C4742" t="s">
        <v>42211</v>
      </c>
      <c r="D4742">
        <v>1037022454355</v>
      </c>
      <c r="E4742">
        <v>1</v>
      </c>
      <c r="F4742">
        <v>6067775219</v>
      </c>
      <c r="G4742">
        <v>4199000</v>
      </c>
      <c r="H4742" t="s">
        <v>40293</v>
      </c>
      <c r="I4742">
        <v>31532</v>
      </c>
      <c r="J4742">
        <v>50</v>
      </c>
      <c r="K4742">
        <v>50</v>
      </c>
    </row>
    <row r="4743" spans="1:11">
      <c r="A4743">
        <v>90</v>
      </c>
      <c r="B4743" t="b">
        <v>0</v>
      </c>
      <c r="C4743" t="s">
        <v>40760</v>
      </c>
      <c r="D4743">
        <v>1037022454355</v>
      </c>
      <c r="E4743">
        <v>1</v>
      </c>
      <c r="F4743">
        <v>6067857772</v>
      </c>
      <c r="G4743">
        <v>1394000</v>
      </c>
      <c r="H4743" t="s">
        <v>40293</v>
      </c>
      <c r="I4743">
        <v>31532</v>
      </c>
      <c r="J4743">
        <v>25</v>
      </c>
      <c r="K4743">
        <v>40</v>
      </c>
    </row>
    <row r="4744" spans="1:11">
      <c r="A4744">
        <v>90</v>
      </c>
      <c r="B4744" t="b">
        <v>0</v>
      </c>
      <c r="C4744" t="s">
        <v>44795</v>
      </c>
      <c r="D4744">
        <v>1037022454355</v>
      </c>
      <c r="E4744">
        <v>1</v>
      </c>
      <c r="F4744">
        <v>6145517404</v>
      </c>
      <c r="G4744">
        <v>1391000</v>
      </c>
      <c r="H4744" t="s">
        <v>40293</v>
      </c>
      <c r="I4744">
        <v>31532</v>
      </c>
      <c r="J4744">
        <v>69</v>
      </c>
      <c r="K4744">
        <v>69</v>
      </c>
    </row>
    <row r="4745" spans="1:11">
      <c r="A4745">
        <v>30</v>
      </c>
      <c r="B4745" t="b">
        <v>0</v>
      </c>
      <c r="C4745" t="s">
        <v>45011</v>
      </c>
      <c r="D4745">
        <v>1037022454355</v>
      </c>
      <c r="E4745">
        <v>1</v>
      </c>
      <c r="F4745">
        <v>6146929174</v>
      </c>
      <c r="G4745">
        <v>1390000</v>
      </c>
      <c r="H4745" t="s">
        <v>40293</v>
      </c>
      <c r="I4745">
        <v>31532</v>
      </c>
      <c r="J4745">
        <v>4</v>
      </c>
      <c r="K4745">
        <v>5</v>
      </c>
    </row>
    <row r="4746" spans="1:11">
      <c r="A4746">
        <v>30</v>
      </c>
      <c r="B4746" t="b">
        <v>0</v>
      </c>
      <c r="C4746" t="s">
        <v>43177</v>
      </c>
      <c r="D4746">
        <v>1037022454355</v>
      </c>
      <c r="E4746">
        <v>1</v>
      </c>
      <c r="F4746">
        <v>6146928426</v>
      </c>
      <c r="G4746">
        <v>9200000</v>
      </c>
      <c r="H4746" t="s">
        <v>40293</v>
      </c>
      <c r="I4746">
        <v>31534</v>
      </c>
      <c r="J4746">
        <v>4</v>
      </c>
      <c r="K4746">
        <v>5</v>
      </c>
    </row>
    <row r="4747" spans="1:11">
      <c r="A4747">
        <v>90</v>
      </c>
      <c r="B4747" t="b">
        <v>0</v>
      </c>
      <c r="C4747" t="s">
        <v>43193</v>
      </c>
      <c r="D4747">
        <v>1037022454355</v>
      </c>
      <c r="E4747">
        <v>1</v>
      </c>
      <c r="F4747">
        <v>6142075775</v>
      </c>
      <c r="G4747">
        <v>1000000</v>
      </c>
      <c r="H4747" t="s">
        <v>40293</v>
      </c>
      <c r="I4747">
        <v>31538</v>
      </c>
      <c r="J4747">
        <v>7</v>
      </c>
      <c r="K4747">
        <v>9</v>
      </c>
    </row>
    <row r="4748" spans="1:11">
      <c r="A4748">
        <v>30</v>
      </c>
      <c r="B4748" t="b">
        <v>0</v>
      </c>
      <c r="C4748" t="s">
        <v>44172</v>
      </c>
      <c r="D4748">
        <v>1037022454355</v>
      </c>
      <c r="E4748">
        <v>1</v>
      </c>
      <c r="F4748">
        <v>6156617519</v>
      </c>
      <c r="G4748">
        <v>999900</v>
      </c>
      <c r="H4748" t="s">
        <v>40293</v>
      </c>
      <c r="I4748">
        <v>31538</v>
      </c>
      <c r="J4748">
        <v>10</v>
      </c>
      <c r="K4748">
        <v>12</v>
      </c>
    </row>
    <row r="4749" spans="1:11">
      <c r="A4749">
        <v>90</v>
      </c>
      <c r="B4749" t="b">
        <v>0</v>
      </c>
      <c r="C4749" t="s">
        <v>42834</v>
      </c>
      <c r="D4749">
        <v>1037022454355</v>
      </c>
      <c r="E4749">
        <v>1</v>
      </c>
      <c r="F4749">
        <v>6070696101</v>
      </c>
      <c r="G4749">
        <v>3554000</v>
      </c>
      <c r="H4749" t="s">
        <v>40293</v>
      </c>
      <c r="I4749">
        <v>31540</v>
      </c>
      <c r="J4749">
        <v>2</v>
      </c>
      <c r="K4749">
        <v>6</v>
      </c>
    </row>
    <row r="4750" spans="1:11">
      <c r="A4750">
        <v>30</v>
      </c>
      <c r="B4750" t="b">
        <v>0</v>
      </c>
      <c r="C4750" t="s">
        <v>45791</v>
      </c>
      <c r="D4750">
        <v>1037022454355</v>
      </c>
      <c r="E4750">
        <v>1</v>
      </c>
      <c r="F4750">
        <v>6150936884</v>
      </c>
      <c r="G4750">
        <v>3553000</v>
      </c>
      <c r="H4750" t="s">
        <v>40293</v>
      </c>
      <c r="I4750">
        <v>31540</v>
      </c>
      <c r="J4750">
        <v>6</v>
      </c>
      <c r="K4750">
        <v>7</v>
      </c>
    </row>
    <row r="4751" spans="1:11">
      <c r="A4751">
        <v>30</v>
      </c>
      <c r="B4751" t="b">
        <v>0</v>
      </c>
      <c r="C4751" t="s">
        <v>43350</v>
      </c>
      <c r="D4751">
        <v>1037022454355</v>
      </c>
      <c r="E4751">
        <v>1</v>
      </c>
      <c r="F4751">
        <v>6146929482</v>
      </c>
      <c r="G4751">
        <v>4200000</v>
      </c>
      <c r="H4751" t="s">
        <v>40293</v>
      </c>
      <c r="I4751">
        <v>31544</v>
      </c>
      <c r="J4751">
        <v>5</v>
      </c>
      <c r="K4751">
        <v>5</v>
      </c>
    </row>
    <row r="4752" spans="1:11">
      <c r="A4752">
        <v>90</v>
      </c>
      <c r="B4752" t="b">
        <v>0</v>
      </c>
      <c r="C4752" t="s">
        <v>41257</v>
      </c>
      <c r="D4752">
        <v>1037022454355</v>
      </c>
      <c r="E4752">
        <v>1</v>
      </c>
      <c r="F4752">
        <v>6123901541</v>
      </c>
      <c r="G4752">
        <v>8000000</v>
      </c>
      <c r="H4752" t="s">
        <v>40293</v>
      </c>
      <c r="I4752">
        <v>31546</v>
      </c>
      <c r="J4752">
        <v>1</v>
      </c>
      <c r="K4752">
        <v>4</v>
      </c>
    </row>
    <row r="4753" spans="1:11">
      <c r="A4753">
        <v>30</v>
      </c>
      <c r="B4753" t="b">
        <v>0</v>
      </c>
      <c r="C4753" t="s">
        <v>43110</v>
      </c>
      <c r="D4753">
        <v>1037022454355</v>
      </c>
      <c r="E4753">
        <v>1</v>
      </c>
      <c r="F4753">
        <v>6145242612</v>
      </c>
      <c r="G4753">
        <v>7999000</v>
      </c>
      <c r="H4753" t="s">
        <v>40293</v>
      </c>
      <c r="I4753">
        <v>31546</v>
      </c>
      <c r="J4753">
        <v>5</v>
      </c>
      <c r="K4753">
        <v>5</v>
      </c>
    </row>
    <row r="4754" spans="1:11">
      <c r="A4754">
        <v>30</v>
      </c>
      <c r="B4754" t="b">
        <v>0</v>
      </c>
      <c r="C4754" t="s">
        <v>43360</v>
      </c>
      <c r="D4754">
        <v>1037022454355</v>
      </c>
      <c r="E4754">
        <v>1</v>
      </c>
      <c r="F4754">
        <v>6146929687</v>
      </c>
      <c r="G4754">
        <v>4200000</v>
      </c>
      <c r="H4754" t="s">
        <v>40293</v>
      </c>
      <c r="I4754">
        <v>31556</v>
      </c>
      <c r="J4754">
        <v>5</v>
      </c>
      <c r="K4754">
        <v>5</v>
      </c>
    </row>
    <row r="4755" spans="1:11">
      <c r="A4755">
        <v>30</v>
      </c>
      <c r="B4755" t="b">
        <v>0</v>
      </c>
      <c r="C4755" t="s">
        <v>43316</v>
      </c>
      <c r="D4755">
        <v>1037022454355</v>
      </c>
      <c r="E4755">
        <v>1</v>
      </c>
      <c r="F4755">
        <v>6146928664</v>
      </c>
      <c r="G4755">
        <v>9200000</v>
      </c>
      <c r="H4755" t="s">
        <v>40293</v>
      </c>
      <c r="I4755">
        <v>31558</v>
      </c>
      <c r="J4755">
        <v>5</v>
      </c>
      <c r="K4755">
        <v>5</v>
      </c>
    </row>
    <row r="4756" spans="1:11">
      <c r="A4756">
        <v>90</v>
      </c>
      <c r="B4756" t="b">
        <v>0</v>
      </c>
      <c r="C4756" t="s">
        <v>42720</v>
      </c>
      <c r="D4756">
        <v>1037022454355</v>
      </c>
      <c r="E4756">
        <v>1</v>
      </c>
      <c r="F4756">
        <v>6135210102</v>
      </c>
      <c r="G4756">
        <v>875000</v>
      </c>
      <c r="H4756" t="s">
        <v>40293</v>
      </c>
      <c r="I4756">
        <v>31562</v>
      </c>
      <c r="J4756">
        <v>10</v>
      </c>
      <c r="K4756">
        <v>10</v>
      </c>
    </row>
    <row r="4757" spans="1:11">
      <c r="A4757">
        <v>90</v>
      </c>
      <c r="B4757" t="b">
        <v>0</v>
      </c>
      <c r="C4757" t="s">
        <v>46035</v>
      </c>
      <c r="D4757">
        <v>1037022454355</v>
      </c>
      <c r="E4757">
        <v>1</v>
      </c>
      <c r="F4757">
        <v>6127019021</v>
      </c>
      <c r="G4757">
        <v>874500</v>
      </c>
      <c r="H4757" t="s">
        <v>40293</v>
      </c>
      <c r="I4757">
        <v>31562</v>
      </c>
      <c r="J4757">
        <v>6</v>
      </c>
      <c r="K4757">
        <v>8</v>
      </c>
    </row>
    <row r="4758" spans="1:11">
      <c r="A4758">
        <v>90</v>
      </c>
      <c r="B4758" t="b">
        <v>0</v>
      </c>
      <c r="C4758" t="s">
        <v>45329</v>
      </c>
      <c r="D4758">
        <v>1037022454355</v>
      </c>
      <c r="E4758">
        <v>1</v>
      </c>
      <c r="F4758">
        <v>6148146048</v>
      </c>
      <c r="G4758">
        <v>873600</v>
      </c>
      <c r="H4758" t="s">
        <v>40293</v>
      </c>
      <c r="I4758">
        <v>31562</v>
      </c>
      <c r="J4758">
        <v>2</v>
      </c>
      <c r="K4758">
        <v>2</v>
      </c>
    </row>
    <row r="4759" spans="1:11">
      <c r="A4759">
        <v>30</v>
      </c>
      <c r="B4759" t="b">
        <v>0</v>
      </c>
      <c r="C4759" t="s">
        <v>44191</v>
      </c>
      <c r="D4759">
        <v>1037022454355</v>
      </c>
      <c r="E4759">
        <v>1</v>
      </c>
      <c r="F4759">
        <v>6156617766</v>
      </c>
      <c r="G4759">
        <v>873500</v>
      </c>
      <c r="H4759" t="s">
        <v>40293</v>
      </c>
      <c r="I4759">
        <v>31562</v>
      </c>
      <c r="J4759">
        <v>8</v>
      </c>
      <c r="K4759">
        <v>8</v>
      </c>
    </row>
    <row r="4760" spans="1:11">
      <c r="A4760">
        <v>90</v>
      </c>
      <c r="B4760" t="b">
        <v>0</v>
      </c>
      <c r="C4760" t="s">
        <v>42141</v>
      </c>
      <c r="D4760">
        <v>1037022454355</v>
      </c>
      <c r="E4760">
        <v>1</v>
      </c>
      <c r="F4760">
        <v>6129960059</v>
      </c>
      <c r="G4760">
        <v>2000000</v>
      </c>
      <c r="H4760" t="s">
        <v>40293</v>
      </c>
      <c r="I4760">
        <v>31564</v>
      </c>
      <c r="J4760">
        <v>9</v>
      </c>
      <c r="K4760">
        <v>10</v>
      </c>
    </row>
    <row r="4761" spans="1:11">
      <c r="A4761">
        <v>90</v>
      </c>
      <c r="B4761" t="b">
        <v>0</v>
      </c>
      <c r="C4761" t="s">
        <v>46506</v>
      </c>
      <c r="D4761">
        <v>1037022454355</v>
      </c>
      <c r="E4761">
        <v>1</v>
      </c>
      <c r="F4761">
        <v>6153403747</v>
      </c>
      <c r="G4761">
        <v>1998000</v>
      </c>
      <c r="H4761" t="s">
        <v>40293</v>
      </c>
      <c r="I4761">
        <v>31564</v>
      </c>
      <c r="J4761">
        <v>1</v>
      </c>
      <c r="K4761">
        <v>1</v>
      </c>
    </row>
    <row r="4762" spans="1:11">
      <c r="A4762">
        <v>90</v>
      </c>
      <c r="B4762" t="b">
        <v>0</v>
      </c>
      <c r="C4762" t="s">
        <v>40837</v>
      </c>
      <c r="D4762">
        <v>1037022454355</v>
      </c>
      <c r="E4762">
        <v>1</v>
      </c>
      <c r="F4762">
        <v>6080049334</v>
      </c>
      <c r="G4762">
        <v>1100000</v>
      </c>
      <c r="H4762" t="s">
        <v>40293</v>
      </c>
      <c r="I4762">
        <v>31568</v>
      </c>
      <c r="J4762">
        <v>18</v>
      </c>
      <c r="K4762">
        <v>26</v>
      </c>
    </row>
    <row r="4763" spans="1:11">
      <c r="A4763">
        <v>90</v>
      </c>
      <c r="B4763" t="b">
        <v>0</v>
      </c>
      <c r="C4763" t="s">
        <v>41648</v>
      </c>
      <c r="D4763">
        <v>1037022454355</v>
      </c>
      <c r="E4763">
        <v>1</v>
      </c>
      <c r="F4763">
        <v>6098974163</v>
      </c>
      <c r="G4763">
        <v>4390000</v>
      </c>
      <c r="H4763" t="s">
        <v>40293</v>
      </c>
      <c r="I4763">
        <v>31570</v>
      </c>
      <c r="J4763">
        <v>2</v>
      </c>
      <c r="K4763">
        <v>4</v>
      </c>
    </row>
    <row r="4764" spans="1:11">
      <c r="A4764">
        <v>90</v>
      </c>
      <c r="B4764" t="b">
        <v>0</v>
      </c>
      <c r="C4764" t="s">
        <v>43366</v>
      </c>
      <c r="D4764">
        <v>1037022454355</v>
      </c>
      <c r="E4764">
        <v>1</v>
      </c>
      <c r="F4764">
        <v>6145498662</v>
      </c>
      <c r="G4764">
        <v>4380000</v>
      </c>
      <c r="H4764" t="s">
        <v>40293</v>
      </c>
      <c r="I4764">
        <v>31570</v>
      </c>
      <c r="J4764">
        <v>2</v>
      </c>
      <c r="K4764">
        <v>2</v>
      </c>
    </row>
    <row r="4765" spans="1:11">
      <c r="A4765">
        <v>90</v>
      </c>
      <c r="B4765" t="b">
        <v>0</v>
      </c>
      <c r="C4765" t="s">
        <v>46494</v>
      </c>
      <c r="D4765">
        <v>1037022454355</v>
      </c>
      <c r="E4765">
        <v>1</v>
      </c>
      <c r="F4765">
        <v>6153403666</v>
      </c>
      <c r="G4765">
        <v>4378000</v>
      </c>
      <c r="H4765" t="s">
        <v>40293</v>
      </c>
      <c r="I4765">
        <v>31570</v>
      </c>
      <c r="J4765">
        <v>2</v>
      </c>
      <c r="K4765">
        <v>2</v>
      </c>
    </row>
    <row r="4766" spans="1:11">
      <c r="A4766">
        <v>30</v>
      </c>
      <c r="B4766" t="b">
        <v>0</v>
      </c>
      <c r="C4766" t="s">
        <v>46364</v>
      </c>
      <c r="D4766">
        <v>1037022454355</v>
      </c>
      <c r="E4766">
        <v>1</v>
      </c>
      <c r="F4766">
        <v>6145242723</v>
      </c>
      <c r="G4766">
        <v>4377000</v>
      </c>
      <c r="H4766" t="s">
        <v>40293</v>
      </c>
      <c r="I4766">
        <v>31570</v>
      </c>
      <c r="J4766">
        <v>5</v>
      </c>
      <c r="K4766">
        <v>5</v>
      </c>
    </row>
    <row r="4767" spans="1:11">
      <c r="A4767">
        <v>90</v>
      </c>
      <c r="B4767" t="b">
        <v>0</v>
      </c>
      <c r="C4767" t="s">
        <v>42842</v>
      </c>
      <c r="D4767">
        <v>1037022454355</v>
      </c>
      <c r="E4767">
        <v>1</v>
      </c>
      <c r="F4767">
        <v>6070696630</v>
      </c>
      <c r="G4767">
        <v>1984000</v>
      </c>
      <c r="H4767" t="s">
        <v>40293</v>
      </c>
      <c r="I4767">
        <v>31576</v>
      </c>
      <c r="J4767">
        <v>9</v>
      </c>
      <c r="K4767">
        <v>11</v>
      </c>
    </row>
    <row r="4768" spans="1:11">
      <c r="A4768">
        <v>30</v>
      </c>
      <c r="B4768" t="b">
        <v>0</v>
      </c>
      <c r="C4768" t="s">
        <v>43369</v>
      </c>
      <c r="D4768">
        <v>1037022454355</v>
      </c>
      <c r="E4768">
        <v>1</v>
      </c>
      <c r="F4768">
        <v>6146929859</v>
      </c>
      <c r="G4768">
        <v>4200000</v>
      </c>
      <c r="H4768" t="s">
        <v>40293</v>
      </c>
      <c r="I4768">
        <v>31580</v>
      </c>
      <c r="J4768">
        <v>5</v>
      </c>
      <c r="K4768">
        <v>5</v>
      </c>
    </row>
    <row r="4769" spans="1:11">
      <c r="A4769">
        <v>30</v>
      </c>
      <c r="B4769" t="b">
        <v>0</v>
      </c>
      <c r="C4769" t="s">
        <v>46366</v>
      </c>
      <c r="D4769">
        <v>1037022454355</v>
      </c>
      <c r="E4769">
        <v>1</v>
      </c>
      <c r="F4769">
        <v>6156613225</v>
      </c>
      <c r="G4769">
        <v>9221000</v>
      </c>
      <c r="H4769" t="s">
        <v>40293</v>
      </c>
      <c r="I4769">
        <v>31582</v>
      </c>
      <c r="J4769">
        <v>18</v>
      </c>
      <c r="K4769">
        <v>18</v>
      </c>
    </row>
    <row r="4770" spans="1:11">
      <c r="A4770">
        <v>90</v>
      </c>
      <c r="B4770" t="b">
        <v>0</v>
      </c>
      <c r="C4770" t="s">
        <v>40793</v>
      </c>
      <c r="D4770">
        <v>1037022454355</v>
      </c>
      <c r="E4770">
        <v>1</v>
      </c>
      <c r="F4770">
        <v>6110718961</v>
      </c>
      <c r="G4770">
        <v>307800</v>
      </c>
      <c r="H4770" t="s">
        <v>40293</v>
      </c>
      <c r="I4770">
        <v>31586</v>
      </c>
      <c r="J4770">
        <v>26</v>
      </c>
      <c r="K4770">
        <v>30</v>
      </c>
    </row>
    <row r="4771" spans="1:11">
      <c r="A4771">
        <v>90</v>
      </c>
      <c r="B4771" t="b">
        <v>0</v>
      </c>
      <c r="C4771" t="s">
        <v>43575</v>
      </c>
      <c r="D4771">
        <v>1037022454355</v>
      </c>
      <c r="E4771">
        <v>1</v>
      </c>
      <c r="F4771">
        <v>6142905863</v>
      </c>
      <c r="G4771">
        <v>307700</v>
      </c>
      <c r="H4771" t="s">
        <v>40293</v>
      </c>
      <c r="I4771">
        <v>31586</v>
      </c>
      <c r="J4771">
        <v>91</v>
      </c>
      <c r="K4771">
        <v>95</v>
      </c>
    </row>
    <row r="4772" spans="1:11">
      <c r="A4772">
        <v>30</v>
      </c>
      <c r="B4772" t="b">
        <v>0</v>
      </c>
      <c r="C4772" t="s">
        <v>45908</v>
      </c>
      <c r="D4772">
        <v>1037022454355</v>
      </c>
      <c r="E4772">
        <v>1</v>
      </c>
      <c r="F4772">
        <v>6154313129</v>
      </c>
      <c r="G4772">
        <v>307600</v>
      </c>
      <c r="H4772" t="s">
        <v>40293</v>
      </c>
      <c r="I4772">
        <v>31586</v>
      </c>
      <c r="J4772">
        <v>7</v>
      </c>
      <c r="K4772">
        <v>7</v>
      </c>
    </row>
    <row r="4773" spans="1:11">
      <c r="A4773">
        <v>90</v>
      </c>
      <c r="B4773" t="b">
        <v>0</v>
      </c>
      <c r="C4773" t="s">
        <v>43343</v>
      </c>
      <c r="D4773">
        <v>1037022454355</v>
      </c>
      <c r="E4773">
        <v>1</v>
      </c>
      <c r="F4773">
        <v>6144111279</v>
      </c>
      <c r="G4773">
        <v>2001000</v>
      </c>
      <c r="H4773" t="s">
        <v>40293</v>
      </c>
      <c r="I4773">
        <v>31588</v>
      </c>
      <c r="J4773">
        <v>20</v>
      </c>
      <c r="K4773">
        <v>20</v>
      </c>
    </row>
    <row r="4774" spans="1:11">
      <c r="A4774">
        <v>90</v>
      </c>
      <c r="B4774" t="b">
        <v>0</v>
      </c>
      <c r="C4774" t="s">
        <v>40863</v>
      </c>
      <c r="D4774">
        <v>1037022454355</v>
      </c>
      <c r="E4774">
        <v>1</v>
      </c>
      <c r="F4774">
        <v>6110556981</v>
      </c>
      <c r="G4774">
        <v>2000000</v>
      </c>
      <c r="H4774" t="s">
        <v>40293</v>
      </c>
      <c r="I4774">
        <v>31588</v>
      </c>
      <c r="J4774">
        <v>14</v>
      </c>
      <c r="K4774">
        <v>20</v>
      </c>
    </row>
    <row r="4775" spans="1:11">
      <c r="A4775">
        <v>30</v>
      </c>
      <c r="B4775" t="b">
        <v>0</v>
      </c>
      <c r="C4775" t="s">
        <v>44513</v>
      </c>
      <c r="D4775">
        <v>1037022454355</v>
      </c>
      <c r="E4775">
        <v>1</v>
      </c>
      <c r="F4775">
        <v>6155060316</v>
      </c>
      <c r="G4775">
        <v>1999000</v>
      </c>
      <c r="H4775" t="s">
        <v>40293</v>
      </c>
      <c r="I4775">
        <v>31588</v>
      </c>
      <c r="J4775">
        <v>12</v>
      </c>
      <c r="K4775">
        <v>13</v>
      </c>
    </row>
    <row r="4776" spans="1:11">
      <c r="A4776">
        <v>30</v>
      </c>
      <c r="B4776" t="b">
        <v>0</v>
      </c>
      <c r="C4776" t="s">
        <v>43949</v>
      </c>
      <c r="D4776">
        <v>1037022454355</v>
      </c>
      <c r="E4776">
        <v>1</v>
      </c>
      <c r="F4776">
        <v>6145244276</v>
      </c>
      <c r="G4776">
        <v>3982000</v>
      </c>
      <c r="H4776" t="s">
        <v>40293</v>
      </c>
      <c r="I4776">
        <v>31592</v>
      </c>
      <c r="J4776">
        <v>4</v>
      </c>
      <c r="K4776">
        <v>10</v>
      </c>
    </row>
    <row r="4777" spans="1:11">
      <c r="A4777">
        <v>90</v>
      </c>
      <c r="B4777" t="b">
        <v>0</v>
      </c>
      <c r="C4777" t="s">
        <v>42439</v>
      </c>
      <c r="D4777">
        <v>1037022454355</v>
      </c>
      <c r="E4777">
        <v>1</v>
      </c>
      <c r="F4777">
        <v>6135260797</v>
      </c>
      <c r="G4777">
        <v>17990000</v>
      </c>
      <c r="H4777" t="s">
        <v>40293</v>
      </c>
      <c r="I4777">
        <v>31594</v>
      </c>
      <c r="J4777">
        <v>6</v>
      </c>
      <c r="K4777">
        <v>6</v>
      </c>
    </row>
    <row r="4778" spans="1:11">
      <c r="A4778">
        <v>90</v>
      </c>
      <c r="B4778" t="b">
        <v>0</v>
      </c>
      <c r="C4778" t="s">
        <v>40971</v>
      </c>
      <c r="D4778">
        <v>1037022454355</v>
      </c>
      <c r="E4778">
        <v>1</v>
      </c>
      <c r="F4778">
        <v>6120202093</v>
      </c>
      <c r="G4778">
        <v>17990000</v>
      </c>
      <c r="H4778" t="s">
        <v>40293</v>
      </c>
      <c r="I4778">
        <v>31594</v>
      </c>
      <c r="J4778">
        <v>2</v>
      </c>
      <c r="K4778">
        <v>2</v>
      </c>
    </row>
    <row r="4779" spans="1:11">
      <c r="A4779">
        <v>90</v>
      </c>
      <c r="B4779" t="b">
        <v>0</v>
      </c>
      <c r="C4779" t="s">
        <v>43738</v>
      </c>
      <c r="D4779">
        <v>1037022454355</v>
      </c>
      <c r="E4779">
        <v>1</v>
      </c>
      <c r="F4779">
        <v>6143337663</v>
      </c>
      <c r="G4779">
        <v>17970000</v>
      </c>
      <c r="H4779" t="s">
        <v>40293</v>
      </c>
      <c r="I4779">
        <v>31594</v>
      </c>
      <c r="J4779">
        <v>1</v>
      </c>
      <c r="K4779">
        <v>1</v>
      </c>
    </row>
    <row r="4780" spans="1:11">
      <c r="A4780">
        <v>90</v>
      </c>
      <c r="B4780" t="b">
        <v>0</v>
      </c>
      <c r="C4780" t="s">
        <v>44472</v>
      </c>
      <c r="D4780">
        <v>1037022454355</v>
      </c>
      <c r="E4780">
        <v>1</v>
      </c>
      <c r="F4780">
        <v>6136600571</v>
      </c>
      <c r="G4780">
        <v>17930000</v>
      </c>
      <c r="H4780" t="s">
        <v>40293</v>
      </c>
      <c r="I4780">
        <v>31594</v>
      </c>
      <c r="J4780">
        <v>3</v>
      </c>
      <c r="K4780">
        <v>3</v>
      </c>
    </row>
    <row r="4781" spans="1:11">
      <c r="A4781">
        <v>30</v>
      </c>
      <c r="B4781" t="b">
        <v>0</v>
      </c>
      <c r="C4781" t="s">
        <v>46306</v>
      </c>
      <c r="D4781">
        <v>1037022454355</v>
      </c>
      <c r="E4781">
        <v>1</v>
      </c>
      <c r="F4781">
        <v>6145241805</v>
      </c>
      <c r="G4781">
        <v>17920000</v>
      </c>
      <c r="H4781" t="s">
        <v>40293</v>
      </c>
      <c r="I4781">
        <v>31594</v>
      </c>
      <c r="J4781">
        <v>4</v>
      </c>
      <c r="K4781">
        <v>5</v>
      </c>
    </row>
    <row r="4782" spans="1:11">
      <c r="A4782">
        <v>90</v>
      </c>
      <c r="B4782" t="b">
        <v>0</v>
      </c>
      <c r="C4782" t="s">
        <v>40732</v>
      </c>
      <c r="D4782">
        <v>1037022454355</v>
      </c>
      <c r="E4782">
        <v>1</v>
      </c>
      <c r="F4782">
        <v>6107538950</v>
      </c>
      <c r="G4782">
        <v>589900</v>
      </c>
      <c r="H4782" t="s">
        <v>40293</v>
      </c>
      <c r="I4782">
        <v>31598</v>
      </c>
      <c r="J4782">
        <v>30</v>
      </c>
      <c r="K4782">
        <v>30</v>
      </c>
    </row>
    <row r="4783" spans="1:11">
      <c r="A4783">
        <v>30</v>
      </c>
      <c r="B4783" t="b">
        <v>0</v>
      </c>
      <c r="C4783" t="s">
        <v>46158</v>
      </c>
      <c r="D4783">
        <v>1037022454355</v>
      </c>
      <c r="E4783">
        <v>1</v>
      </c>
      <c r="F4783">
        <v>6154316675</v>
      </c>
      <c r="G4783">
        <v>589800</v>
      </c>
      <c r="H4783" t="s">
        <v>40293</v>
      </c>
      <c r="I4783">
        <v>31598</v>
      </c>
      <c r="J4783">
        <v>16</v>
      </c>
      <c r="K4783">
        <v>16</v>
      </c>
    </row>
    <row r="4784" spans="1:11">
      <c r="A4784">
        <v>90</v>
      </c>
      <c r="B4784" t="b">
        <v>0</v>
      </c>
      <c r="C4784" t="s">
        <v>43873</v>
      </c>
      <c r="D4784">
        <v>1037022454355</v>
      </c>
      <c r="E4784">
        <v>1</v>
      </c>
      <c r="F4784">
        <v>6138983576</v>
      </c>
      <c r="G4784">
        <v>1426000</v>
      </c>
      <c r="H4784" t="s">
        <v>40293</v>
      </c>
      <c r="I4784">
        <v>31600</v>
      </c>
      <c r="J4784">
        <v>19</v>
      </c>
      <c r="K4784">
        <v>20</v>
      </c>
    </row>
    <row r="4785" spans="1:11">
      <c r="A4785">
        <v>90</v>
      </c>
      <c r="B4785" t="b">
        <v>0</v>
      </c>
      <c r="C4785" t="s">
        <v>44515</v>
      </c>
      <c r="D4785">
        <v>1037022454355</v>
      </c>
      <c r="E4785">
        <v>1</v>
      </c>
      <c r="F4785">
        <v>6143679074</v>
      </c>
      <c r="G4785">
        <v>1400000</v>
      </c>
      <c r="H4785" t="s">
        <v>40293</v>
      </c>
      <c r="I4785">
        <v>31600</v>
      </c>
      <c r="J4785">
        <v>25</v>
      </c>
      <c r="K4785">
        <v>50</v>
      </c>
    </row>
    <row r="4786" spans="1:11">
      <c r="A4786">
        <v>30</v>
      </c>
      <c r="B4786" t="b">
        <v>0</v>
      </c>
      <c r="C4786" t="s">
        <v>45571</v>
      </c>
      <c r="D4786">
        <v>1037022454355</v>
      </c>
      <c r="E4786">
        <v>1</v>
      </c>
      <c r="F4786">
        <v>6154309168</v>
      </c>
      <c r="G4786">
        <v>1399000</v>
      </c>
      <c r="H4786" t="s">
        <v>40293</v>
      </c>
      <c r="I4786">
        <v>31600</v>
      </c>
      <c r="J4786">
        <v>4</v>
      </c>
      <c r="K4786">
        <v>9</v>
      </c>
    </row>
    <row r="4787" spans="1:11">
      <c r="A4787">
        <v>90</v>
      </c>
      <c r="B4787" t="b">
        <v>0</v>
      </c>
      <c r="C4787" t="s">
        <v>40671</v>
      </c>
      <c r="D4787">
        <v>1037022454355</v>
      </c>
      <c r="E4787">
        <v>1</v>
      </c>
      <c r="F4787">
        <v>6067855411</v>
      </c>
      <c r="G4787">
        <v>2292000</v>
      </c>
      <c r="H4787" t="s">
        <v>40293</v>
      </c>
      <c r="I4787">
        <v>31604</v>
      </c>
      <c r="J4787">
        <v>63</v>
      </c>
      <c r="K4787">
        <v>77</v>
      </c>
    </row>
    <row r="4788" spans="1:11">
      <c r="A4788">
        <v>90</v>
      </c>
      <c r="B4788" t="b">
        <v>0</v>
      </c>
      <c r="C4788" t="s">
        <v>41903</v>
      </c>
      <c r="D4788">
        <v>1037022454355</v>
      </c>
      <c r="E4788">
        <v>1</v>
      </c>
      <c r="F4788">
        <v>6128158962</v>
      </c>
      <c r="G4788">
        <v>2290000</v>
      </c>
      <c r="H4788" t="s">
        <v>40293</v>
      </c>
      <c r="I4788">
        <v>31604</v>
      </c>
      <c r="J4788">
        <v>26</v>
      </c>
      <c r="K4788">
        <v>40</v>
      </c>
    </row>
    <row r="4789" spans="1:11">
      <c r="A4789">
        <v>90</v>
      </c>
      <c r="B4789" t="b">
        <v>0</v>
      </c>
      <c r="C4789" t="s">
        <v>46468</v>
      </c>
      <c r="D4789">
        <v>1037022454355</v>
      </c>
      <c r="E4789">
        <v>1</v>
      </c>
      <c r="F4789">
        <v>6151109622</v>
      </c>
      <c r="G4789">
        <v>13480000</v>
      </c>
      <c r="H4789" t="s">
        <v>40293</v>
      </c>
      <c r="I4789">
        <v>31606</v>
      </c>
      <c r="J4789">
        <v>2</v>
      </c>
      <c r="K4789">
        <v>2</v>
      </c>
    </row>
    <row r="4790" spans="1:11">
      <c r="A4790">
        <v>30</v>
      </c>
      <c r="B4790" t="b">
        <v>0</v>
      </c>
      <c r="C4790" t="s">
        <v>45082</v>
      </c>
      <c r="D4790">
        <v>1037022454355</v>
      </c>
      <c r="E4790">
        <v>1</v>
      </c>
      <c r="F4790">
        <v>6146930080</v>
      </c>
      <c r="G4790">
        <v>13390000</v>
      </c>
      <c r="H4790" t="s">
        <v>40293</v>
      </c>
      <c r="I4790">
        <v>31606</v>
      </c>
      <c r="J4790">
        <v>5</v>
      </c>
      <c r="K4790">
        <v>5</v>
      </c>
    </row>
    <row r="4791" spans="1:11">
      <c r="A4791">
        <v>90</v>
      </c>
      <c r="B4791" t="b">
        <v>0</v>
      </c>
      <c r="C4791" t="s">
        <v>46083</v>
      </c>
      <c r="D4791">
        <v>1037022454355</v>
      </c>
      <c r="E4791">
        <v>1</v>
      </c>
      <c r="F4791">
        <v>6079407920</v>
      </c>
      <c r="G4791">
        <v>13380000</v>
      </c>
      <c r="H4791" t="s">
        <v>40293</v>
      </c>
      <c r="I4791">
        <v>31606</v>
      </c>
      <c r="J4791">
        <v>1</v>
      </c>
      <c r="K4791">
        <v>2</v>
      </c>
    </row>
    <row r="4792" spans="1:11">
      <c r="A4792">
        <v>90</v>
      </c>
      <c r="B4792" t="b">
        <v>0</v>
      </c>
      <c r="C4792" t="s">
        <v>43407</v>
      </c>
      <c r="D4792">
        <v>1037022454355</v>
      </c>
      <c r="E4792">
        <v>1</v>
      </c>
      <c r="F4792">
        <v>6142474713</v>
      </c>
      <c r="G4792">
        <v>150000</v>
      </c>
      <c r="H4792" t="s">
        <v>40293</v>
      </c>
      <c r="I4792">
        <v>31608</v>
      </c>
      <c r="J4792">
        <v>9</v>
      </c>
      <c r="K4792">
        <v>9</v>
      </c>
    </row>
    <row r="4793" spans="1:11">
      <c r="A4793">
        <v>90</v>
      </c>
      <c r="B4793" t="b">
        <v>0</v>
      </c>
      <c r="C4793" t="s">
        <v>44436</v>
      </c>
      <c r="D4793">
        <v>1037022454355</v>
      </c>
      <c r="E4793">
        <v>1</v>
      </c>
      <c r="F4793">
        <v>6145840550</v>
      </c>
      <c r="G4793">
        <v>2644000</v>
      </c>
      <c r="H4793" t="s">
        <v>40293</v>
      </c>
      <c r="I4793">
        <v>31610</v>
      </c>
      <c r="J4793">
        <v>13</v>
      </c>
      <c r="K4793">
        <v>15</v>
      </c>
    </row>
    <row r="4794" spans="1:11">
      <c r="A4794">
        <v>7</v>
      </c>
      <c r="B4794" t="b">
        <v>0</v>
      </c>
      <c r="C4794" t="s">
        <v>46438</v>
      </c>
      <c r="D4794">
        <v>1037022454355</v>
      </c>
      <c r="E4794">
        <v>1</v>
      </c>
      <c r="F4794">
        <v>6156637293</v>
      </c>
      <c r="G4794">
        <v>1250000</v>
      </c>
      <c r="H4794" t="s">
        <v>40293</v>
      </c>
      <c r="I4794">
        <v>31610</v>
      </c>
      <c r="J4794">
        <v>11</v>
      </c>
      <c r="K4794">
        <v>13</v>
      </c>
    </row>
    <row r="4795" spans="1:11">
      <c r="A4795">
        <v>30</v>
      </c>
      <c r="B4795" t="b">
        <v>0</v>
      </c>
      <c r="C4795" t="s">
        <v>45507</v>
      </c>
      <c r="D4795">
        <v>1037022454355</v>
      </c>
      <c r="E4795">
        <v>1</v>
      </c>
      <c r="F4795">
        <v>6155062102</v>
      </c>
      <c r="G4795">
        <v>1249000</v>
      </c>
      <c r="H4795" t="s">
        <v>40293</v>
      </c>
      <c r="I4795">
        <v>31610</v>
      </c>
      <c r="J4795">
        <v>12</v>
      </c>
      <c r="K4795">
        <v>13</v>
      </c>
    </row>
    <row r="4796" spans="1:11">
      <c r="A4796">
        <v>90</v>
      </c>
      <c r="B4796" t="b">
        <v>0</v>
      </c>
      <c r="C4796" t="s">
        <v>44758</v>
      </c>
      <c r="D4796">
        <v>1037022454355</v>
      </c>
      <c r="E4796">
        <v>1</v>
      </c>
      <c r="F4796">
        <v>6096397790</v>
      </c>
      <c r="G4796">
        <v>3248000</v>
      </c>
      <c r="H4796" t="s">
        <v>40293</v>
      </c>
      <c r="I4796">
        <v>31614</v>
      </c>
      <c r="J4796">
        <v>18</v>
      </c>
      <c r="K4796">
        <v>22</v>
      </c>
    </row>
    <row r="4797" spans="1:11">
      <c r="A4797">
        <v>30</v>
      </c>
      <c r="B4797" t="b">
        <v>0</v>
      </c>
      <c r="C4797" t="s">
        <v>45191</v>
      </c>
      <c r="D4797">
        <v>1037022454355</v>
      </c>
      <c r="E4797">
        <v>1</v>
      </c>
      <c r="F4797">
        <v>6146931581</v>
      </c>
      <c r="G4797">
        <v>3247000</v>
      </c>
      <c r="H4797" t="s">
        <v>40293</v>
      </c>
      <c r="I4797">
        <v>31614</v>
      </c>
      <c r="J4797">
        <v>4</v>
      </c>
      <c r="K4797">
        <v>5</v>
      </c>
    </row>
    <row r="4798" spans="1:11">
      <c r="A4798">
        <v>30</v>
      </c>
      <c r="B4798" t="b">
        <v>0</v>
      </c>
      <c r="C4798" t="s">
        <v>45695</v>
      </c>
      <c r="D4798">
        <v>1037022454355</v>
      </c>
      <c r="E4798">
        <v>1</v>
      </c>
      <c r="F4798">
        <v>6156613842</v>
      </c>
      <c r="G4798">
        <v>17510000</v>
      </c>
      <c r="H4798" t="s">
        <v>40293</v>
      </c>
      <c r="I4798">
        <v>31616</v>
      </c>
      <c r="J4798">
        <v>8</v>
      </c>
      <c r="K4798">
        <v>8</v>
      </c>
    </row>
    <row r="4799" spans="1:11">
      <c r="A4799">
        <v>90</v>
      </c>
      <c r="B4799" t="b">
        <v>0</v>
      </c>
      <c r="C4799" t="s">
        <v>45702</v>
      </c>
      <c r="D4799">
        <v>1037022454355</v>
      </c>
      <c r="E4799">
        <v>1</v>
      </c>
      <c r="F4799">
        <v>6127018891</v>
      </c>
      <c r="G4799">
        <v>449800</v>
      </c>
      <c r="H4799" t="s">
        <v>40293</v>
      </c>
      <c r="I4799">
        <v>31620</v>
      </c>
      <c r="J4799">
        <v>35</v>
      </c>
      <c r="K4799">
        <v>48</v>
      </c>
    </row>
    <row r="4800" spans="1:11">
      <c r="A4800">
        <v>30</v>
      </c>
      <c r="B4800" t="b">
        <v>0</v>
      </c>
      <c r="C4800" t="s">
        <v>44720</v>
      </c>
      <c r="D4800">
        <v>1037022454355</v>
      </c>
      <c r="E4800">
        <v>1</v>
      </c>
      <c r="F4800">
        <v>6154298475</v>
      </c>
      <c r="G4800">
        <v>449700</v>
      </c>
      <c r="H4800" t="s">
        <v>40293</v>
      </c>
      <c r="I4800">
        <v>31620</v>
      </c>
      <c r="J4800">
        <v>4</v>
      </c>
      <c r="K4800">
        <v>5</v>
      </c>
    </row>
    <row r="4801" spans="1:11">
      <c r="A4801">
        <v>90</v>
      </c>
      <c r="B4801" t="b">
        <v>0</v>
      </c>
      <c r="C4801" t="s">
        <v>43547</v>
      </c>
      <c r="D4801">
        <v>1037022454355</v>
      </c>
      <c r="E4801">
        <v>1</v>
      </c>
      <c r="F4801">
        <v>6145722976</v>
      </c>
      <c r="G4801">
        <v>1490000</v>
      </c>
      <c r="H4801" t="s">
        <v>40293</v>
      </c>
      <c r="I4801">
        <v>31622</v>
      </c>
      <c r="J4801">
        <v>15</v>
      </c>
      <c r="K4801">
        <v>16</v>
      </c>
    </row>
    <row r="4802" spans="1:11">
      <c r="A4802">
        <v>90</v>
      </c>
      <c r="B4802" t="b">
        <v>0</v>
      </c>
      <c r="C4802" t="s">
        <v>43221</v>
      </c>
      <c r="D4802">
        <v>1037022454355</v>
      </c>
      <c r="E4802">
        <v>1</v>
      </c>
      <c r="F4802">
        <v>6096398153</v>
      </c>
      <c r="G4802">
        <v>1488000</v>
      </c>
      <c r="H4802" t="s">
        <v>40293</v>
      </c>
      <c r="I4802">
        <v>31622</v>
      </c>
      <c r="J4802">
        <v>22</v>
      </c>
      <c r="K4802">
        <v>30</v>
      </c>
    </row>
    <row r="4803" spans="1:11">
      <c r="A4803">
        <v>30</v>
      </c>
      <c r="B4803" t="b">
        <v>0</v>
      </c>
      <c r="C4803" t="s">
        <v>46514</v>
      </c>
      <c r="D4803">
        <v>1037022454355</v>
      </c>
      <c r="E4803">
        <v>1</v>
      </c>
      <c r="F4803">
        <v>6156615073</v>
      </c>
      <c r="G4803">
        <v>1487000</v>
      </c>
      <c r="H4803" t="s">
        <v>40293</v>
      </c>
      <c r="I4803">
        <v>31622</v>
      </c>
      <c r="J4803">
        <v>6</v>
      </c>
      <c r="K4803">
        <v>6</v>
      </c>
    </row>
    <row r="4804" spans="1:11">
      <c r="A4804">
        <v>30</v>
      </c>
      <c r="B4804" t="b">
        <v>0</v>
      </c>
      <c r="C4804" t="s">
        <v>44376</v>
      </c>
      <c r="D4804">
        <v>1037022454355</v>
      </c>
      <c r="E4804">
        <v>1</v>
      </c>
      <c r="F4804">
        <v>6157111989</v>
      </c>
      <c r="G4804">
        <v>4520000</v>
      </c>
      <c r="H4804" t="s">
        <v>40293</v>
      </c>
      <c r="I4804">
        <v>31626</v>
      </c>
      <c r="J4804">
        <v>8</v>
      </c>
      <c r="K4804">
        <v>8</v>
      </c>
    </row>
    <row r="4805" spans="1:11">
      <c r="A4805">
        <v>30</v>
      </c>
      <c r="B4805" t="b">
        <v>0</v>
      </c>
      <c r="C4805" t="s">
        <v>45735</v>
      </c>
      <c r="D4805">
        <v>1037022454355</v>
      </c>
      <c r="E4805">
        <v>1</v>
      </c>
      <c r="F4805">
        <v>6154311333</v>
      </c>
      <c r="G4805">
        <v>18980000</v>
      </c>
      <c r="H4805" t="s">
        <v>40293</v>
      </c>
      <c r="I4805">
        <v>31628</v>
      </c>
      <c r="J4805">
        <v>10</v>
      </c>
      <c r="K4805">
        <v>10</v>
      </c>
    </row>
    <row r="4806" spans="1:11">
      <c r="A4806">
        <v>30</v>
      </c>
      <c r="B4806" t="b">
        <v>0</v>
      </c>
      <c r="C4806" t="s">
        <v>45085</v>
      </c>
      <c r="D4806">
        <v>1037022454355</v>
      </c>
      <c r="E4806">
        <v>1</v>
      </c>
      <c r="F4806">
        <v>6150938187</v>
      </c>
      <c r="G4806">
        <v>4201000</v>
      </c>
      <c r="H4806" t="s">
        <v>40293</v>
      </c>
      <c r="I4806">
        <v>31634</v>
      </c>
      <c r="J4806">
        <v>5</v>
      </c>
      <c r="K4806">
        <v>7</v>
      </c>
    </row>
    <row r="4807" spans="1:11">
      <c r="A4807">
        <v>90</v>
      </c>
      <c r="B4807" t="b">
        <v>0</v>
      </c>
      <c r="C4807" t="s">
        <v>41555</v>
      </c>
      <c r="D4807">
        <v>1037022454355</v>
      </c>
      <c r="E4807">
        <v>1</v>
      </c>
      <c r="F4807">
        <v>6100806977</v>
      </c>
      <c r="G4807">
        <v>5000000</v>
      </c>
      <c r="H4807" t="s">
        <v>40293</v>
      </c>
      <c r="I4807">
        <v>31638</v>
      </c>
      <c r="J4807">
        <v>2</v>
      </c>
      <c r="K4807">
        <v>2</v>
      </c>
    </row>
    <row r="4808" spans="1:11">
      <c r="A4808">
        <v>30</v>
      </c>
      <c r="B4808" t="b">
        <v>0</v>
      </c>
      <c r="C4808" t="s">
        <v>42922</v>
      </c>
      <c r="D4808">
        <v>1037022454355</v>
      </c>
      <c r="E4808">
        <v>1</v>
      </c>
      <c r="F4808">
        <v>6145246378</v>
      </c>
      <c r="G4808">
        <v>4999000</v>
      </c>
      <c r="H4808" t="s">
        <v>40293</v>
      </c>
      <c r="I4808">
        <v>31638</v>
      </c>
      <c r="J4808">
        <v>5</v>
      </c>
      <c r="K4808">
        <v>5</v>
      </c>
    </row>
    <row r="4809" spans="1:11">
      <c r="A4809">
        <v>90</v>
      </c>
      <c r="B4809" t="b">
        <v>0</v>
      </c>
      <c r="C4809" t="s">
        <v>46492</v>
      </c>
      <c r="D4809">
        <v>1037022454355</v>
      </c>
      <c r="E4809">
        <v>1</v>
      </c>
      <c r="F4809">
        <v>6151109899</v>
      </c>
      <c r="G4809">
        <v>17790000</v>
      </c>
      <c r="H4809" t="s">
        <v>40293</v>
      </c>
      <c r="I4809">
        <v>31640</v>
      </c>
      <c r="J4809">
        <v>2</v>
      </c>
      <c r="K4809">
        <v>2</v>
      </c>
    </row>
    <row r="4810" spans="1:11">
      <c r="A4810">
        <v>30</v>
      </c>
      <c r="B4810" t="b">
        <v>0</v>
      </c>
      <c r="C4810" t="s">
        <v>45143</v>
      </c>
      <c r="D4810">
        <v>1037022454355</v>
      </c>
      <c r="E4810">
        <v>1</v>
      </c>
      <c r="F4810">
        <v>6146930966</v>
      </c>
      <c r="G4810">
        <v>17780000</v>
      </c>
      <c r="H4810" t="s">
        <v>40293</v>
      </c>
      <c r="I4810">
        <v>31640</v>
      </c>
      <c r="J4810">
        <v>4</v>
      </c>
      <c r="K4810">
        <v>5</v>
      </c>
    </row>
    <row r="4811" spans="1:11">
      <c r="A4811">
        <v>90</v>
      </c>
      <c r="B4811" t="b">
        <v>0</v>
      </c>
      <c r="C4811" t="s">
        <v>41173</v>
      </c>
      <c r="D4811">
        <v>1037022454355</v>
      </c>
      <c r="E4811">
        <v>1</v>
      </c>
      <c r="F4811">
        <v>6114626703</v>
      </c>
      <c r="G4811">
        <v>800000</v>
      </c>
      <c r="H4811" t="s">
        <v>40293</v>
      </c>
      <c r="I4811">
        <v>31646</v>
      </c>
      <c r="J4811">
        <v>7</v>
      </c>
      <c r="K4811">
        <v>10</v>
      </c>
    </row>
    <row r="4812" spans="1:11">
      <c r="A4812">
        <v>30</v>
      </c>
      <c r="B4812" t="b">
        <v>0</v>
      </c>
      <c r="C4812" t="s">
        <v>43410</v>
      </c>
      <c r="D4812">
        <v>1037022454355</v>
      </c>
      <c r="E4812">
        <v>1</v>
      </c>
      <c r="F4812">
        <v>6146931095</v>
      </c>
      <c r="G4812">
        <v>799900</v>
      </c>
      <c r="H4812" t="s">
        <v>40293</v>
      </c>
      <c r="I4812">
        <v>31646</v>
      </c>
      <c r="J4812">
        <v>4</v>
      </c>
      <c r="K4812">
        <v>5</v>
      </c>
    </row>
    <row r="4813" spans="1:11">
      <c r="A4813">
        <v>30</v>
      </c>
      <c r="B4813" t="b">
        <v>0</v>
      </c>
      <c r="C4813" t="s">
        <v>43441</v>
      </c>
      <c r="D4813">
        <v>1037022454355</v>
      </c>
      <c r="E4813">
        <v>1</v>
      </c>
      <c r="F4813">
        <v>6146931928</v>
      </c>
      <c r="G4813">
        <v>4200000</v>
      </c>
      <c r="H4813" t="s">
        <v>40293</v>
      </c>
      <c r="I4813">
        <v>31650</v>
      </c>
      <c r="J4813">
        <v>4</v>
      </c>
      <c r="K4813">
        <v>5</v>
      </c>
    </row>
    <row r="4814" spans="1:11">
      <c r="A4814">
        <v>30</v>
      </c>
      <c r="B4814" t="b">
        <v>0</v>
      </c>
      <c r="C4814" t="s">
        <v>43423</v>
      </c>
      <c r="D4814">
        <v>1037022454355</v>
      </c>
      <c r="E4814">
        <v>1</v>
      </c>
      <c r="F4814">
        <v>6146931433</v>
      </c>
      <c r="G4814">
        <v>17200000</v>
      </c>
      <c r="H4814" t="s">
        <v>40293</v>
      </c>
      <c r="I4814">
        <v>31652</v>
      </c>
      <c r="J4814">
        <v>3</v>
      </c>
      <c r="K4814">
        <v>5</v>
      </c>
    </row>
    <row r="4815" spans="1:11">
      <c r="A4815">
        <v>30</v>
      </c>
      <c r="B4815" t="b">
        <v>0</v>
      </c>
      <c r="C4815" t="s">
        <v>45568</v>
      </c>
      <c r="D4815">
        <v>1037022454355</v>
      </c>
      <c r="E4815">
        <v>1</v>
      </c>
      <c r="F4815">
        <v>6148509195</v>
      </c>
      <c r="G4815">
        <v>256200000</v>
      </c>
      <c r="H4815" t="s">
        <v>40293</v>
      </c>
      <c r="I4815">
        <v>31654</v>
      </c>
      <c r="J4815">
        <v>5</v>
      </c>
      <c r="K4815">
        <v>5</v>
      </c>
    </row>
    <row r="4816" spans="1:11">
      <c r="A4816">
        <v>90</v>
      </c>
      <c r="B4816" t="b">
        <v>0</v>
      </c>
      <c r="C4816" t="s">
        <v>43779</v>
      </c>
      <c r="D4816">
        <v>1037022454355</v>
      </c>
      <c r="E4816">
        <v>1</v>
      </c>
      <c r="F4816">
        <v>6139996542</v>
      </c>
      <c r="G4816">
        <v>980000</v>
      </c>
      <c r="H4816" t="s">
        <v>40293</v>
      </c>
      <c r="I4816">
        <v>31656</v>
      </c>
      <c r="J4816">
        <v>61</v>
      </c>
      <c r="K4816">
        <v>64</v>
      </c>
    </row>
    <row r="4817" spans="1:11">
      <c r="A4817">
        <v>30</v>
      </c>
      <c r="B4817" t="b">
        <v>0</v>
      </c>
      <c r="C4817" t="s">
        <v>43205</v>
      </c>
      <c r="D4817">
        <v>1037022454355</v>
      </c>
      <c r="E4817">
        <v>1</v>
      </c>
      <c r="F4817">
        <v>6145942686</v>
      </c>
      <c r="G4817">
        <v>979900</v>
      </c>
      <c r="H4817" t="s">
        <v>40293</v>
      </c>
      <c r="I4817">
        <v>31656</v>
      </c>
      <c r="J4817">
        <v>4</v>
      </c>
      <c r="K4817">
        <v>5</v>
      </c>
    </row>
    <row r="4818" spans="1:11">
      <c r="A4818">
        <v>90</v>
      </c>
      <c r="B4818" t="b">
        <v>0</v>
      </c>
      <c r="C4818" t="s">
        <v>43568</v>
      </c>
      <c r="D4818">
        <v>1037022454355</v>
      </c>
      <c r="E4818">
        <v>1</v>
      </c>
      <c r="F4818">
        <v>6145723794</v>
      </c>
      <c r="G4818">
        <v>990000</v>
      </c>
      <c r="H4818" t="s">
        <v>40293</v>
      </c>
      <c r="I4818">
        <v>31658</v>
      </c>
      <c r="J4818">
        <v>6</v>
      </c>
      <c r="K4818">
        <v>6</v>
      </c>
    </row>
    <row r="4819" spans="1:11">
      <c r="A4819">
        <v>30</v>
      </c>
      <c r="B4819" t="b">
        <v>0</v>
      </c>
      <c r="C4819" t="s">
        <v>43475</v>
      </c>
      <c r="D4819">
        <v>1037022454355</v>
      </c>
      <c r="E4819">
        <v>1</v>
      </c>
      <c r="F4819">
        <v>6146933105</v>
      </c>
      <c r="G4819">
        <v>989900</v>
      </c>
      <c r="H4819" t="s">
        <v>40293</v>
      </c>
      <c r="I4819">
        <v>31658</v>
      </c>
      <c r="J4819">
        <v>4</v>
      </c>
      <c r="K4819">
        <v>5</v>
      </c>
    </row>
    <row r="4820" spans="1:11">
      <c r="A4820">
        <v>90</v>
      </c>
      <c r="B4820" t="b">
        <v>0</v>
      </c>
      <c r="C4820" t="s">
        <v>43578</v>
      </c>
      <c r="D4820">
        <v>1037022454355</v>
      </c>
      <c r="E4820">
        <v>1</v>
      </c>
      <c r="F4820">
        <v>6145724010</v>
      </c>
      <c r="G4820">
        <v>4990000</v>
      </c>
      <c r="H4820" t="s">
        <v>40293</v>
      </c>
      <c r="I4820">
        <v>31662</v>
      </c>
      <c r="J4820">
        <v>14</v>
      </c>
      <c r="K4820">
        <v>14</v>
      </c>
    </row>
    <row r="4821" spans="1:11">
      <c r="A4821">
        <v>30</v>
      </c>
      <c r="B4821" t="b">
        <v>0</v>
      </c>
      <c r="C4821" t="s">
        <v>43538</v>
      </c>
      <c r="D4821">
        <v>1037022454355</v>
      </c>
      <c r="E4821">
        <v>1</v>
      </c>
      <c r="F4821">
        <v>6146935046</v>
      </c>
      <c r="G4821">
        <v>4989000</v>
      </c>
      <c r="H4821" t="s">
        <v>40293</v>
      </c>
      <c r="I4821">
        <v>31662</v>
      </c>
      <c r="J4821">
        <v>5</v>
      </c>
      <c r="K4821">
        <v>5</v>
      </c>
    </row>
    <row r="4822" spans="1:11">
      <c r="A4822">
        <v>30</v>
      </c>
      <c r="B4822" t="b">
        <v>0</v>
      </c>
      <c r="C4822" t="s">
        <v>43489</v>
      </c>
      <c r="D4822">
        <v>1037022454355</v>
      </c>
      <c r="E4822">
        <v>1</v>
      </c>
      <c r="F4822">
        <v>6146933509</v>
      </c>
      <c r="G4822">
        <v>16200000</v>
      </c>
      <c r="H4822" t="s">
        <v>40293</v>
      </c>
      <c r="I4822">
        <v>31664</v>
      </c>
      <c r="J4822">
        <v>5</v>
      </c>
      <c r="K4822">
        <v>5</v>
      </c>
    </row>
    <row r="4823" spans="1:11">
      <c r="A4823">
        <v>30</v>
      </c>
      <c r="B4823" t="b">
        <v>0</v>
      </c>
      <c r="C4823" t="s">
        <v>43498</v>
      </c>
      <c r="D4823">
        <v>1037022454355</v>
      </c>
      <c r="E4823">
        <v>1</v>
      </c>
      <c r="F4823">
        <v>6146935647</v>
      </c>
      <c r="G4823">
        <v>4200000</v>
      </c>
      <c r="H4823" t="s">
        <v>40293</v>
      </c>
      <c r="I4823">
        <v>31668</v>
      </c>
      <c r="J4823">
        <v>4</v>
      </c>
      <c r="K4823">
        <v>5</v>
      </c>
    </row>
    <row r="4824" spans="1:11">
      <c r="A4824">
        <v>30</v>
      </c>
      <c r="B4824" t="b">
        <v>0</v>
      </c>
      <c r="C4824" t="s">
        <v>43493</v>
      </c>
      <c r="D4824">
        <v>1037022454355</v>
      </c>
      <c r="E4824">
        <v>1</v>
      </c>
      <c r="F4824">
        <v>6146933674</v>
      </c>
      <c r="G4824">
        <v>4200000</v>
      </c>
      <c r="H4824" t="s">
        <v>40293</v>
      </c>
      <c r="I4824">
        <v>31670</v>
      </c>
      <c r="J4824">
        <v>5</v>
      </c>
      <c r="K4824">
        <v>5</v>
      </c>
    </row>
    <row r="4825" spans="1:11">
      <c r="A4825">
        <v>30</v>
      </c>
      <c r="B4825" t="b">
        <v>0</v>
      </c>
      <c r="C4825" t="s">
        <v>44240</v>
      </c>
      <c r="D4825">
        <v>1037022454355</v>
      </c>
      <c r="E4825">
        <v>1</v>
      </c>
      <c r="F4825">
        <v>6156618418</v>
      </c>
      <c r="G4825">
        <v>4201000</v>
      </c>
      <c r="H4825" t="s">
        <v>40293</v>
      </c>
      <c r="I4825">
        <v>31674</v>
      </c>
      <c r="J4825">
        <v>8</v>
      </c>
      <c r="K4825">
        <v>8</v>
      </c>
    </row>
    <row r="4826" spans="1:11">
      <c r="A4826">
        <v>90</v>
      </c>
      <c r="B4826" t="b">
        <v>0</v>
      </c>
      <c r="C4826" t="s">
        <v>41715</v>
      </c>
      <c r="D4826">
        <v>1037022454355</v>
      </c>
      <c r="E4826">
        <v>1</v>
      </c>
      <c r="F4826">
        <v>6118308840</v>
      </c>
      <c r="G4826">
        <v>10010000</v>
      </c>
      <c r="H4826" t="s">
        <v>40293</v>
      </c>
      <c r="I4826">
        <v>31676</v>
      </c>
      <c r="J4826">
        <v>18</v>
      </c>
      <c r="K4826">
        <v>30</v>
      </c>
    </row>
    <row r="4827" spans="1:11">
      <c r="A4827">
        <v>90</v>
      </c>
      <c r="B4827" t="b">
        <v>0</v>
      </c>
      <c r="C4827" t="s">
        <v>44375</v>
      </c>
      <c r="D4827">
        <v>1037022454355</v>
      </c>
      <c r="E4827">
        <v>1</v>
      </c>
      <c r="F4827">
        <v>6135386801</v>
      </c>
      <c r="G4827">
        <v>159800</v>
      </c>
      <c r="H4827" t="s">
        <v>40293</v>
      </c>
      <c r="I4827">
        <v>31680</v>
      </c>
      <c r="J4827">
        <v>22</v>
      </c>
      <c r="K4827">
        <v>30</v>
      </c>
    </row>
    <row r="4828" spans="1:11">
      <c r="A4828">
        <v>30</v>
      </c>
      <c r="B4828" t="b">
        <v>0</v>
      </c>
      <c r="C4828" t="s">
        <v>45928</v>
      </c>
      <c r="D4828">
        <v>1037022454355</v>
      </c>
      <c r="E4828">
        <v>1</v>
      </c>
      <c r="F4828">
        <v>6150282885</v>
      </c>
      <c r="G4828">
        <v>159700</v>
      </c>
      <c r="H4828" t="s">
        <v>40293</v>
      </c>
      <c r="I4828">
        <v>31680</v>
      </c>
      <c r="J4828">
        <v>5</v>
      </c>
      <c r="K4828">
        <v>5</v>
      </c>
    </row>
    <row r="4829" spans="1:11">
      <c r="A4829">
        <v>90</v>
      </c>
      <c r="B4829" t="b">
        <v>0</v>
      </c>
      <c r="C4829" t="s">
        <v>42446</v>
      </c>
      <c r="D4829">
        <v>1037022454355</v>
      </c>
      <c r="E4829">
        <v>1</v>
      </c>
      <c r="F4829">
        <v>6135261135</v>
      </c>
      <c r="G4829">
        <v>506800</v>
      </c>
      <c r="H4829" t="s">
        <v>40293</v>
      </c>
      <c r="I4829">
        <v>31682</v>
      </c>
      <c r="J4829">
        <v>7</v>
      </c>
      <c r="K4829">
        <v>10</v>
      </c>
    </row>
    <row r="4830" spans="1:11">
      <c r="A4830">
        <v>30</v>
      </c>
      <c r="B4830" t="b">
        <v>0</v>
      </c>
      <c r="C4830" t="s">
        <v>43427</v>
      </c>
      <c r="D4830">
        <v>1037022454355</v>
      </c>
      <c r="E4830">
        <v>1</v>
      </c>
      <c r="F4830">
        <v>6145941303</v>
      </c>
      <c r="G4830">
        <v>506700</v>
      </c>
      <c r="H4830" t="s">
        <v>40293</v>
      </c>
      <c r="I4830">
        <v>31682</v>
      </c>
      <c r="J4830">
        <v>5</v>
      </c>
      <c r="K4830">
        <v>5</v>
      </c>
    </row>
    <row r="4831" spans="1:11">
      <c r="A4831">
        <v>30</v>
      </c>
      <c r="B4831" t="b">
        <v>0</v>
      </c>
      <c r="C4831" t="s">
        <v>46455</v>
      </c>
      <c r="D4831">
        <v>1037022454355</v>
      </c>
      <c r="E4831">
        <v>1</v>
      </c>
      <c r="F4831">
        <v>6154317275</v>
      </c>
      <c r="G4831">
        <v>5601000</v>
      </c>
      <c r="H4831" t="s">
        <v>40293</v>
      </c>
      <c r="I4831">
        <v>31686</v>
      </c>
      <c r="J4831">
        <v>7</v>
      </c>
      <c r="K4831">
        <v>8</v>
      </c>
    </row>
    <row r="4832" spans="1:11">
      <c r="A4832">
        <v>30</v>
      </c>
      <c r="B4832" t="b">
        <v>0</v>
      </c>
      <c r="C4832" t="s">
        <v>43501</v>
      </c>
      <c r="D4832">
        <v>1037022454355</v>
      </c>
      <c r="E4832">
        <v>1</v>
      </c>
      <c r="F4832">
        <v>6146933872</v>
      </c>
      <c r="G4832">
        <v>18200000</v>
      </c>
      <c r="H4832" t="s">
        <v>40293</v>
      </c>
      <c r="I4832">
        <v>31688</v>
      </c>
      <c r="J4832">
        <v>5</v>
      </c>
      <c r="K4832">
        <v>5</v>
      </c>
    </row>
    <row r="4833" spans="1:11">
      <c r="A4833">
        <v>90</v>
      </c>
      <c r="B4833" t="b">
        <v>0</v>
      </c>
      <c r="C4833" t="s">
        <v>40864</v>
      </c>
      <c r="D4833">
        <v>1037022454355</v>
      </c>
      <c r="E4833">
        <v>1</v>
      </c>
      <c r="F4833">
        <v>6125269832</v>
      </c>
      <c r="G4833">
        <v>200000</v>
      </c>
      <c r="H4833" t="s">
        <v>40293</v>
      </c>
      <c r="I4833">
        <v>31692</v>
      </c>
      <c r="J4833">
        <v>70</v>
      </c>
      <c r="K4833">
        <v>70</v>
      </c>
    </row>
    <row r="4834" spans="1:11">
      <c r="A4834">
        <v>30</v>
      </c>
      <c r="B4834" t="b">
        <v>0</v>
      </c>
      <c r="C4834" t="s">
        <v>43770</v>
      </c>
      <c r="D4834">
        <v>1037022454355</v>
      </c>
      <c r="E4834">
        <v>1</v>
      </c>
      <c r="F4834">
        <v>6146943107</v>
      </c>
      <c r="G4834">
        <v>199900</v>
      </c>
      <c r="H4834" t="s">
        <v>40293</v>
      </c>
      <c r="I4834">
        <v>31692</v>
      </c>
      <c r="J4834">
        <v>5</v>
      </c>
      <c r="K4834">
        <v>5</v>
      </c>
    </row>
    <row r="4835" spans="1:11">
      <c r="A4835">
        <v>30</v>
      </c>
      <c r="B4835" t="b">
        <v>0</v>
      </c>
      <c r="C4835" t="s">
        <v>43512</v>
      </c>
      <c r="D4835">
        <v>1037022454355</v>
      </c>
      <c r="E4835">
        <v>1</v>
      </c>
      <c r="F4835">
        <v>6146934157</v>
      </c>
      <c r="G4835">
        <v>4200000</v>
      </c>
      <c r="H4835" t="s">
        <v>40293</v>
      </c>
      <c r="I4835">
        <v>31694</v>
      </c>
      <c r="J4835">
        <v>4</v>
      </c>
      <c r="K4835">
        <v>5</v>
      </c>
    </row>
    <row r="4836" spans="1:11">
      <c r="A4836">
        <v>30</v>
      </c>
      <c r="B4836" t="b">
        <v>0</v>
      </c>
      <c r="C4836" t="s">
        <v>46219</v>
      </c>
      <c r="D4836">
        <v>1037022454355</v>
      </c>
      <c r="E4836">
        <v>1</v>
      </c>
      <c r="F4836">
        <v>6154317482</v>
      </c>
      <c r="G4836">
        <v>6520000</v>
      </c>
      <c r="H4836" t="s">
        <v>40293</v>
      </c>
      <c r="I4836">
        <v>31698</v>
      </c>
      <c r="J4836">
        <v>13</v>
      </c>
      <c r="K4836">
        <v>13</v>
      </c>
    </row>
    <row r="4837" spans="1:11">
      <c r="A4837">
        <v>30</v>
      </c>
      <c r="B4837" t="b">
        <v>0</v>
      </c>
      <c r="C4837" t="s">
        <v>43515</v>
      </c>
      <c r="D4837">
        <v>1037022454355</v>
      </c>
      <c r="E4837">
        <v>1</v>
      </c>
      <c r="F4837">
        <v>6146934412</v>
      </c>
      <c r="G4837">
        <v>17200000</v>
      </c>
      <c r="H4837" t="s">
        <v>40293</v>
      </c>
      <c r="I4837">
        <v>31700</v>
      </c>
      <c r="J4837">
        <v>5</v>
      </c>
      <c r="K4837">
        <v>5</v>
      </c>
    </row>
    <row r="4838" spans="1:11">
      <c r="A4838">
        <v>90</v>
      </c>
      <c r="B4838" t="b">
        <v>0</v>
      </c>
      <c r="C4838" t="s">
        <v>43506</v>
      </c>
      <c r="D4838">
        <v>1037022454355</v>
      </c>
      <c r="E4838">
        <v>1</v>
      </c>
      <c r="F4838">
        <v>6138184886</v>
      </c>
      <c r="G4838">
        <v>199800</v>
      </c>
      <c r="H4838" t="s">
        <v>40293</v>
      </c>
      <c r="I4838">
        <v>31704</v>
      </c>
      <c r="J4838">
        <v>2</v>
      </c>
      <c r="K4838">
        <v>2</v>
      </c>
    </row>
    <row r="4839" spans="1:11">
      <c r="A4839">
        <v>30</v>
      </c>
      <c r="B4839" t="b">
        <v>0</v>
      </c>
      <c r="C4839" t="s">
        <v>46099</v>
      </c>
      <c r="D4839">
        <v>1037022454355</v>
      </c>
      <c r="E4839">
        <v>1</v>
      </c>
      <c r="F4839">
        <v>6146942919</v>
      </c>
      <c r="G4839">
        <v>199300</v>
      </c>
      <c r="H4839" t="s">
        <v>40293</v>
      </c>
      <c r="I4839">
        <v>31704</v>
      </c>
      <c r="J4839">
        <v>5</v>
      </c>
      <c r="K4839">
        <v>5</v>
      </c>
    </row>
    <row r="4840" spans="1:11">
      <c r="A4840">
        <v>90</v>
      </c>
      <c r="B4840" t="b">
        <v>0</v>
      </c>
      <c r="C4840" t="s">
        <v>45843</v>
      </c>
      <c r="D4840">
        <v>1037022454355</v>
      </c>
      <c r="E4840">
        <v>1</v>
      </c>
      <c r="F4840">
        <v>6069607202</v>
      </c>
      <c r="G4840">
        <v>199200</v>
      </c>
      <c r="H4840" t="s">
        <v>40293</v>
      </c>
      <c r="I4840">
        <v>31704</v>
      </c>
      <c r="J4840">
        <v>25</v>
      </c>
      <c r="K4840">
        <v>30</v>
      </c>
    </row>
    <row r="4841" spans="1:11">
      <c r="A4841">
        <v>30</v>
      </c>
      <c r="B4841" t="b">
        <v>0</v>
      </c>
      <c r="C4841" t="s">
        <v>43521</v>
      </c>
      <c r="D4841">
        <v>1037022454355</v>
      </c>
      <c r="E4841">
        <v>1</v>
      </c>
      <c r="F4841">
        <v>6146934559</v>
      </c>
      <c r="G4841">
        <v>4200000</v>
      </c>
      <c r="H4841" t="s">
        <v>40293</v>
      </c>
      <c r="I4841">
        <v>31706</v>
      </c>
      <c r="J4841">
        <v>4</v>
      </c>
      <c r="K4841">
        <v>5</v>
      </c>
    </row>
    <row r="4842" spans="1:11">
      <c r="A4842">
        <v>90</v>
      </c>
      <c r="B4842" t="b">
        <v>0</v>
      </c>
      <c r="C4842" t="s">
        <v>44310</v>
      </c>
      <c r="D4842">
        <v>1037022454355</v>
      </c>
      <c r="E4842">
        <v>1</v>
      </c>
      <c r="F4842">
        <v>6155210538</v>
      </c>
      <c r="G4842">
        <v>2000000</v>
      </c>
      <c r="H4842" t="s">
        <v>40293</v>
      </c>
      <c r="I4842">
        <v>31710</v>
      </c>
      <c r="J4842">
        <v>2</v>
      </c>
      <c r="K4842">
        <v>2</v>
      </c>
    </row>
    <row r="4843" spans="1:11">
      <c r="A4843">
        <v>30</v>
      </c>
      <c r="B4843" t="b">
        <v>0</v>
      </c>
      <c r="C4843" t="s">
        <v>43530</v>
      </c>
      <c r="D4843">
        <v>1037022454355</v>
      </c>
      <c r="E4843">
        <v>1</v>
      </c>
      <c r="F4843">
        <v>6146934841</v>
      </c>
      <c r="G4843">
        <v>18200000</v>
      </c>
      <c r="H4843" t="s">
        <v>40293</v>
      </c>
      <c r="I4843">
        <v>31712</v>
      </c>
      <c r="J4843">
        <v>5</v>
      </c>
      <c r="K4843">
        <v>5</v>
      </c>
    </row>
    <row r="4844" spans="1:11">
      <c r="A4844">
        <v>30</v>
      </c>
      <c r="B4844" t="b">
        <v>0</v>
      </c>
      <c r="C4844" t="s">
        <v>44292</v>
      </c>
      <c r="D4844">
        <v>1037022454355</v>
      </c>
      <c r="E4844">
        <v>1</v>
      </c>
      <c r="F4844">
        <v>6148460004</v>
      </c>
      <c r="G4844">
        <v>174200000</v>
      </c>
      <c r="H4844" t="s">
        <v>40293</v>
      </c>
      <c r="I4844">
        <v>31714</v>
      </c>
      <c r="J4844">
        <v>5</v>
      </c>
      <c r="K4844">
        <v>5</v>
      </c>
    </row>
    <row r="4845" spans="1:11">
      <c r="A4845">
        <v>90</v>
      </c>
      <c r="B4845" t="b">
        <v>0</v>
      </c>
      <c r="C4845" t="s">
        <v>46147</v>
      </c>
      <c r="D4845">
        <v>1037022454355</v>
      </c>
      <c r="E4845">
        <v>1</v>
      </c>
      <c r="F4845">
        <v>6096120496</v>
      </c>
      <c r="G4845">
        <v>99910</v>
      </c>
      <c r="H4845" t="s">
        <v>40293</v>
      </c>
      <c r="I4845">
        <v>31716</v>
      </c>
      <c r="J4845">
        <v>103</v>
      </c>
      <c r="K4845">
        <v>168</v>
      </c>
    </row>
    <row r="4846" spans="1:11">
      <c r="A4846">
        <v>90</v>
      </c>
      <c r="B4846" t="b">
        <v>0</v>
      </c>
      <c r="C4846" t="s">
        <v>45512</v>
      </c>
      <c r="D4846">
        <v>1037022454355</v>
      </c>
      <c r="E4846">
        <v>1</v>
      </c>
      <c r="F4846">
        <v>6156958494</v>
      </c>
      <c r="G4846">
        <v>90000</v>
      </c>
      <c r="H4846" t="s">
        <v>40293</v>
      </c>
      <c r="I4846">
        <v>31716</v>
      </c>
      <c r="J4846">
        <v>20</v>
      </c>
      <c r="K4846">
        <v>20</v>
      </c>
    </row>
    <row r="4847" spans="1:11">
      <c r="A4847">
        <v>30</v>
      </c>
      <c r="B4847" t="b">
        <v>0</v>
      </c>
      <c r="C4847" t="s">
        <v>44100</v>
      </c>
      <c r="D4847">
        <v>1037022454355</v>
      </c>
      <c r="E4847">
        <v>1</v>
      </c>
      <c r="F4847">
        <v>6157107971</v>
      </c>
      <c r="G4847">
        <v>89990</v>
      </c>
      <c r="H4847" t="s">
        <v>40293</v>
      </c>
      <c r="I4847">
        <v>31716</v>
      </c>
      <c r="J4847">
        <v>19</v>
      </c>
      <c r="K4847">
        <v>20</v>
      </c>
    </row>
    <row r="4848" spans="1:11">
      <c r="A4848">
        <v>30</v>
      </c>
      <c r="B4848" t="b">
        <v>0</v>
      </c>
      <c r="C4848" t="s">
        <v>45684</v>
      </c>
      <c r="D4848">
        <v>1037022454355</v>
      </c>
      <c r="E4848">
        <v>1</v>
      </c>
      <c r="F4848">
        <v>6155654265</v>
      </c>
      <c r="G4848">
        <v>400000</v>
      </c>
      <c r="H4848" t="s">
        <v>40293</v>
      </c>
      <c r="I4848">
        <v>31718</v>
      </c>
      <c r="J4848">
        <v>30</v>
      </c>
      <c r="K4848">
        <v>30</v>
      </c>
    </row>
    <row r="4849" spans="1:11">
      <c r="A4849">
        <v>90</v>
      </c>
      <c r="B4849" t="b">
        <v>0</v>
      </c>
      <c r="C4849" t="s">
        <v>43383</v>
      </c>
      <c r="D4849">
        <v>1037022454355</v>
      </c>
      <c r="E4849">
        <v>1</v>
      </c>
      <c r="F4849">
        <v>6144112165</v>
      </c>
      <c r="G4849">
        <v>399900</v>
      </c>
      <c r="H4849" t="s">
        <v>40293</v>
      </c>
      <c r="I4849">
        <v>31718</v>
      </c>
      <c r="J4849">
        <v>30</v>
      </c>
      <c r="K4849">
        <v>30</v>
      </c>
    </row>
    <row r="4850" spans="1:11">
      <c r="A4850">
        <v>90</v>
      </c>
      <c r="B4850" t="b">
        <v>0</v>
      </c>
      <c r="C4850" t="s">
        <v>44250</v>
      </c>
      <c r="D4850">
        <v>1037022454355</v>
      </c>
      <c r="E4850">
        <v>1</v>
      </c>
      <c r="F4850">
        <v>6128012007</v>
      </c>
      <c r="G4850">
        <v>364400</v>
      </c>
      <c r="H4850" t="s">
        <v>40293</v>
      </c>
      <c r="I4850">
        <v>31718</v>
      </c>
      <c r="J4850">
        <v>18</v>
      </c>
      <c r="K4850">
        <v>147</v>
      </c>
    </row>
    <row r="4851" spans="1:11">
      <c r="A4851">
        <v>90</v>
      </c>
      <c r="B4851" t="b">
        <v>0</v>
      </c>
      <c r="C4851" t="s">
        <v>44207</v>
      </c>
      <c r="D4851">
        <v>1037022454355</v>
      </c>
      <c r="E4851">
        <v>1</v>
      </c>
      <c r="F4851">
        <v>6156290274</v>
      </c>
      <c r="G4851">
        <v>364300</v>
      </c>
      <c r="H4851" t="s">
        <v>40293</v>
      </c>
      <c r="I4851">
        <v>31718</v>
      </c>
      <c r="J4851">
        <v>3</v>
      </c>
      <c r="K4851">
        <v>5</v>
      </c>
    </row>
    <row r="4852" spans="1:11">
      <c r="A4852">
        <v>90</v>
      </c>
      <c r="B4852" t="b">
        <v>0</v>
      </c>
      <c r="C4852" t="s">
        <v>44188</v>
      </c>
      <c r="D4852">
        <v>1037022454355</v>
      </c>
      <c r="E4852">
        <v>1</v>
      </c>
      <c r="F4852">
        <v>6150424558</v>
      </c>
      <c r="G4852">
        <v>360000</v>
      </c>
      <c r="H4852" t="s">
        <v>40293</v>
      </c>
      <c r="I4852">
        <v>31718</v>
      </c>
      <c r="J4852">
        <v>3</v>
      </c>
      <c r="K4852">
        <v>25</v>
      </c>
    </row>
    <row r="4853" spans="1:11">
      <c r="A4853">
        <v>30</v>
      </c>
      <c r="B4853" t="b">
        <v>0</v>
      </c>
      <c r="C4853" t="s">
        <v>45648</v>
      </c>
      <c r="D4853">
        <v>1037022454355</v>
      </c>
      <c r="E4853">
        <v>1</v>
      </c>
      <c r="F4853">
        <v>6156603932</v>
      </c>
      <c r="G4853">
        <v>359900</v>
      </c>
      <c r="H4853" t="s">
        <v>40293</v>
      </c>
      <c r="I4853">
        <v>31718</v>
      </c>
      <c r="J4853">
        <v>2</v>
      </c>
      <c r="K4853">
        <v>15</v>
      </c>
    </row>
    <row r="4854" spans="1:11">
      <c r="A4854">
        <v>90</v>
      </c>
      <c r="B4854" t="b">
        <v>0</v>
      </c>
      <c r="C4854" t="s">
        <v>41595</v>
      </c>
      <c r="D4854">
        <v>1037022454355</v>
      </c>
      <c r="E4854">
        <v>1</v>
      </c>
      <c r="F4854">
        <v>6092255411</v>
      </c>
      <c r="G4854">
        <v>4097000</v>
      </c>
      <c r="H4854" t="s">
        <v>40293</v>
      </c>
      <c r="I4854">
        <v>31722</v>
      </c>
      <c r="J4854">
        <v>6</v>
      </c>
      <c r="K4854">
        <v>42</v>
      </c>
    </row>
    <row r="4855" spans="1:11">
      <c r="A4855">
        <v>90</v>
      </c>
      <c r="B4855" t="b">
        <v>0</v>
      </c>
      <c r="C4855" t="s">
        <v>41156</v>
      </c>
      <c r="D4855">
        <v>1037022454355</v>
      </c>
      <c r="E4855">
        <v>1</v>
      </c>
      <c r="F4855">
        <v>6125713217</v>
      </c>
      <c r="G4855">
        <v>3499000</v>
      </c>
      <c r="H4855" t="s">
        <v>40293</v>
      </c>
      <c r="I4855">
        <v>31722</v>
      </c>
      <c r="J4855">
        <v>24</v>
      </c>
      <c r="K4855">
        <v>25</v>
      </c>
    </row>
    <row r="4856" spans="1:11">
      <c r="A4856">
        <v>90</v>
      </c>
      <c r="B4856" t="b">
        <v>0</v>
      </c>
      <c r="C4856" t="s">
        <v>42823</v>
      </c>
      <c r="D4856">
        <v>1037022454355</v>
      </c>
      <c r="E4856">
        <v>1</v>
      </c>
      <c r="F4856">
        <v>6132923995</v>
      </c>
      <c r="G4856">
        <v>3450000</v>
      </c>
      <c r="H4856" t="s">
        <v>40293</v>
      </c>
      <c r="I4856">
        <v>31722</v>
      </c>
      <c r="J4856">
        <v>2</v>
      </c>
      <c r="K4856">
        <v>20</v>
      </c>
    </row>
    <row r="4857" spans="1:11">
      <c r="A4857">
        <v>90</v>
      </c>
      <c r="B4857" t="b">
        <v>0</v>
      </c>
      <c r="C4857" t="s">
        <v>44693</v>
      </c>
      <c r="D4857">
        <v>1037022454355</v>
      </c>
      <c r="E4857">
        <v>1</v>
      </c>
      <c r="F4857">
        <v>6151938849</v>
      </c>
      <c r="G4857">
        <v>3409000</v>
      </c>
      <c r="H4857" t="s">
        <v>40293</v>
      </c>
      <c r="I4857">
        <v>31722</v>
      </c>
      <c r="J4857">
        <v>6</v>
      </c>
      <c r="K4857">
        <v>31</v>
      </c>
    </row>
    <row r="4858" spans="1:11">
      <c r="A4858">
        <v>30</v>
      </c>
      <c r="B4858" t="b">
        <v>0</v>
      </c>
      <c r="C4858" t="s">
        <v>44108</v>
      </c>
      <c r="D4858">
        <v>1037022454355</v>
      </c>
      <c r="E4858">
        <v>1</v>
      </c>
      <c r="F4858">
        <v>6156616579</v>
      </c>
      <c r="G4858">
        <v>3408000</v>
      </c>
      <c r="H4858" t="s">
        <v>40293</v>
      </c>
      <c r="I4858">
        <v>31722</v>
      </c>
      <c r="J4858">
        <v>13</v>
      </c>
      <c r="K4858">
        <v>16</v>
      </c>
    </row>
    <row r="4859" spans="1:11">
      <c r="A4859">
        <v>90</v>
      </c>
      <c r="B4859" t="b">
        <v>0</v>
      </c>
      <c r="C4859" t="s">
        <v>43028</v>
      </c>
      <c r="D4859">
        <v>1037022454355</v>
      </c>
      <c r="E4859">
        <v>1</v>
      </c>
      <c r="F4859">
        <v>6145912251</v>
      </c>
      <c r="G4859">
        <v>7248000</v>
      </c>
      <c r="H4859" t="s">
        <v>40293</v>
      </c>
      <c r="I4859">
        <v>31724</v>
      </c>
      <c r="J4859">
        <v>1</v>
      </c>
      <c r="K4859">
        <v>1</v>
      </c>
    </row>
    <row r="4860" spans="1:11">
      <c r="A4860">
        <v>90</v>
      </c>
      <c r="B4860" t="b">
        <v>0</v>
      </c>
      <c r="C4860" t="s">
        <v>44279</v>
      </c>
      <c r="D4860">
        <v>1037022454355</v>
      </c>
      <c r="E4860">
        <v>1</v>
      </c>
      <c r="F4860">
        <v>6145838306</v>
      </c>
      <c r="G4860">
        <v>6488000</v>
      </c>
      <c r="H4860" t="s">
        <v>40293</v>
      </c>
      <c r="I4860">
        <v>31724</v>
      </c>
      <c r="J4860">
        <v>5</v>
      </c>
      <c r="K4860">
        <v>33</v>
      </c>
    </row>
    <row r="4861" spans="1:11">
      <c r="A4861">
        <v>30</v>
      </c>
      <c r="B4861" t="b">
        <v>0</v>
      </c>
      <c r="C4861" t="s">
        <v>44889</v>
      </c>
      <c r="D4861">
        <v>1037022454355</v>
      </c>
      <c r="E4861">
        <v>1</v>
      </c>
      <c r="F4861">
        <v>6155054186</v>
      </c>
      <c r="G4861">
        <v>6488000</v>
      </c>
      <c r="H4861" t="s">
        <v>40293</v>
      </c>
      <c r="I4861">
        <v>31724</v>
      </c>
      <c r="J4861">
        <v>10</v>
      </c>
      <c r="K4861">
        <v>10</v>
      </c>
    </row>
    <row r="4862" spans="1:11">
      <c r="A4862">
        <v>90</v>
      </c>
      <c r="B4862" t="b">
        <v>0</v>
      </c>
      <c r="C4862" t="s">
        <v>46301</v>
      </c>
      <c r="D4862">
        <v>1037022454355</v>
      </c>
      <c r="E4862">
        <v>1</v>
      </c>
      <c r="F4862">
        <v>6148321935</v>
      </c>
      <c r="G4862">
        <v>99800000</v>
      </c>
      <c r="H4862" t="s">
        <v>40293</v>
      </c>
      <c r="I4862">
        <v>31726</v>
      </c>
      <c r="J4862">
        <v>1</v>
      </c>
      <c r="K4862">
        <v>1</v>
      </c>
    </row>
    <row r="4863" spans="1:11">
      <c r="A4863">
        <v>30</v>
      </c>
      <c r="B4863" t="b">
        <v>0</v>
      </c>
      <c r="C4863" t="s">
        <v>45589</v>
      </c>
      <c r="D4863">
        <v>1037022454355</v>
      </c>
      <c r="E4863">
        <v>1</v>
      </c>
      <c r="F4863">
        <v>6154538825</v>
      </c>
      <c r="G4863">
        <v>60010000</v>
      </c>
      <c r="H4863" t="s">
        <v>40293</v>
      </c>
      <c r="I4863">
        <v>31726</v>
      </c>
      <c r="J4863">
        <v>2</v>
      </c>
      <c r="K4863">
        <v>2</v>
      </c>
    </row>
    <row r="4864" spans="1:11">
      <c r="A4864">
        <v>30</v>
      </c>
      <c r="B4864" t="b">
        <v>0</v>
      </c>
      <c r="C4864" t="s">
        <v>44159</v>
      </c>
      <c r="D4864">
        <v>1037022454355</v>
      </c>
      <c r="E4864">
        <v>1</v>
      </c>
      <c r="F4864">
        <v>6148458095</v>
      </c>
      <c r="G4864">
        <v>60000000</v>
      </c>
      <c r="H4864" t="s">
        <v>40293</v>
      </c>
      <c r="I4864">
        <v>31726</v>
      </c>
      <c r="J4864">
        <v>3</v>
      </c>
      <c r="K4864">
        <v>5</v>
      </c>
    </row>
    <row r="4865" spans="1:11">
      <c r="A4865">
        <v>90</v>
      </c>
      <c r="B4865" t="b">
        <v>0</v>
      </c>
      <c r="C4865" t="s">
        <v>40316</v>
      </c>
      <c r="D4865">
        <v>1037022454355</v>
      </c>
      <c r="E4865">
        <v>1</v>
      </c>
      <c r="F4865">
        <v>6101271260</v>
      </c>
      <c r="G4865">
        <v>160000</v>
      </c>
      <c r="H4865" t="s">
        <v>40293</v>
      </c>
      <c r="I4865">
        <v>31728</v>
      </c>
      <c r="J4865">
        <v>1</v>
      </c>
      <c r="K4865">
        <v>5</v>
      </c>
    </row>
    <row r="4866" spans="1:11">
      <c r="A4866">
        <v>90</v>
      </c>
      <c r="B4866" t="b">
        <v>0</v>
      </c>
      <c r="C4866" t="s">
        <v>42296</v>
      </c>
      <c r="D4866">
        <v>1037022454355</v>
      </c>
      <c r="E4866">
        <v>1</v>
      </c>
      <c r="F4866">
        <v>6126076512</v>
      </c>
      <c r="G4866">
        <v>157900</v>
      </c>
      <c r="H4866" t="s">
        <v>40293</v>
      </c>
      <c r="I4866">
        <v>31728</v>
      </c>
      <c r="J4866">
        <v>13</v>
      </c>
      <c r="K4866">
        <v>13</v>
      </c>
    </row>
    <row r="4867" spans="1:11">
      <c r="A4867">
        <v>90</v>
      </c>
      <c r="B4867" t="b">
        <v>0</v>
      </c>
      <c r="C4867" t="s">
        <v>43700</v>
      </c>
      <c r="D4867">
        <v>1037022454355</v>
      </c>
      <c r="E4867">
        <v>1</v>
      </c>
      <c r="F4867">
        <v>6127017973</v>
      </c>
      <c r="G4867">
        <v>157500</v>
      </c>
      <c r="H4867" t="s">
        <v>40293</v>
      </c>
      <c r="I4867">
        <v>31728</v>
      </c>
      <c r="J4867">
        <v>5</v>
      </c>
      <c r="K4867">
        <v>5</v>
      </c>
    </row>
    <row r="4868" spans="1:11">
      <c r="A4868">
        <v>30</v>
      </c>
      <c r="B4868" t="b">
        <v>0</v>
      </c>
      <c r="C4868" t="s">
        <v>43856</v>
      </c>
      <c r="D4868">
        <v>1037022454355</v>
      </c>
      <c r="E4868">
        <v>1</v>
      </c>
      <c r="F4868">
        <v>6146945762</v>
      </c>
      <c r="G4868">
        <v>157400</v>
      </c>
      <c r="H4868" t="s">
        <v>40293</v>
      </c>
      <c r="I4868">
        <v>31728</v>
      </c>
      <c r="J4868">
        <v>5</v>
      </c>
      <c r="K4868">
        <v>5</v>
      </c>
    </row>
    <row r="4869" spans="1:11">
      <c r="A4869">
        <v>90</v>
      </c>
      <c r="B4869" t="b">
        <v>0</v>
      </c>
      <c r="C4869" t="s">
        <v>42400</v>
      </c>
      <c r="D4869">
        <v>1037022454355</v>
      </c>
      <c r="E4869">
        <v>1</v>
      </c>
      <c r="F4869">
        <v>6123494768</v>
      </c>
      <c r="G4869">
        <v>997500</v>
      </c>
      <c r="H4869" t="s">
        <v>40293</v>
      </c>
      <c r="I4869">
        <v>31730</v>
      </c>
      <c r="J4869">
        <v>13</v>
      </c>
      <c r="K4869">
        <v>14</v>
      </c>
    </row>
    <row r="4870" spans="1:11">
      <c r="A4870">
        <v>90</v>
      </c>
      <c r="B4870" t="b">
        <v>0</v>
      </c>
      <c r="C4870" t="s">
        <v>43089</v>
      </c>
      <c r="D4870">
        <v>1037022454355</v>
      </c>
      <c r="E4870">
        <v>1</v>
      </c>
      <c r="F4870">
        <v>6127360233</v>
      </c>
      <c r="G4870">
        <v>996900</v>
      </c>
      <c r="H4870" t="s">
        <v>40293</v>
      </c>
      <c r="I4870">
        <v>31730</v>
      </c>
      <c r="J4870">
        <v>8</v>
      </c>
      <c r="K4870">
        <v>10</v>
      </c>
    </row>
    <row r="4871" spans="1:11">
      <c r="A4871">
        <v>90</v>
      </c>
      <c r="B4871" t="b">
        <v>0</v>
      </c>
      <c r="C4871" t="s">
        <v>43912</v>
      </c>
      <c r="D4871">
        <v>1037022454355</v>
      </c>
      <c r="E4871">
        <v>1</v>
      </c>
      <c r="F4871">
        <v>6138984390</v>
      </c>
      <c r="G4871">
        <v>996800</v>
      </c>
      <c r="H4871" t="s">
        <v>40293</v>
      </c>
      <c r="I4871">
        <v>31730</v>
      </c>
      <c r="J4871">
        <v>16</v>
      </c>
      <c r="K4871">
        <v>21</v>
      </c>
    </row>
    <row r="4872" spans="1:11">
      <c r="A4872">
        <v>90</v>
      </c>
      <c r="B4872" t="b">
        <v>0</v>
      </c>
      <c r="C4872" t="s">
        <v>43970</v>
      </c>
      <c r="D4872">
        <v>1037022454355</v>
      </c>
      <c r="E4872">
        <v>1</v>
      </c>
      <c r="F4872">
        <v>6144806559</v>
      </c>
      <c r="G4872">
        <v>996700</v>
      </c>
      <c r="H4872" t="s">
        <v>40293</v>
      </c>
      <c r="I4872">
        <v>31730</v>
      </c>
      <c r="J4872">
        <v>19</v>
      </c>
      <c r="K4872">
        <v>19</v>
      </c>
    </row>
    <row r="4873" spans="1:11">
      <c r="A4873">
        <v>90</v>
      </c>
      <c r="B4873" t="b">
        <v>0</v>
      </c>
      <c r="C4873" t="s">
        <v>44251</v>
      </c>
      <c r="D4873">
        <v>1037022454355</v>
      </c>
      <c r="E4873">
        <v>1</v>
      </c>
      <c r="F4873">
        <v>6128012008</v>
      </c>
      <c r="G4873">
        <v>994700</v>
      </c>
      <c r="H4873" t="s">
        <v>40293</v>
      </c>
      <c r="I4873">
        <v>31730</v>
      </c>
      <c r="J4873">
        <v>26</v>
      </c>
      <c r="K4873">
        <v>26</v>
      </c>
    </row>
    <row r="4874" spans="1:11">
      <c r="A4874">
        <v>30</v>
      </c>
      <c r="B4874" t="b">
        <v>0</v>
      </c>
      <c r="C4874" t="s">
        <v>45745</v>
      </c>
      <c r="D4874">
        <v>1037022454355</v>
      </c>
      <c r="E4874">
        <v>1</v>
      </c>
      <c r="F4874">
        <v>6150936357</v>
      </c>
      <c r="G4874">
        <v>994600</v>
      </c>
      <c r="H4874" t="s">
        <v>40293</v>
      </c>
      <c r="I4874">
        <v>31730</v>
      </c>
      <c r="J4874">
        <v>7</v>
      </c>
      <c r="K4874">
        <v>9</v>
      </c>
    </row>
    <row r="4875" spans="1:11">
      <c r="A4875">
        <v>90</v>
      </c>
      <c r="B4875" t="b">
        <v>0</v>
      </c>
      <c r="C4875" t="s">
        <v>42611</v>
      </c>
      <c r="D4875">
        <v>1037022454355</v>
      </c>
      <c r="E4875">
        <v>1</v>
      </c>
      <c r="F4875">
        <v>6136580499</v>
      </c>
      <c r="G4875">
        <v>4197000</v>
      </c>
      <c r="H4875" t="s">
        <v>40293</v>
      </c>
      <c r="I4875">
        <v>31734</v>
      </c>
      <c r="J4875">
        <v>1</v>
      </c>
      <c r="K4875">
        <v>1</v>
      </c>
    </row>
    <row r="4876" spans="1:11">
      <c r="A4876">
        <v>30</v>
      </c>
      <c r="B4876" t="b">
        <v>0</v>
      </c>
      <c r="C4876" t="s">
        <v>43976</v>
      </c>
      <c r="D4876">
        <v>1037022454355</v>
      </c>
      <c r="E4876">
        <v>1</v>
      </c>
      <c r="F4876">
        <v>6145244972</v>
      </c>
      <c r="G4876">
        <v>4196000</v>
      </c>
      <c r="H4876" t="s">
        <v>40293</v>
      </c>
      <c r="I4876">
        <v>31734</v>
      </c>
      <c r="J4876">
        <v>5</v>
      </c>
      <c r="K4876">
        <v>5</v>
      </c>
    </row>
    <row r="4877" spans="1:11">
      <c r="A4877">
        <v>30</v>
      </c>
      <c r="B4877" t="b">
        <v>0</v>
      </c>
      <c r="C4877" t="s">
        <v>42670</v>
      </c>
      <c r="D4877">
        <v>1037022454355</v>
      </c>
      <c r="E4877">
        <v>1</v>
      </c>
      <c r="F4877">
        <v>6136976347</v>
      </c>
      <c r="G4877">
        <v>13980000</v>
      </c>
      <c r="H4877" t="s">
        <v>40293</v>
      </c>
      <c r="I4877">
        <v>31736</v>
      </c>
      <c r="J4877">
        <v>12</v>
      </c>
      <c r="K4877">
        <v>20</v>
      </c>
    </row>
    <row r="4878" spans="1:11">
      <c r="A4878">
        <v>90</v>
      </c>
      <c r="B4878" t="b">
        <v>0</v>
      </c>
      <c r="C4878" t="s">
        <v>40833</v>
      </c>
      <c r="D4878">
        <v>1037022454355</v>
      </c>
      <c r="E4878">
        <v>1</v>
      </c>
      <c r="F4878">
        <v>6110720016</v>
      </c>
      <c r="G4878">
        <v>179900</v>
      </c>
      <c r="H4878" t="s">
        <v>40293</v>
      </c>
      <c r="I4878">
        <v>31740</v>
      </c>
      <c r="J4878">
        <v>58</v>
      </c>
      <c r="K4878">
        <v>60</v>
      </c>
    </row>
    <row r="4879" spans="1:11">
      <c r="A4879">
        <v>90</v>
      </c>
      <c r="B4879" t="b">
        <v>0</v>
      </c>
      <c r="C4879" t="s">
        <v>40305</v>
      </c>
      <c r="D4879">
        <v>1037022454355</v>
      </c>
      <c r="E4879">
        <v>1</v>
      </c>
      <c r="F4879">
        <v>6101270800</v>
      </c>
      <c r="G4879">
        <v>178000</v>
      </c>
      <c r="H4879" t="s">
        <v>40293</v>
      </c>
      <c r="I4879">
        <v>31740</v>
      </c>
      <c r="J4879">
        <v>3</v>
      </c>
      <c r="K4879">
        <v>5</v>
      </c>
    </row>
    <row r="4880" spans="1:11">
      <c r="A4880">
        <v>30</v>
      </c>
      <c r="B4880" t="b">
        <v>0</v>
      </c>
      <c r="C4880" t="s">
        <v>42961</v>
      </c>
      <c r="D4880">
        <v>1037022454355</v>
      </c>
      <c r="E4880">
        <v>1</v>
      </c>
      <c r="F4880">
        <v>6146944008</v>
      </c>
      <c r="G4880">
        <v>177900</v>
      </c>
      <c r="H4880" t="s">
        <v>40293</v>
      </c>
      <c r="I4880">
        <v>31740</v>
      </c>
      <c r="J4880">
        <v>4</v>
      </c>
      <c r="K4880">
        <v>5</v>
      </c>
    </row>
    <row r="4881" spans="1:11">
      <c r="A4881">
        <v>90</v>
      </c>
      <c r="B4881" t="b">
        <v>0</v>
      </c>
      <c r="C4881" t="s">
        <v>40843</v>
      </c>
      <c r="D4881">
        <v>1037022454355</v>
      </c>
      <c r="E4881">
        <v>1</v>
      </c>
      <c r="F4881">
        <v>6110720329</v>
      </c>
      <c r="G4881">
        <v>414000</v>
      </c>
      <c r="H4881" t="s">
        <v>40293</v>
      </c>
      <c r="I4881">
        <v>31742</v>
      </c>
      <c r="J4881">
        <v>1</v>
      </c>
      <c r="K4881">
        <v>10</v>
      </c>
    </row>
    <row r="4882" spans="1:11">
      <c r="A4882">
        <v>90</v>
      </c>
      <c r="B4882" t="b">
        <v>0</v>
      </c>
      <c r="C4882" t="s">
        <v>42841</v>
      </c>
      <c r="D4882">
        <v>1037022454355</v>
      </c>
      <c r="E4882">
        <v>1</v>
      </c>
      <c r="F4882">
        <v>6107855534</v>
      </c>
      <c r="G4882">
        <v>375000</v>
      </c>
      <c r="H4882" t="s">
        <v>40293</v>
      </c>
      <c r="I4882">
        <v>31742</v>
      </c>
      <c r="J4882">
        <v>3</v>
      </c>
      <c r="K4882">
        <v>10</v>
      </c>
    </row>
    <row r="4883" spans="1:11">
      <c r="A4883">
        <v>90</v>
      </c>
      <c r="B4883" t="b">
        <v>0</v>
      </c>
      <c r="C4883" t="s">
        <v>43622</v>
      </c>
      <c r="D4883">
        <v>1037022454355</v>
      </c>
      <c r="E4883">
        <v>1</v>
      </c>
      <c r="F4883">
        <v>6144808062</v>
      </c>
      <c r="G4883">
        <v>374000</v>
      </c>
      <c r="H4883" t="s">
        <v>40293</v>
      </c>
      <c r="I4883">
        <v>31742</v>
      </c>
      <c r="J4883">
        <v>4</v>
      </c>
      <c r="K4883">
        <v>4</v>
      </c>
    </row>
    <row r="4884" spans="1:11">
      <c r="A4884">
        <v>30</v>
      </c>
      <c r="B4884" t="b">
        <v>0</v>
      </c>
      <c r="C4884" t="s">
        <v>45483</v>
      </c>
      <c r="D4884">
        <v>1037022454355</v>
      </c>
      <c r="E4884">
        <v>1</v>
      </c>
      <c r="F4884">
        <v>6155061891</v>
      </c>
      <c r="G4884">
        <v>373900</v>
      </c>
      <c r="H4884" t="s">
        <v>40293</v>
      </c>
      <c r="I4884">
        <v>31742</v>
      </c>
      <c r="J4884">
        <v>17</v>
      </c>
      <c r="K4884">
        <v>17</v>
      </c>
    </row>
    <row r="4885" spans="1:11">
      <c r="A4885">
        <v>90</v>
      </c>
      <c r="B4885" t="b">
        <v>0</v>
      </c>
      <c r="C4885" t="s">
        <v>44955</v>
      </c>
      <c r="D4885">
        <v>1037022454355</v>
      </c>
      <c r="E4885">
        <v>1</v>
      </c>
      <c r="F4885">
        <v>6156922793</v>
      </c>
      <c r="G4885">
        <v>3587000</v>
      </c>
      <c r="H4885" t="s">
        <v>40293</v>
      </c>
      <c r="I4885">
        <v>31746</v>
      </c>
      <c r="J4885">
        <v>1</v>
      </c>
      <c r="K4885">
        <v>1</v>
      </c>
    </row>
    <row r="4886" spans="1:11">
      <c r="A4886">
        <v>30</v>
      </c>
      <c r="B4886" t="b">
        <v>0</v>
      </c>
      <c r="C4886" t="s">
        <v>45876</v>
      </c>
      <c r="D4886">
        <v>1037022454355</v>
      </c>
      <c r="E4886">
        <v>1</v>
      </c>
      <c r="F4886">
        <v>6150282353</v>
      </c>
      <c r="G4886">
        <v>3586000</v>
      </c>
      <c r="H4886" t="s">
        <v>40293</v>
      </c>
      <c r="I4886">
        <v>31746</v>
      </c>
      <c r="J4886">
        <v>13</v>
      </c>
      <c r="K4886">
        <v>20</v>
      </c>
    </row>
    <row r="4887" spans="1:11">
      <c r="A4887">
        <v>90</v>
      </c>
      <c r="B4887" t="b">
        <v>0</v>
      </c>
      <c r="C4887" t="s">
        <v>46027</v>
      </c>
      <c r="D4887">
        <v>1037022454355</v>
      </c>
      <c r="E4887">
        <v>1</v>
      </c>
      <c r="F4887">
        <v>6153403208</v>
      </c>
      <c r="G4887">
        <v>8653000</v>
      </c>
      <c r="H4887" t="s">
        <v>40293</v>
      </c>
      <c r="I4887">
        <v>31748</v>
      </c>
      <c r="J4887">
        <v>2</v>
      </c>
      <c r="K4887">
        <v>2</v>
      </c>
    </row>
    <row r="4888" spans="1:11">
      <c r="A4888">
        <v>30</v>
      </c>
      <c r="B4888" t="b">
        <v>0</v>
      </c>
      <c r="C4888" t="s">
        <v>45516</v>
      </c>
      <c r="D4888">
        <v>1037022454355</v>
      </c>
      <c r="E4888">
        <v>1</v>
      </c>
      <c r="F4888">
        <v>6152571808</v>
      </c>
      <c r="G4888">
        <v>8652000</v>
      </c>
      <c r="H4888" t="s">
        <v>40293</v>
      </c>
      <c r="I4888">
        <v>31748</v>
      </c>
      <c r="J4888">
        <v>5</v>
      </c>
      <c r="K4888">
        <v>6</v>
      </c>
    </row>
    <row r="4889" spans="1:11">
      <c r="A4889">
        <v>90</v>
      </c>
      <c r="B4889" t="b">
        <v>0</v>
      </c>
      <c r="C4889" t="s">
        <v>43643</v>
      </c>
      <c r="D4889">
        <v>1037022454355</v>
      </c>
      <c r="E4889">
        <v>1</v>
      </c>
      <c r="F4889">
        <v>6144808681</v>
      </c>
      <c r="G4889">
        <v>196600</v>
      </c>
      <c r="H4889" t="s">
        <v>40293</v>
      </c>
      <c r="I4889">
        <v>31752</v>
      </c>
      <c r="J4889">
        <v>13</v>
      </c>
      <c r="K4889">
        <v>13</v>
      </c>
    </row>
    <row r="4890" spans="1:11">
      <c r="A4890">
        <v>90</v>
      </c>
      <c r="B4890" t="b">
        <v>0</v>
      </c>
      <c r="C4890" t="s">
        <v>44738</v>
      </c>
      <c r="D4890">
        <v>1037022454355</v>
      </c>
      <c r="E4890">
        <v>1</v>
      </c>
      <c r="F4890">
        <v>6147286279</v>
      </c>
      <c r="G4890">
        <v>169300</v>
      </c>
      <c r="H4890" t="s">
        <v>40293</v>
      </c>
      <c r="I4890">
        <v>31752</v>
      </c>
      <c r="J4890">
        <v>7</v>
      </c>
      <c r="K4890">
        <v>9</v>
      </c>
    </row>
    <row r="4891" spans="1:11">
      <c r="A4891">
        <v>90</v>
      </c>
      <c r="B4891" t="b">
        <v>0</v>
      </c>
      <c r="C4891" t="s">
        <v>45972</v>
      </c>
      <c r="D4891">
        <v>1037022454355</v>
      </c>
      <c r="E4891">
        <v>1</v>
      </c>
      <c r="F4891">
        <v>6143303890</v>
      </c>
      <c r="G4891">
        <v>169100</v>
      </c>
      <c r="H4891" t="s">
        <v>40293</v>
      </c>
      <c r="I4891">
        <v>31752</v>
      </c>
      <c r="J4891">
        <v>3</v>
      </c>
      <c r="K4891">
        <v>5</v>
      </c>
    </row>
    <row r="4892" spans="1:11">
      <c r="A4892">
        <v>90</v>
      </c>
      <c r="B4892" t="b">
        <v>0</v>
      </c>
      <c r="C4892" t="s">
        <v>44943</v>
      </c>
      <c r="D4892">
        <v>1037022454355</v>
      </c>
      <c r="E4892">
        <v>1</v>
      </c>
      <c r="F4892">
        <v>6117296765</v>
      </c>
      <c r="G4892">
        <v>168900</v>
      </c>
      <c r="H4892" t="s">
        <v>40293</v>
      </c>
      <c r="I4892">
        <v>31752</v>
      </c>
      <c r="J4892">
        <v>1</v>
      </c>
      <c r="K4892">
        <v>15</v>
      </c>
    </row>
    <row r="4893" spans="1:11">
      <c r="A4893">
        <v>30</v>
      </c>
      <c r="B4893" t="b">
        <v>0</v>
      </c>
      <c r="C4893" t="s">
        <v>46176</v>
      </c>
      <c r="D4893">
        <v>1037022454355</v>
      </c>
      <c r="E4893">
        <v>1</v>
      </c>
      <c r="F4893">
        <v>6156610664</v>
      </c>
      <c r="G4893">
        <v>168800</v>
      </c>
      <c r="H4893" t="s">
        <v>40293</v>
      </c>
      <c r="I4893">
        <v>31752</v>
      </c>
      <c r="J4893">
        <v>2</v>
      </c>
      <c r="K4893">
        <v>9</v>
      </c>
    </row>
    <row r="4894" spans="1:11">
      <c r="A4894">
        <v>90</v>
      </c>
      <c r="B4894" t="b">
        <v>0</v>
      </c>
      <c r="C4894" t="s">
        <v>42061</v>
      </c>
      <c r="D4894">
        <v>1037022454355</v>
      </c>
      <c r="E4894">
        <v>1</v>
      </c>
      <c r="F4894">
        <v>6122937278</v>
      </c>
      <c r="G4894">
        <v>1298000</v>
      </c>
      <c r="H4894" t="s">
        <v>40293</v>
      </c>
      <c r="I4894">
        <v>31754</v>
      </c>
      <c r="J4894">
        <v>6</v>
      </c>
      <c r="K4894">
        <v>50</v>
      </c>
    </row>
    <row r="4895" spans="1:11">
      <c r="A4895">
        <v>90</v>
      </c>
      <c r="B4895" t="b">
        <v>0</v>
      </c>
      <c r="C4895" t="s">
        <v>42401</v>
      </c>
      <c r="D4895">
        <v>1037022454355</v>
      </c>
      <c r="E4895">
        <v>1</v>
      </c>
      <c r="F4895">
        <v>6123494769</v>
      </c>
      <c r="G4895">
        <v>1295000</v>
      </c>
      <c r="H4895" t="s">
        <v>40293</v>
      </c>
      <c r="I4895">
        <v>31754</v>
      </c>
      <c r="J4895">
        <v>17</v>
      </c>
      <c r="K4895">
        <v>32</v>
      </c>
    </row>
    <row r="4896" spans="1:11">
      <c r="A4896">
        <v>90</v>
      </c>
      <c r="B4896" t="b">
        <v>0</v>
      </c>
      <c r="C4896" t="s">
        <v>45883</v>
      </c>
      <c r="D4896">
        <v>1037022454355</v>
      </c>
      <c r="E4896">
        <v>1</v>
      </c>
      <c r="F4896">
        <v>6149561502</v>
      </c>
      <c r="G4896">
        <v>1128000</v>
      </c>
      <c r="H4896" t="s">
        <v>40293</v>
      </c>
      <c r="I4896">
        <v>31754</v>
      </c>
      <c r="J4896">
        <v>2</v>
      </c>
      <c r="K4896">
        <v>5</v>
      </c>
    </row>
    <row r="4897" spans="1:11">
      <c r="A4897">
        <v>90</v>
      </c>
      <c r="B4897" t="b">
        <v>0</v>
      </c>
      <c r="C4897" t="s">
        <v>46124</v>
      </c>
      <c r="D4897">
        <v>1037022454355</v>
      </c>
      <c r="E4897">
        <v>1</v>
      </c>
      <c r="F4897">
        <v>6126987641</v>
      </c>
      <c r="G4897">
        <v>1126000</v>
      </c>
      <c r="H4897" t="s">
        <v>40293</v>
      </c>
      <c r="I4897">
        <v>31754</v>
      </c>
      <c r="J4897">
        <v>2</v>
      </c>
      <c r="K4897">
        <v>8</v>
      </c>
    </row>
    <row r="4898" spans="1:11">
      <c r="A4898">
        <v>30</v>
      </c>
      <c r="B4898" t="b">
        <v>0</v>
      </c>
      <c r="C4898" t="s">
        <v>45407</v>
      </c>
      <c r="D4898">
        <v>1037022454355</v>
      </c>
      <c r="E4898">
        <v>1</v>
      </c>
      <c r="F4898">
        <v>6147884798</v>
      </c>
      <c r="G4898">
        <v>1125000</v>
      </c>
      <c r="H4898" t="s">
        <v>40293</v>
      </c>
      <c r="I4898">
        <v>31754</v>
      </c>
      <c r="J4898">
        <v>5</v>
      </c>
      <c r="K4898">
        <v>11</v>
      </c>
    </row>
    <row r="4899" spans="1:11">
      <c r="A4899">
        <v>90</v>
      </c>
      <c r="B4899" t="b">
        <v>0</v>
      </c>
      <c r="C4899" t="s">
        <v>44291</v>
      </c>
      <c r="D4899">
        <v>1037022454355</v>
      </c>
      <c r="E4899">
        <v>1</v>
      </c>
      <c r="F4899">
        <v>6119828728</v>
      </c>
      <c r="G4899">
        <v>2797000</v>
      </c>
      <c r="H4899" t="s">
        <v>40293</v>
      </c>
      <c r="I4899">
        <v>31758</v>
      </c>
      <c r="J4899">
        <v>5</v>
      </c>
      <c r="K4899">
        <v>10</v>
      </c>
    </row>
    <row r="4900" spans="1:11">
      <c r="A4900">
        <v>30</v>
      </c>
      <c r="B4900" t="b">
        <v>0</v>
      </c>
      <c r="C4900" t="s">
        <v>44371</v>
      </c>
      <c r="D4900">
        <v>1037022454355</v>
      </c>
      <c r="E4900">
        <v>1</v>
      </c>
      <c r="F4900">
        <v>6157111890</v>
      </c>
      <c r="G4900">
        <v>2796000</v>
      </c>
      <c r="H4900" t="s">
        <v>40293</v>
      </c>
      <c r="I4900">
        <v>31758</v>
      </c>
      <c r="J4900">
        <v>13</v>
      </c>
      <c r="K4900">
        <v>14</v>
      </c>
    </row>
    <row r="4901" spans="1:11">
      <c r="A4901">
        <v>90</v>
      </c>
      <c r="B4901" t="b">
        <v>0</v>
      </c>
      <c r="C4901" t="s">
        <v>43195</v>
      </c>
      <c r="D4901">
        <v>1037022454355</v>
      </c>
      <c r="E4901">
        <v>1</v>
      </c>
      <c r="F4901">
        <v>6138459996</v>
      </c>
      <c r="G4901">
        <v>5470000</v>
      </c>
      <c r="H4901" t="s">
        <v>40293</v>
      </c>
      <c r="I4901">
        <v>31760</v>
      </c>
      <c r="J4901">
        <v>1</v>
      </c>
      <c r="K4901">
        <v>61</v>
      </c>
    </row>
    <row r="4902" spans="1:11">
      <c r="A4902">
        <v>90</v>
      </c>
      <c r="B4902" t="b">
        <v>0</v>
      </c>
      <c r="C4902" t="s">
        <v>43818</v>
      </c>
      <c r="D4902">
        <v>1037022454355</v>
      </c>
      <c r="E4902">
        <v>1</v>
      </c>
      <c r="F4902">
        <v>6146915569</v>
      </c>
      <c r="G4902">
        <v>5468000</v>
      </c>
      <c r="H4902" t="s">
        <v>40293</v>
      </c>
      <c r="I4902">
        <v>31760</v>
      </c>
      <c r="J4902">
        <v>1</v>
      </c>
      <c r="K4902">
        <v>12</v>
      </c>
    </row>
    <row r="4903" spans="1:11">
      <c r="A4903">
        <v>90</v>
      </c>
      <c r="B4903" t="b">
        <v>0</v>
      </c>
      <c r="C4903" t="s">
        <v>46446</v>
      </c>
      <c r="D4903">
        <v>1037022454355</v>
      </c>
      <c r="E4903">
        <v>1</v>
      </c>
      <c r="F4903">
        <v>6153403116</v>
      </c>
      <c r="G4903">
        <v>5464000</v>
      </c>
      <c r="H4903" t="s">
        <v>40293</v>
      </c>
      <c r="I4903">
        <v>31760</v>
      </c>
      <c r="J4903">
        <v>2</v>
      </c>
      <c r="K4903">
        <v>2</v>
      </c>
    </row>
    <row r="4904" spans="1:11">
      <c r="A4904">
        <v>90</v>
      </c>
      <c r="B4904" t="b">
        <v>0</v>
      </c>
      <c r="C4904" t="s">
        <v>44410</v>
      </c>
      <c r="D4904">
        <v>1037022454355</v>
      </c>
      <c r="E4904">
        <v>1</v>
      </c>
      <c r="F4904">
        <v>6153737319</v>
      </c>
      <c r="G4904">
        <v>5462000</v>
      </c>
      <c r="H4904" t="s">
        <v>40293</v>
      </c>
      <c r="I4904">
        <v>31760</v>
      </c>
      <c r="J4904">
        <v>9</v>
      </c>
      <c r="K4904">
        <v>10</v>
      </c>
    </row>
    <row r="4905" spans="1:11">
      <c r="A4905">
        <v>30</v>
      </c>
      <c r="B4905" t="b">
        <v>0</v>
      </c>
      <c r="C4905" t="s">
        <v>46006</v>
      </c>
      <c r="D4905">
        <v>1037022454355</v>
      </c>
      <c r="E4905">
        <v>1</v>
      </c>
      <c r="F4905">
        <v>6157111400</v>
      </c>
      <c r="G4905">
        <v>5461000</v>
      </c>
      <c r="H4905" t="s">
        <v>40293</v>
      </c>
      <c r="I4905">
        <v>31760</v>
      </c>
      <c r="J4905">
        <v>16</v>
      </c>
      <c r="K4905">
        <v>17</v>
      </c>
    </row>
    <row r="4906" spans="1:11">
      <c r="A4906">
        <v>90</v>
      </c>
      <c r="B4906" t="b">
        <v>0</v>
      </c>
      <c r="C4906" t="s">
        <v>43368</v>
      </c>
      <c r="D4906">
        <v>1037022454355</v>
      </c>
      <c r="E4906">
        <v>1</v>
      </c>
      <c r="F4906">
        <v>6144111796</v>
      </c>
      <c r="G4906">
        <v>1000000</v>
      </c>
      <c r="H4906" t="s">
        <v>40293</v>
      </c>
      <c r="I4906">
        <v>31766</v>
      </c>
      <c r="J4906">
        <v>10</v>
      </c>
      <c r="K4906">
        <v>10</v>
      </c>
    </row>
    <row r="4907" spans="1:11">
      <c r="A4907">
        <v>90</v>
      </c>
      <c r="B4907" t="b">
        <v>0</v>
      </c>
      <c r="C4907" t="s">
        <v>44205</v>
      </c>
      <c r="D4907">
        <v>1037022454355</v>
      </c>
      <c r="E4907">
        <v>1</v>
      </c>
      <c r="F4907">
        <v>6152030418</v>
      </c>
      <c r="G4907">
        <v>350000</v>
      </c>
      <c r="H4907" t="s">
        <v>40293</v>
      </c>
      <c r="I4907">
        <v>31766</v>
      </c>
      <c r="J4907">
        <v>25</v>
      </c>
      <c r="K4907">
        <v>25</v>
      </c>
    </row>
    <row r="4908" spans="1:11">
      <c r="A4908">
        <v>30</v>
      </c>
      <c r="B4908" t="b">
        <v>0</v>
      </c>
      <c r="C4908" t="s">
        <v>44290</v>
      </c>
      <c r="D4908">
        <v>1037022454355</v>
      </c>
      <c r="E4908">
        <v>1</v>
      </c>
      <c r="F4908">
        <v>6145248681</v>
      </c>
      <c r="G4908">
        <v>349900</v>
      </c>
      <c r="H4908" t="s">
        <v>40293</v>
      </c>
      <c r="I4908">
        <v>31766</v>
      </c>
      <c r="J4908">
        <v>5</v>
      </c>
      <c r="K4908">
        <v>5</v>
      </c>
    </row>
    <row r="4909" spans="1:11">
      <c r="A4909">
        <v>30</v>
      </c>
      <c r="B4909" t="b">
        <v>0</v>
      </c>
      <c r="C4909" t="s">
        <v>43943</v>
      </c>
      <c r="D4909">
        <v>1037022454355</v>
      </c>
      <c r="E4909">
        <v>1</v>
      </c>
      <c r="F4909">
        <v>6146938015</v>
      </c>
      <c r="G4909">
        <v>7200000</v>
      </c>
      <c r="H4909" t="s">
        <v>40293</v>
      </c>
      <c r="I4909">
        <v>31770</v>
      </c>
      <c r="J4909">
        <v>5</v>
      </c>
      <c r="K4909">
        <v>5</v>
      </c>
    </row>
    <row r="4910" spans="1:11">
      <c r="A4910">
        <v>30</v>
      </c>
      <c r="B4910" t="b">
        <v>0</v>
      </c>
      <c r="C4910" t="s">
        <v>43864</v>
      </c>
      <c r="D4910">
        <v>1037022454355</v>
      </c>
      <c r="E4910">
        <v>1</v>
      </c>
      <c r="F4910">
        <v>6145242004</v>
      </c>
      <c r="G4910">
        <v>12400000</v>
      </c>
      <c r="H4910" t="s">
        <v>40293</v>
      </c>
      <c r="I4910">
        <v>31772</v>
      </c>
      <c r="J4910">
        <v>5</v>
      </c>
      <c r="K4910">
        <v>5</v>
      </c>
    </row>
    <row r="4911" spans="1:11">
      <c r="A4911">
        <v>90</v>
      </c>
      <c r="B4911" t="b">
        <v>0</v>
      </c>
      <c r="C4911" t="s">
        <v>43276</v>
      </c>
      <c r="D4911">
        <v>1037022454355</v>
      </c>
      <c r="E4911">
        <v>1</v>
      </c>
      <c r="F4911">
        <v>6144111107</v>
      </c>
      <c r="G4911">
        <v>1000000</v>
      </c>
      <c r="H4911" t="s">
        <v>40293</v>
      </c>
      <c r="I4911">
        <v>31778</v>
      </c>
      <c r="J4911">
        <v>30</v>
      </c>
      <c r="K4911">
        <v>30</v>
      </c>
    </row>
    <row r="4912" spans="1:11">
      <c r="A4912">
        <v>30</v>
      </c>
      <c r="B4912" t="b">
        <v>0</v>
      </c>
      <c r="C4912" t="s">
        <v>43025</v>
      </c>
      <c r="D4912">
        <v>1037022454355</v>
      </c>
      <c r="E4912">
        <v>1</v>
      </c>
      <c r="F4912">
        <v>6145937958</v>
      </c>
      <c r="G4912">
        <v>999900</v>
      </c>
      <c r="H4912" t="s">
        <v>40293</v>
      </c>
      <c r="I4912">
        <v>31778</v>
      </c>
      <c r="J4912">
        <v>5</v>
      </c>
      <c r="K4912">
        <v>5</v>
      </c>
    </row>
    <row r="4913" spans="1:11">
      <c r="A4913">
        <v>30</v>
      </c>
      <c r="B4913" t="b">
        <v>0</v>
      </c>
      <c r="C4913" t="s">
        <v>43630</v>
      </c>
      <c r="D4913">
        <v>1037022454355</v>
      </c>
      <c r="E4913">
        <v>1</v>
      </c>
      <c r="F4913">
        <v>6146938205</v>
      </c>
      <c r="G4913">
        <v>4200000</v>
      </c>
      <c r="H4913" t="s">
        <v>40293</v>
      </c>
      <c r="I4913">
        <v>31782</v>
      </c>
      <c r="J4913">
        <v>5</v>
      </c>
      <c r="K4913">
        <v>5</v>
      </c>
    </row>
    <row r="4914" spans="1:11">
      <c r="A4914">
        <v>30</v>
      </c>
      <c r="B4914" t="b">
        <v>0</v>
      </c>
      <c r="C4914" t="s">
        <v>43613</v>
      </c>
      <c r="D4914">
        <v>1037022454355</v>
      </c>
      <c r="E4914">
        <v>1</v>
      </c>
      <c r="F4914">
        <v>6146937393</v>
      </c>
      <c r="G4914">
        <v>7200000</v>
      </c>
      <c r="H4914" t="s">
        <v>40293</v>
      </c>
      <c r="I4914">
        <v>31784</v>
      </c>
      <c r="J4914">
        <v>5</v>
      </c>
      <c r="K4914">
        <v>5</v>
      </c>
    </row>
    <row r="4915" spans="1:11">
      <c r="A4915">
        <v>90</v>
      </c>
      <c r="B4915" t="b">
        <v>0</v>
      </c>
      <c r="C4915" t="s">
        <v>43132</v>
      </c>
      <c r="D4915">
        <v>1037022454355</v>
      </c>
      <c r="E4915">
        <v>1</v>
      </c>
      <c r="F4915">
        <v>6138305709</v>
      </c>
      <c r="G4915">
        <v>500000</v>
      </c>
      <c r="H4915" t="s">
        <v>40293</v>
      </c>
      <c r="I4915">
        <v>31788</v>
      </c>
      <c r="J4915">
        <v>69</v>
      </c>
      <c r="K4915">
        <v>69</v>
      </c>
    </row>
    <row r="4916" spans="1:11">
      <c r="A4916">
        <v>90</v>
      </c>
      <c r="B4916" t="b">
        <v>0</v>
      </c>
      <c r="C4916" t="s">
        <v>43918</v>
      </c>
      <c r="D4916">
        <v>1037022454355</v>
      </c>
      <c r="E4916">
        <v>1</v>
      </c>
      <c r="F4916">
        <v>6138984533</v>
      </c>
      <c r="G4916">
        <v>449800</v>
      </c>
      <c r="H4916" t="s">
        <v>40293</v>
      </c>
      <c r="I4916">
        <v>31788</v>
      </c>
      <c r="J4916">
        <v>31</v>
      </c>
      <c r="K4916">
        <v>31</v>
      </c>
    </row>
    <row r="4917" spans="1:11">
      <c r="A4917">
        <v>30</v>
      </c>
      <c r="B4917" t="b">
        <v>0</v>
      </c>
      <c r="C4917" t="s">
        <v>43642</v>
      </c>
      <c r="D4917">
        <v>1037022454355</v>
      </c>
      <c r="E4917">
        <v>1</v>
      </c>
      <c r="F4917">
        <v>6128981712</v>
      </c>
      <c r="G4917">
        <v>339300</v>
      </c>
      <c r="H4917" t="s">
        <v>40293</v>
      </c>
      <c r="I4917">
        <v>31788</v>
      </c>
      <c r="J4917">
        <v>26</v>
      </c>
      <c r="K4917">
        <v>28</v>
      </c>
    </row>
    <row r="4918" spans="1:11">
      <c r="A4918">
        <v>90</v>
      </c>
      <c r="B4918" t="b">
        <v>0</v>
      </c>
      <c r="C4918" t="s">
        <v>44326</v>
      </c>
      <c r="D4918">
        <v>1037022454355</v>
      </c>
      <c r="E4918">
        <v>1</v>
      </c>
      <c r="F4918">
        <v>6138040265</v>
      </c>
      <c r="G4918">
        <v>318300</v>
      </c>
      <c r="H4918" t="s">
        <v>40293</v>
      </c>
      <c r="I4918">
        <v>31788</v>
      </c>
      <c r="J4918">
        <v>3</v>
      </c>
      <c r="K4918">
        <v>29</v>
      </c>
    </row>
    <row r="4919" spans="1:11">
      <c r="A4919">
        <v>90</v>
      </c>
      <c r="B4919" t="b">
        <v>0</v>
      </c>
      <c r="C4919" t="s">
        <v>45253</v>
      </c>
      <c r="D4919">
        <v>1037022454355</v>
      </c>
      <c r="E4919">
        <v>1</v>
      </c>
      <c r="F4919">
        <v>6142050157</v>
      </c>
      <c r="G4919">
        <v>300000</v>
      </c>
      <c r="H4919" t="s">
        <v>40293</v>
      </c>
      <c r="I4919">
        <v>31788</v>
      </c>
      <c r="J4919">
        <v>3</v>
      </c>
      <c r="K4919">
        <v>30</v>
      </c>
    </row>
    <row r="4920" spans="1:11">
      <c r="A4920">
        <v>30</v>
      </c>
      <c r="B4920" t="b">
        <v>0</v>
      </c>
      <c r="C4920" t="s">
        <v>44334</v>
      </c>
      <c r="D4920">
        <v>1037022454355</v>
      </c>
      <c r="E4920">
        <v>1</v>
      </c>
      <c r="F4920">
        <v>6157107884</v>
      </c>
      <c r="G4920">
        <v>299900</v>
      </c>
      <c r="H4920" t="s">
        <v>40293</v>
      </c>
      <c r="I4920">
        <v>31788</v>
      </c>
      <c r="J4920">
        <v>19</v>
      </c>
      <c r="K4920">
        <v>20</v>
      </c>
    </row>
    <row r="4921" spans="1:11">
      <c r="A4921">
        <v>90</v>
      </c>
      <c r="B4921" t="b">
        <v>0</v>
      </c>
      <c r="C4921" t="s">
        <v>45194</v>
      </c>
      <c r="D4921">
        <v>1037022454355</v>
      </c>
      <c r="E4921">
        <v>1</v>
      </c>
      <c r="F4921">
        <v>6157482909</v>
      </c>
      <c r="G4921">
        <v>299800</v>
      </c>
      <c r="H4921" t="s">
        <v>40293</v>
      </c>
      <c r="I4921">
        <v>31788</v>
      </c>
      <c r="J4921">
        <v>5</v>
      </c>
      <c r="K4921">
        <v>5</v>
      </c>
    </row>
    <row r="4922" spans="1:11">
      <c r="A4922">
        <v>90</v>
      </c>
      <c r="B4922" t="b">
        <v>0</v>
      </c>
      <c r="C4922" t="s">
        <v>44920</v>
      </c>
      <c r="D4922">
        <v>1037022454355</v>
      </c>
      <c r="E4922">
        <v>1</v>
      </c>
      <c r="F4922">
        <v>6155125146</v>
      </c>
      <c r="G4922">
        <v>1355000</v>
      </c>
      <c r="H4922" t="s">
        <v>40293</v>
      </c>
      <c r="I4922">
        <v>31790</v>
      </c>
      <c r="J4922">
        <v>2</v>
      </c>
      <c r="K4922">
        <v>2</v>
      </c>
    </row>
    <row r="4923" spans="1:11">
      <c r="A4923">
        <v>90</v>
      </c>
      <c r="B4923" t="b">
        <v>0</v>
      </c>
      <c r="C4923" t="s">
        <v>45906</v>
      </c>
      <c r="D4923">
        <v>1037022454355</v>
      </c>
      <c r="E4923">
        <v>1</v>
      </c>
      <c r="F4923">
        <v>6145596829</v>
      </c>
      <c r="G4923">
        <v>1350000</v>
      </c>
      <c r="H4923" t="s">
        <v>40293</v>
      </c>
      <c r="I4923">
        <v>31790</v>
      </c>
      <c r="J4923">
        <v>39</v>
      </c>
      <c r="K4923">
        <v>121</v>
      </c>
    </row>
    <row r="4924" spans="1:11">
      <c r="A4924">
        <v>90</v>
      </c>
      <c r="B4924" t="b">
        <v>0</v>
      </c>
      <c r="C4924" t="s">
        <v>45059</v>
      </c>
      <c r="D4924">
        <v>1037022454355</v>
      </c>
      <c r="E4924">
        <v>1</v>
      </c>
      <c r="F4924">
        <v>6155525647</v>
      </c>
      <c r="G4924">
        <v>1325000</v>
      </c>
      <c r="H4924" t="s">
        <v>40293</v>
      </c>
      <c r="I4924">
        <v>31790</v>
      </c>
      <c r="J4924">
        <v>91</v>
      </c>
      <c r="K4924">
        <v>100</v>
      </c>
    </row>
    <row r="4925" spans="1:11">
      <c r="A4925">
        <v>30</v>
      </c>
      <c r="B4925" t="b">
        <v>0</v>
      </c>
      <c r="C4925" t="s">
        <v>46076</v>
      </c>
      <c r="D4925">
        <v>1037022454355</v>
      </c>
      <c r="E4925">
        <v>1</v>
      </c>
      <c r="F4925">
        <v>6155817240</v>
      </c>
      <c r="G4925">
        <v>1324000</v>
      </c>
      <c r="H4925" t="s">
        <v>40293</v>
      </c>
      <c r="I4925">
        <v>31790</v>
      </c>
      <c r="J4925">
        <v>33</v>
      </c>
      <c r="K4925">
        <v>50</v>
      </c>
    </row>
    <row r="4926" spans="1:11">
      <c r="A4926">
        <v>90</v>
      </c>
      <c r="B4926" t="b">
        <v>0</v>
      </c>
      <c r="C4926" t="s">
        <v>44928</v>
      </c>
      <c r="D4926">
        <v>1037022454355</v>
      </c>
      <c r="E4926">
        <v>1</v>
      </c>
      <c r="F4926">
        <v>6154137238</v>
      </c>
      <c r="G4926">
        <v>28000000</v>
      </c>
      <c r="H4926" t="s">
        <v>40293</v>
      </c>
      <c r="I4926">
        <v>31792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44430</v>
      </c>
      <c r="D4927">
        <v>1037022454355</v>
      </c>
      <c r="E4927">
        <v>1</v>
      </c>
      <c r="F4927">
        <v>6155572560</v>
      </c>
      <c r="G4927">
        <v>25000000</v>
      </c>
      <c r="H4927" t="s">
        <v>40293</v>
      </c>
      <c r="I4927">
        <v>31792</v>
      </c>
      <c r="J4927">
        <v>5</v>
      </c>
      <c r="K4927">
        <v>5</v>
      </c>
    </row>
    <row r="4928" spans="1:11">
      <c r="A4928">
        <v>90</v>
      </c>
      <c r="B4928" t="b">
        <v>0</v>
      </c>
      <c r="C4928" t="s">
        <v>42245</v>
      </c>
      <c r="D4928">
        <v>1037022454355</v>
      </c>
      <c r="E4928">
        <v>1</v>
      </c>
      <c r="F4928">
        <v>6129415064</v>
      </c>
      <c r="G4928">
        <v>9799000</v>
      </c>
      <c r="H4928" t="s">
        <v>40293</v>
      </c>
      <c r="I4928">
        <v>31794</v>
      </c>
      <c r="J4928">
        <v>11</v>
      </c>
      <c r="K4928">
        <v>15</v>
      </c>
    </row>
    <row r="4929" spans="1:11">
      <c r="A4929">
        <v>90</v>
      </c>
      <c r="B4929" t="b">
        <v>0</v>
      </c>
      <c r="C4929" t="s">
        <v>42209</v>
      </c>
      <c r="D4929">
        <v>1037022454355</v>
      </c>
      <c r="E4929">
        <v>1</v>
      </c>
      <c r="F4929">
        <v>6130656982</v>
      </c>
      <c r="G4929">
        <v>9000000</v>
      </c>
      <c r="H4929" t="s">
        <v>40293</v>
      </c>
      <c r="I4929">
        <v>31794</v>
      </c>
      <c r="J4929">
        <v>25</v>
      </c>
      <c r="K4929">
        <v>30</v>
      </c>
    </row>
    <row r="4930" spans="1:11">
      <c r="A4930">
        <v>90</v>
      </c>
      <c r="B4930" t="b">
        <v>0</v>
      </c>
      <c r="C4930" t="s">
        <v>43134</v>
      </c>
      <c r="D4930">
        <v>1037022454355</v>
      </c>
      <c r="E4930">
        <v>1</v>
      </c>
      <c r="F4930">
        <v>6140140796</v>
      </c>
      <c r="G4930">
        <v>8496000</v>
      </c>
      <c r="H4930" t="s">
        <v>40293</v>
      </c>
      <c r="I4930">
        <v>31794</v>
      </c>
      <c r="J4930">
        <v>70</v>
      </c>
      <c r="K4930">
        <v>70</v>
      </c>
    </row>
    <row r="4931" spans="1:11">
      <c r="A4931">
        <v>30</v>
      </c>
      <c r="B4931" t="b">
        <v>0</v>
      </c>
      <c r="C4931" t="s">
        <v>43494</v>
      </c>
      <c r="D4931">
        <v>1037022454355</v>
      </c>
      <c r="E4931">
        <v>1</v>
      </c>
      <c r="F4931">
        <v>6142215145</v>
      </c>
      <c r="G4931">
        <v>8479000</v>
      </c>
      <c r="H4931" t="s">
        <v>40293</v>
      </c>
      <c r="I4931">
        <v>31794</v>
      </c>
      <c r="J4931">
        <v>8</v>
      </c>
      <c r="K4931">
        <v>10</v>
      </c>
    </row>
    <row r="4932" spans="1:11">
      <c r="A4932">
        <v>90</v>
      </c>
      <c r="B4932" t="b">
        <v>0</v>
      </c>
      <c r="C4932" t="s">
        <v>43593</v>
      </c>
      <c r="D4932">
        <v>1037022454355</v>
      </c>
      <c r="E4932">
        <v>1</v>
      </c>
      <c r="F4932">
        <v>6142644223</v>
      </c>
      <c r="G4932">
        <v>8000000</v>
      </c>
      <c r="H4932" t="s">
        <v>40293</v>
      </c>
      <c r="I4932">
        <v>31794</v>
      </c>
      <c r="J4932">
        <v>4</v>
      </c>
      <c r="K4932">
        <v>10</v>
      </c>
    </row>
    <row r="4933" spans="1:11">
      <c r="A4933">
        <v>90</v>
      </c>
      <c r="B4933" t="b">
        <v>0</v>
      </c>
      <c r="C4933" t="s">
        <v>45135</v>
      </c>
      <c r="D4933">
        <v>1037022454355</v>
      </c>
      <c r="E4933">
        <v>1</v>
      </c>
      <c r="F4933">
        <v>6149519498</v>
      </c>
      <c r="G4933">
        <v>7900000</v>
      </c>
      <c r="H4933" t="s">
        <v>40293</v>
      </c>
      <c r="I4933">
        <v>31794</v>
      </c>
      <c r="J4933">
        <v>2</v>
      </c>
      <c r="K4933">
        <v>2</v>
      </c>
    </row>
    <row r="4934" spans="1:11">
      <c r="A4934">
        <v>90</v>
      </c>
      <c r="B4934" t="b">
        <v>0</v>
      </c>
      <c r="C4934" t="s">
        <v>44211</v>
      </c>
      <c r="D4934">
        <v>1037022454355</v>
      </c>
      <c r="E4934">
        <v>1</v>
      </c>
      <c r="F4934">
        <v>6138661145</v>
      </c>
      <c r="G4934">
        <v>7880000</v>
      </c>
      <c r="H4934" t="s">
        <v>40293</v>
      </c>
      <c r="I4934">
        <v>31794</v>
      </c>
      <c r="J4934">
        <v>7</v>
      </c>
      <c r="K4934">
        <v>16</v>
      </c>
    </row>
    <row r="4935" spans="1:11">
      <c r="A4935">
        <v>90</v>
      </c>
      <c r="B4935" t="b">
        <v>0</v>
      </c>
      <c r="C4935" t="s">
        <v>44423</v>
      </c>
      <c r="D4935">
        <v>1037022454355</v>
      </c>
      <c r="E4935">
        <v>1</v>
      </c>
      <c r="F4935">
        <v>6136239331</v>
      </c>
      <c r="G4935">
        <v>7878000</v>
      </c>
      <c r="H4935" t="s">
        <v>40293</v>
      </c>
      <c r="I4935">
        <v>31794</v>
      </c>
      <c r="J4935">
        <v>68</v>
      </c>
      <c r="K4935">
        <v>80</v>
      </c>
    </row>
    <row r="4936" spans="1:11">
      <c r="A4936">
        <v>90</v>
      </c>
      <c r="B4936" t="b">
        <v>0</v>
      </c>
      <c r="C4936" t="s">
        <v>44665</v>
      </c>
      <c r="D4936">
        <v>1037022454355</v>
      </c>
      <c r="E4936">
        <v>1</v>
      </c>
      <c r="F4936">
        <v>6145581588</v>
      </c>
      <c r="G4936">
        <v>7877000</v>
      </c>
      <c r="H4936" t="s">
        <v>40293</v>
      </c>
      <c r="I4936">
        <v>31794</v>
      </c>
      <c r="J4936">
        <v>10</v>
      </c>
      <c r="K4936">
        <v>10</v>
      </c>
    </row>
    <row r="4937" spans="1:11">
      <c r="A4937">
        <v>30</v>
      </c>
      <c r="B4937" t="b">
        <v>0</v>
      </c>
      <c r="C4937" t="s">
        <v>44111</v>
      </c>
      <c r="D4937">
        <v>1037022454355</v>
      </c>
      <c r="E4937">
        <v>1</v>
      </c>
      <c r="F4937">
        <v>6156616358</v>
      </c>
      <c r="G4937">
        <v>7876000</v>
      </c>
      <c r="H4937" t="s">
        <v>40293</v>
      </c>
      <c r="I4937">
        <v>31794</v>
      </c>
      <c r="J4937">
        <v>8</v>
      </c>
      <c r="K4937">
        <v>12</v>
      </c>
    </row>
    <row r="4938" spans="1:11">
      <c r="A4938">
        <v>90</v>
      </c>
      <c r="B4938" t="b">
        <v>0</v>
      </c>
      <c r="C4938" t="s">
        <v>41819</v>
      </c>
      <c r="D4938">
        <v>1037022454355</v>
      </c>
      <c r="E4938">
        <v>1</v>
      </c>
      <c r="F4938">
        <v>6127731757</v>
      </c>
      <c r="G4938">
        <v>23800000</v>
      </c>
      <c r="H4938" t="s">
        <v>40293</v>
      </c>
      <c r="I4938">
        <v>31796</v>
      </c>
      <c r="J4938">
        <v>2</v>
      </c>
      <c r="K4938">
        <v>2</v>
      </c>
    </row>
    <row r="4939" spans="1:11">
      <c r="A4939">
        <v>90</v>
      </c>
      <c r="B4939" t="b">
        <v>0</v>
      </c>
      <c r="C4939" t="s">
        <v>42165</v>
      </c>
      <c r="D4939">
        <v>1037022454355</v>
      </c>
      <c r="E4939">
        <v>1</v>
      </c>
      <c r="F4939">
        <v>6131864467</v>
      </c>
      <c r="G4939">
        <v>23800000</v>
      </c>
      <c r="H4939" t="s">
        <v>40293</v>
      </c>
      <c r="I4939">
        <v>31796</v>
      </c>
      <c r="J4939">
        <v>2</v>
      </c>
      <c r="K4939">
        <v>2</v>
      </c>
    </row>
    <row r="4940" spans="1:11">
      <c r="A4940">
        <v>90</v>
      </c>
      <c r="B4940" t="b">
        <v>0</v>
      </c>
      <c r="C4940" t="s">
        <v>42037</v>
      </c>
      <c r="D4940">
        <v>1037022454355</v>
      </c>
      <c r="E4940">
        <v>1</v>
      </c>
      <c r="F4940">
        <v>6130994980</v>
      </c>
      <c r="G4940">
        <v>23800000</v>
      </c>
      <c r="H4940" t="s">
        <v>40293</v>
      </c>
      <c r="I4940">
        <v>31796</v>
      </c>
      <c r="J4940">
        <v>10</v>
      </c>
      <c r="K4940">
        <v>10</v>
      </c>
    </row>
    <row r="4941" spans="1:11">
      <c r="A4941">
        <v>90</v>
      </c>
      <c r="B4941" t="b">
        <v>0</v>
      </c>
      <c r="C4941" t="s">
        <v>41467</v>
      </c>
      <c r="D4941">
        <v>1037022454355</v>
      </c>
      <c r="E4941">
        <v>1</v>
      </c>
      <c r="F4941">
        <v>6118308704</v>
      </c>
      <c r="G4941">
        <v>23800000</v>
      </c>
      <c r="H4941" t="s">
        <v>40293</v>
      </c>
      <c r="I4941">
        <v>31796</v>
      </c>
      <c r="J4941">
        <v>5</v>
      </c>
      <c r="K4941">
        <v>5</v>
      </c>
    </row>
    <row r="4942" spans="1:11">
      <c r="A4942">
        <v>90</v>
      </c>
      <c r="B4942" t="b">
        <v>0</v>
      </c>
      <c r="C4942" t="s">
        <v>43375</v>
      </c>
      <c r="D4942">
        <v>1037022454355</v>
      </c>
      <c r="E4942">
        <v>1</v>
      </c>
      <c r="F4942">
        <v>6144111991</v>
      </c>
      <c r="G4942">
        <v>23240000</v>
      </c>
      <c r="H4942" t="s">
        <v>40293</v>
      </c>
      <c r="I4942">
        <v>31796</v>
      </c>
      <c r="J4942">
        <v>2</v>
      </c>
      <c r="K4942">
        <v>2</v>
      </c>
    </row>
    <row r="4943" spans="1:11">
      <c r="A4943">
        <v>90</v>
      </c>
      <c r="B4943" t="b">
        <v>0</v>
      </c>
      <c r="C4943" t="s">
        <v>45234</v>
      </c>
      <c r="D4943">
        <v>1037022454355</v>
      </c>
      <c r="E4943">
        <v>1</v>
      </c>
      <c r="F4943">
        <v>6151814595</v>
      </c>
      <c r="G4943">
        <v>23240000</v>
      </c>
      <c r="H4943" t="s">
        <v>40293</v>
      </c>
      <c r="I4943">
        <v>31796</v>
      </c>
      <c r="J4943">
        <v>3</v>
      </c>
      <c r="K4943">
        <v>3</v>
      </c>
    </row>
    <row r="4944" spans="1:11">
      <c r="A4944">
        <v>90</v>
      </c>
      <c r="B4944" t="b">
        <v>0</v>
      </c>
      <c r="C4944" t="s">
        <v>43380</v>
      </c>
      <c r="D4944">
        <v>1037022454355</v>
      </c>
      <c r="E4944">
        <v>1</v>
      </c>
      <c r="F4944">
        <v>6141659392</v>
      </c>
      <c r="G4944">
        <v>23240000</v>
      </c>
      <c r="H4944" t="s">
        <v>40293</v>
      </c>
      <c r="I4944">
        <v>31796</v>
      </c>
      <c r="J4944">
        <v>5</v>
      </c>
      <c r="K4944">
        <v>5</v>
      </c>
    </row>
    <row r="4945" spans="1:11">
      <c r="A4945">
        <v>90</v>
      </c>
      <c r="B4945" t="b">
        <v>0</v>
      </c>
      <c r="C4945" t="s">
        <v>42622</v>
      </c>
      <c r="D4945">
        <v>1037022454355</v>
      </c>
      <c r="E4945">
        <v>1</v>
      </c>
      <c r="F4945">
        <v>6135827150</v>
      </c>
      <c r="G4945">
        <v>23240000</v>
      </c>
      <c r="H4945" t="s">
        <v>40293</v>
      </c>
      <c r="I4945">
        <v>31796</v>
      </c>
      <c r="J4945">
        <v>12</v>
      </c>
      <c r="K4945">
        <v>14</v>
      </c>
    </row>
    <row r="4946" spans="1:11">
      <c r="A4946">
        <v>90</v>
      </c>
      <c r="B4946" t="b">
        <v>0</v>
      </c>
      <c r="C4946" t="s">
        <v>43720</v>
      </c>
      <c r="D4946">
        <v>1037022454355</v>
      </c>
      <c r="E4946">
        <v>1</v>
      </c>
      <c r="F4946">
        <v>6141239813</v>
      </c>
      <c r="G4946">
        <v>23240000</v>
      </c>
      <c r="H4946" t="s">
        <v>40293</v>
      </c>
      <c r="I4946">
        <v>31796</v>
      </c>
      <c r="J4946">
        <v>2</v>
      </c>
      <c r="K4946">
        <v>2</v>
      </c>
    </row>
    <row r="4947" spans="1:11">
      <c r="A4947">
        <v>90</v>
      </c>
      <c r="B4947" t="b">
        <v>0</v>
      </c>
      <c r="C4947" t="s">
        <v>42715</v>
      </c>
      <c r="D4947">
        <v>1037022454355</v>
      </c>
      <c r="E4947">
        <v>1</v>
      </c>
      <c r="F4947">
        <v>6137274306</v>
      </c>
      <c r="G4947">
        <v>23200000</v>
      </c>
      <c r="H4947" t="s">
        <v>40293</v>
      </c>
      <c r="I4947">
        <v>31796</v>
      </c>
      <c r="J4947">
        <v>3</v>
      </c>
      <c r="K4947">
        <v>3</v>
      </c>
    </row>
    <row r="4948" spans="1:11">
      <c r="A4948">
        <v>90</v>
      </c>
      <c r="B4948" t="b">
        <v>0</v>
      </c>
      <c r="C4948" t="s">
        <v>43141</v>
      </c>
      <c r="D4948">
        <v>1037022454355</v>
      </c>
      <c r="E4948">
        <v>1</v>
      </c>
      <c r="F4948">
        <v>6140140914</v>
      </c>
      <c r="G4948">
        <v>23140000</v>
      </c>
      <c r="H4948" t="s">
        <v>40293</v>
      </c>
      <c r="I4948">
        <v>31796</v>
      </c>
      <c r="J4948">
        <v>41</v>
      </c>
      <c r="K4948">
        <v>46</v>
      </c>
    </row>
    <row r="4949" spans="1:11">
      <c r="A4949">
        <v>90</v>
      </c>
      <c r="B4949" t="b">
        <v>0</v>
      </c>
      <c r="C4949" t="s">
        <v>44392</v>
      </c>
      <c r="D4949">
        <v>1037022454355</v>
      </c>
      <c r="E4949">
        <v>1</v>
      </c>
      <c r="F4949">
        <v>6136894252</v>
      </c>
      <c r="G4949">
        <v>22930000</v>
      </c>
      <c r="H4949" t="s">
        <v>40293</v>
      </c>
      <c r="I4949">
        <v>31796</v>
      </c>
      <c r="J4949">
        <v>10</v>
      </c>
      <c r="K4949">
        <v>10</v>
      </c>
    </row>
    <row r="4950" spans="1:11">
      <c r="A4950">
        <v>90</v>
      </c>
      <c r="B4950" t="b">
        <v>0</v>
      </c>
      <c r="C4950" t="s">
        <v>45755</v>
      </c>
      <c r="D4950">
        <v>1037022454355</v>
      </c>
      <c r="E4950">
        <v>1</v>
      </c>
      <c r="F4950">
        <v>6128012005</v>
      </c>
      <c r="G4950">
        <v>22910000</v>
      </c>
      <c r="H4950" t="s">
        <v>40293</v>
      </c>
      <c r="I4950">
        <v>31796</v>
      </c>
      <c r="J4950">
        <v>2</v>
      </c>
      <c r="K4950">
        <v>25</v>
      </c>
    </row>
    <row r="4951" spans="1:11">
      <c r="A4951">
        <v>90</v>
      </c>
      <c r="B4951" t="b">
        <v>0</v>
      </c>
      <c r="C4951" t="s">
        <v>46333</v>
      </c>
      <c r="D4951">
        <v>1037022454355</v>
      </c>
      <c r="E4951">
        <v>1</v>
      </c>
      <c r="F4951">
        <v>6129415276</v>
      </c>
      <c r="G4951">
        <v>22850000</v>
      </c>
      <c r="H4951" t="s">
        <v>40293</v>
      </c>
      <c r="I4951">
        <v>31796</v>
      </c>
      <c r="J4951">
        <v>7</v>
      </c>
      <c r="K4951">
        <v>9</v>
      </c>
    </row>
    <row r="4952" spans="1:11">
      <c r="A4952">
        <v>90</v>
      </c>
      <c r="B4952" t="b">
        <v>0</v>
      </c>
      <c r="C4952" t="s">
        <v>44147</v>
      </c>
      <c r="D4952">
        <v>1037022454355</v>
      </c>
      <c r="E4952">
        <v>1</v>
      </c>
      <c r="F4952">
        <v>6151407022</v>
      </c>
      <c r="G4952">
        <v>22840000</v>
      </c>
      <c r="H4952" t="s">
        <v>40293</v>
      </c>
      <c r="I4952">
        <v>31796</v>
      </c>
      <c r="J4952">
        <v>12</v>
      </c>
      <c r="K4952">
        <v>54</v>
      </c>
    </row>
    <row r="4953" spans="1:11">
      <c r="A4953">
        <v>30</v>
      </c>
      <c r="B4953" t="b">
        <v>0</v>
      </c>
      <c r="C4953" t="s">
        <v>44842</v>
      </c>
      <c r="D4953">
        <v>1037022454355</v>
      </c>
      <c r="E4953">
        <v>1</v>
      </c>
      <c r="F4953">
        <v>6155053588</v>
      </c>
      <c r="G4953">
        <v>20920000</v>
      </c>
      <c r="H4953" t="s">
        <v>40293</v>
      </c>
      <c r="I4953">
        <v>31796</v>
      </c>
      <c r="J4953">
        <v>11</v>
      </c>
      <c r="K4953">
        <v>15</v>
      </c>
    </row>
    <row r="4954" spans="1:11">
      <c r="A4954">
        <v>14</v>
      </c>
      <c r="B4954" t="b">
        <v>0</v>
      </c>
      <c r="C4954" t="s">
        <v>46475</v>
      </c>
      <c r="D4954">
        <v>1037022454355</v>
      </c>
      <c r="E4954">
        <v>1</v>
      </c>
      <c r="F4954">
        <v>6156975168</v>
      </c>
      <c r="G4954">
        <v>20830000</v>
      </c>
      <c r="H4954" t="s">
        <v>40293</v>
      </c>
      <c r="I4954">
        <v>31796</v>
      </c>
      <c r="J4954">
        <v>10</v>
      </c>
      <c r="K4954">
        <v>30</v>
      </c>
    </row>
    <row r="4955" spans="1:11">
      <c r="A4955">
        <v>90</v>
      </c>
      <c r="B4955" t="b">
        <v>0</v>
      </c>
      <c r="C4955" t="s">
        <v>46553</v>
      </c>
      <c r="D4955">
        <v>1037022454355</v>
      </c>
      <c r="E4955">
        <v>1</v>
      </c>
      <c r="F4955">
        <v>6156123936</v>
      </c>
      <c r="G4955">
        <v>549900000</v>
      </c>
      <c r="H4955" t="s">
        <v>40293</v>
      </c>
      <c r="I4955">
        <v>31798</v>
      </c>
      <c r="J4955">
        <v>3</v>
      </c>
      <c r="K4955">
        <v>3</v>
      </c>
    </row>
    <row r="4956" spans="1:11">
      <c r="A4956">
        <v>90</v>
      </c>
      <c r="B4956" t="b">
        <v>0</v>
      </c>
      <c r="C4956" t="s">
        <v>40807</v>
      </c>
      <c r="D4956">
        <v>1037022454355</v>
      </c>
      <c r="E4956">
        <v>1</v>
      </c>
      <c r="F4956">
        <v>6107540751</v>
      </c>
      <c r="G4956">
        <v>343000</v>
      </c>
      <c r="H4956" t="s">
        <v>40293</v>
      </c>
      <c r="I4956">
        <v>31800</v>
      </c>
      <c r="J4956">
        <v>30</v>
      </c>
      <c r="K4956">
        <v>30</v>
      </c>
    </row>
    <row r="4957" spans="1:11">
      <c r="A4957">
        <v>90</v>
      </c>
      <c r="B4957" t="b">
        <v>0</v>
      </c>
      <c r="C4957" t="s">
        <v>42831</v>
      </c>
      <c r="D4957">
        <v>1037022454355</v>
      </c>
      <c r="E4957">
        <v>1</v>
      </c>
      <c r="F4957">
        <v>6107854859</v>
      </c>
      <c r="G4957">
        <v>275000</v>
      </c>
      <c r="H4957" t="s">
        <v>40293</v>
      </c>
      <c r="I4957">
        <v>31800</v>
      </c>
      <c r="J4957">
        <v>9</v>
      </c>
      <c r="K4957">
        <v>10</v>
      </c>
    </row>
    <row r="4958" spans="1:11">
      <c r="A4958">
        <v>30</v>
      </c>
      <c r="B4958" t="b">
        <v>0</v>
      </c>
      <c r="C4958" t="s">
        <v>43897</v>
      </c>
      <c r="D4958">
        <v>1037022454355</v>
      </c>
      <c r="E4958">
        <v>1</v>
      </c>
      <c r="F4958">
        <v>6146946670</v>
      </c>
      <c r="G4958">
        <v>274900</v>
      </c>
      <c r="H4958" t="s">
        <v>40293</v>
      </c>
      <c r="I4958">
        <v>31800</v>
      </c>
      <c r="J4958">
        <v>5</v>
      </c>
      <c r="K4958">
        <v>5</v>
      </c>
    </row>
    <row r="4959" spans="1:11">
      <c r="A4959">
        <v>90</v>
      </c>
      <c r="B4959" t="b">
        <v>0</v>
      </c>
      <c r="C4959" t="s">
        <v>40868</v>
      </c>
      <c r="D4959">
        <v>1037022454355</v>
      </c>
      <c r="E4959">
        <v>1</v>
      </c>
      <c r="F4959">
        <v>6110720922</v>
      </c>
      <c r="G4959">
        <v>1499000</v>
      </c>
      <c r="H4959" t="s">
        <v>40293</v>
      </c>
      <c r="I4959">
        <v>31802</v>
      </c>
      <c r="J4959">
        <v>20</v>
      </c>
      <c r="K4959">
        <v>20</v>
      </c>
    </row>
    <row r="4960" spans="1:11">
      <c r="A4960">
        <v>90</v>
      </c>
      <c r="B4960" t="b">
        <v>0</v>
      </c>
      <c r="C4960" t="s">
        <v>43486</v>
      </c>
      <c r="D4960">
        <v>1037022454355</v>
      </c>
      <c r="E4960">
        <v>1</v>
      </c>
      <c r="F4960">
        <v>6144112071</v>
      </c>
      <c r="G4960">
        <v>1400000</v>
      </c>
      <c r="H4960" t="s">
        <v>40293</v>
      </c>
      <c r="I4960">
        <v>31802</v>
      </c>
      <c r="J4960">
        <v>11</v>
      </c>
      <c r="K4960">
        <v>11</v>
      </c>
    </row>
    <row r="4961" spans="1:11">
      <c r="A4961">
        <v>30</v>
      </c>
      <c r="B4961" t="b">
        <v>0</v>
      </c>
      <c r="C4961" t="s">
        <v>45631</v>
      </c>
      <c r="D4961">
        <v>1037022454355</v>
      </c>
      <c r="E4961">
        <v>1</v>
      </c>
      <c r="F4961">
        <v>6155653425</v>
      </c>
      <c r="G4961">
        <v>1400000</v>
      </c>
      <c r="H4961" t="s">
        <v>40293</v>
      </c>
      <c r="I4961">
        <v>31802</v>
      </c>
      <c r="J4961">
        <v>30</v>
      </c>
      <c r="K4961">
        <v>30</v>
      </c>
    </row>
    <row r="4962" spans="1:11">
      <c r="A4962">
        <v>90</v>
      </c>
      <c r="B4962" t="b">
        <v>0</v>
      </c>
      <c r="C4962" t="s">
        <v>44249</v>
      </c>
      <c r="D4962">
        <v>1037022454355</v>
      </c>
      <c r="E4962">
        <v>1</v>
      </c>
      <c r="F4962">
        <v>6128012006</v>
      </c>
      <c r="G4962">
        <v>1398000</v>
      </c>
      <c r="H4962" t="s">
        <v>40293</v>
      </c>
      <c r="I4962">
        <v>31802</v>
      </c>
      <c r="J4962">
        <v>11</v>
      </c>
      <c r="K4962">
        <v>41</v>
      </c>
    </row>
    <row r="4963" spans="1:11">
      <c r="A4963">
        <v>30</v>
      </c>
      <c r="B4963" t="b">
        <v>0</v>
      </c>
      <c r="C4963" t="s">
        <v>44865</v>
      </c>
      <c r="D4963">
        <v>1037022454355</v>
      </c>
      <c r="E4963">
        <v>1</v>
      </c>
      <c r="F4963">
        <v>6154300241</v>
      </c>
      <c r="G4963">
        <v>1397000</v>
      </c>
      <c r="H4963" t="s">
        <v>40293</v>
      </c>
      <c r="I4963">
        <v>31802</v>
      </c>
      <c r="J4963">
        <v>17</v>
      </c>
      <c r="K4963">
        <v>17</v>
      </c>
    </row>
    <row r="4964" spans="1:11">
      <c r="A4964">
        <v>90</v>
      </c>
      <c r="B4964" t="b">
        <v>0</v>
      </c>
      <c r="C4964" t="s">
        <v>40312</v>
      </c>
      <c r="D4964">
        <v>1037022454355</v>
      </c>
      <c r="E4964">
        <v>1</v>
      </c>
      <c r="F4964">
        <v>6097568195</v>
      </c>
      <c r="G4964">
        <v>12000000</v>
      </c>
      <c r="H4964" t="s">
        <v>40293</v>
      </c>
      <c r="I4964">
        <v>31810</v>
      </c>
      <c r="J4964">
        <v>1</v>
      </c>
      <c r="K4964">
        <v>2</v>
      </c>
    </row>
    <row r="4965" spans="1:11">
      <c r="A4965">
        <v>90</v>
      </c>
      <c r="B4965" t="b">
        <v>0</v>
      </c>
      <c r="C4965" t="s">
        <v>42098</v>
      </c>
      <c r="D4965">
        <v>1037022454355</v>
      </c>
      <c r="E4965">
        <v>1</v>
      </c>
      <c r="F4965">
        <v>6131815326</v>
      </c>
      <c r="G4965">
        <v>10000000</v>
      </c>
      <c r="H4965" t="s">
        <v>40293</v>
      </c>
      <c r="I4965">
        <v>31810</v>
      </c>
      <c r="J4965">
        <v>2</v>
      </c>
      <c r="K4965">
        <v>2</v>
      </c>
    </row>
    <row r="4966" spans="1:11">
      <c r="A4966">
        <v>90</v>
      </c>
      <c r="B4966" t="b">
        <v>0</v>
      </c>
      <c r="C4966" t="s">
        <v>42706</v>
      </c>
      <c r="D4966">
        <v>1037022454355</v>
      </c>
      <c r="E4966">
        <v>1</v>
      </c>
      <c r="F4966">
        <v>6135209480</v>
      </c>
      <c r="G4966">
        <v>9500000</v>
      </c>
      <c r="H4966" t="s">
        <v>40293</v>
      </c>
      <c r="I4966">
        <v>31810</v>
      </c>
      <c r="J4966">
        <v>2</v>
      </c>
      <c r="K4966">
        <v>2</v>
      </c>
    </row>
    <row r="4967" spans="1:11">
      <c r="A4967">
        <v>30</v>
      </c>
      <c r="B4967" t="b">
        <v>0</v>
      </c>
      <c r="C4967" t="s">
        <v>44911</v>
      </c>
      <c r="D4967">
        <v>1037022454355</v>
      </c>
      <c r="E4967">
        <v>1</v>
      </c>
      <c r="F4967">
        <v>6133132709</v>
      </c>
      <c r="G4967">
        <v>9485000</v>
      </c>
      <c r="H4967" t="s">
        <v>40293</v>
      </c>
      <c r="I4967">
        <v>31810</v>
      </c>
      <c r="J4967">
        <v>12</v>
      </c>
      <c r="K4967">
        <v>12</v>
      </c>
    </row>
    <row r="4968" spans="1:11">
      <c r="A4968">
        <v>30</v>
      </c>
      <c r="B4968" t="b">
        <v>0</v>
      </c>
      <c r="C4968" t="s">
        <v>46504</v>
      </c>
      <c r="D4968">
        <v>1037022454355</v>
      </c>
      <c r="E4968">
        <v>1</v>
      </c>
      <c r="F4968">
        <v>6145244505</v>
      </c>
      <c r="G4968">
        <v>9484000</v>
      </c>
      <c r="H4968" t="s">
        <v>40293</v>
      </c>
      <c r="I4968">
        <v>31810</v>
      </c>
      <c r="J4968">
        <v>5</v>
      </c>
      <c r="K4968">
        <v>5</v>
      </c>
    </row>
    <row r="4969" spans="1:11">
      <c r="A4969">
        <v>90</v>
      </c>
      <c r="B4969" t="b">
        <v>0</v>
      </c>
      <c r="C4969" t="s">
        <v>41699</v>
      </c>
      <c r="D4969">
        <v>1037022454355</v>
      </c>
      <c r="E4969">
        <v>1</v>
      </c>
      <c r="F4969">
        <v>6118308571</v>
      </c>
      <c r="G4969">
        <v>27560000</v>
      </c>
      <c r="H4969" t="s">
        <v>40293</v>
      </c>
      <c r="I4969">
        <v>31812</v>
      </c>
      <c r="J4969">
        <v>7</v>
      </c>
      <c r="K4969">
        <v>35</v>
      </c>
    </row>
    <row r="4970" spans="1:11">
      <c r="A4970">
        <v>90</v>
      </c>
      <c r="B4970" t="b">
        <v>0</v>
      </c>
      <c r="C4970" t="s">
        <v>45248</v>
      </c>
      <c r="D4970">
        <v>1037022454355</v>
      </c>
      <c r="E4970">
        <v>1</v>
      </c>
      <c r="F4970">
        <v>6152634105</v>
      </c>
      <c r="G4970">
        <v>27500000</v>
      </c>
      <c r="H4970" t="s">
        <v>40293</v>
      </c>
      <c r="I4970">
        <v>31812</v>
      </c>
      <c r="J4970">
        <v>3</v>
      </c>
      <c r="K4970">
        <v>3</v>
      </c>
    </row>
    <row r="4971" spans="1:11">
      <c r="A4971">
        <v>30</v>
      </c>
      <c r="B4971" t="b">
        <v>0</v>
      </c>
      <c r="C4971" t="s">
        <v>46102</v>
      </c>
      <c r="D4971">
        <v>1037022454355</v>
      </c>
      <c r="E4971">
        <v>1</v>
      </c>
      <c r="F4971">
        <v>6153463928</v>
      </c>
      <c r="G4971">
        <v>27490000</v>
      </c>
      <c r="H4971" t="s">
        <v>40293</v>
      </c>
      <c r="I4971">
        <v>31812</v>
      </c>
      <c r="J4971">
        <v>4</v>
      </c>
      <c r="K4971">
        <v>10</v>
      </c>
    </row>
    <row r="4972" spans="1:11">
      <c r="A4972">
        <v>30</v>
      </c>
      <c r="B4972" t="b">
        <v>0</v>
      </c>
      <c r="C4972" t="s">
        <v>45653</v>
      </c>
      <c r="D4972">
        <v>1037022454355</v>
      </c>
      <c r="E4972">
        <v>1</v>
      </c>
      <c r="F4972">
        <v>6155653762</v>
      </c>
      <c r="G4972">
        <v>3000000</v>
      </c>
      <c r="H4972" t="s">
        <v>40293</v>
      </c>
      <c r="I4972">
        <v>31818</v>
      </c>
      <c r="J4972">
        <v>30</v>
      </c>
      <c r="K4972">
        <v>30</v>
      </c>
    </row>
    <row r="4973" spans="1:11">
      <c r="A4973">
        <v>30</v>
      </c>
      <c r="B4973" t="b">
        <v>0</v>
      </c>
      <c r="C4973" t="s">
        <v>43634</v>
      </c>
      <c r="D4973">
        <v>1037022454355</v>
      </c>
      <c r="E4973">
        <v>1</v>
      </c>
      <c r="F4973">
        <v>6146938309</v>
      </c>
      <c r="G4973">
        <v>14200000</v>
      </c>
      <c r="H4973" t="s">
        <v>40293</v>
      </c>
      <c r="I4973">
        <v>31822</v>
      </c>
      <c r="J4973">
        <v>5</v>
      </c>
      <c r="K4973">
        <v>5</v>
      </c>
    </row>
    <row r="4974" spans="1:11">
      <c r="A4974">
        <v>30</v>
      </c>
      <c r="B4974" t="b">
        <v>0</v>
      </c>
      <c r="C4974" t="s">
        <v>45519</v>
      </c>
      <c r="D4974">
        <v>1037022454355</v>
      </c>
      <c r="E4974">
        <v>1</v>
      </c>
      <c r="F4974">
        <v>6154308600</v>
      </c>
      <c r="G4974">
        <v>35410000</v>
      </c>
      <c r="H4974" t="s">
        <v>40293</v>
      </c>
      <c r="I4974">
        <v>31824</v>
      </c>
      <c r="J4974">
        <v>10</v>
      </c>
      <c r="K4974">
        <v>10</v>
      </c>
    </row>
    <row r="4975" spans="1:11">
      <c r="A4975">
        <v>90</v>
      </c>
      <c r="B4975" t="b">
        <v>0</v>
      </c>
      <c r="C4975" t="s">
        <v>44038</v>
      </c>
      <c r="D4975">
        <v>1037022454355</v>
      </c>
      <c r="E4975">
        <v>1</v>
      </c>
      <c r="F4975">
        <v>6151110693</v>
      </c>
      <c r="G4975">
        <v>500000000</v>
      </c>
      <c r="H4975" t="s">
        <v>40293</v>
      </c>
      <c r="I4975">
        <v>31826</v>
      </c>
      <c r="J4975">
        <v>1</v>
      </c>
      <c r="K4975">
        <v>1</v>
      </c>
    </row>
    <row r="4976" spans="1:11">
      <c r="A4976">
        <v>90</v>
      </c>
      <c r="B4976" t="b">
        <v>0</v>
      </c>
      <c r="C4976" t="s">
        <v>43833</v>
      </c>
      <c r="D4976">
        <v>1037022454355</v>
      </c>
      <c r="E4976">
        <v>1</v>
      </c>
      <c r="F4976">
        <v>6140096358</v>
      </c>
      <c r="G4976">
        <v>1750000</v>
      </c>
      <c r="H4976" t="s">
        <v>40293</v>
      </c>
      <c r="I4976">
        <v>31864</v>
      </c>
      <c r="J4976">
        <v>154</v>
      </c>
      <c r="K4976">
        <v>216</v>
      </c>
    </row>
    <row r="4977" spans="1:11">
      <c r="A4977">
        <v>90</v>
      </c>
      <c r="B4977" t="b">
        <v>0</v>
      </c>
      <c r="C4977" t="s">
        <v>43165</v>
      </c>
      <c r="D4977">
        <v>1037022454355</v>
      </c>
      <c r="E4977">
        <v>1</v>
      </c>
      <c r="F4977">
        <v>6073851918</v>
      </c>
      <c r="G4977">
        <v>2251000</v>
      </c>
      <c r="H4977" t="s">
        <v>40293</v>
      </c>
      <c r="I4977">
        <v>31866</v>
      </c>
      <c r="J4977">
        <v>63</v>
      </c>
      <c r="K4977">
        <v>438</v>
      </c>
    </row>
    <row r="4978" spans="1:11">
      <c r="A4978">
        <v>90</v>
      </c>
      <c r="B4978" t="b">
        <v>0</v>
      </c>
      <c r="C4978" t="s">
        <v>46231</v>
      </c>
      <c r="D4978">
        <v>1037022454355</v>
      </c>
      <c r="E4978">
        <v>1</v>
      </c>
      <c r="F4978">
        <v>6154022726</v>
      </c>
      <c r="G4978">
        <v>2250000</v>
      </c>
      <c r="H4978" t="s">
        <v>40293</v>
      </c>
      <c r="I4978">
        <v>31866</v>
      </c>
      <c r="J4978">
        <v>12</v>
      </c>
      <c r="K4978">
        <v>25</v>
      </c>
    </row>
    <row r="4979" spans="1:11">
      <c r="A4979">
        <v>90</v>
      </c>
      <c r="B4979" t="b">
        <v>0</v>
      </c>
      <c r="C4979" t="s">
        <v>41963</v>
      </c>
      <c r="D4979">
        <v>1037022454355</v>
      </c>
      <c r="E4979">
        <v>1</v>
      </c>
      <c r="F4979">
        <v>6127413971</v>
      </c>
      <c r="G4979">
        <v>4499000</v>
      </c>
      <c r="H4979" t="s">
        <v>40293</v>
      </c>
      <c r="I4979">
        <v>31868</v>
      </c>
      <c r="J4979">
        <v>7</v>
      </c>
      <c r="K4979">
        <v>40</v>
      </c>
    </row>
    <row r="4980" spans="1:11">
      <c r="A4980">
        <v>90</v>
      </c>
      <c r="B4980" t="b">
        <v>0</v>
      </c>
      <c r="C4980" t="s">
        <v>43827</v>
      </c>
      <c r="D4980">
        <v>1037022454355</v>
      </c>
      <c r="E4980">
        <v>1</v>
      </c>
      <c r="F4980">
        <v>6140096132</v>
      </c>
      <c r="G4980">
        <v>3500000</v>
      </c>
      <c r="H4980" t="s">
        <v>40293</v>
      </c>
      <c r="I4980">
        <v>31868</v>
      </c>
      <c r="J4980">
        <v>163</v>
      </c>
      <c r="K4980">
        <v>373</v>
      </c>
    </row>
    <row r="4981" spans="1:11">
      <c r="A4981">
        <v>90</v>
      </c>
      <c r="B4981" t="b">
        <v>0</v>
      </c>
      <c r="C4981" t="s">
        <v>41994</v>
      </c>
      <c r="D4981">
        <v>1037022454355</v>
      </c>
      <c r="E4981">
        <v>1</v>
      </c>
      <c r="F4981">
        <v>6125999416</v>
      </c>
      <c r="G4981">
        <v>3600000</v>
      </c>
      <c r="H4981" t="s">
        <v>40293</v>
      </c>
      <c r="I4981">
        <v>31870</v>
      </c>
      <c r="J4981">
        <v>206</v>
      </c>
      <c r="K4981">
        <v>369</v>
      </c>
    </row>
    <row r="4982" spans="1:11">
      <c r="A4982">
        <v>90</v>
      </c>
      <c r="B4982" t="b">
        <v>0</v>
      </c>
      <c r="C4982" t="s">
        <v>44322</v>
      </c>
      <c r="D4982">
        <v>1037022454355</v>
      </c>
      <c r="E4982">
        <v>1</v>
      </c>
      <c r="F4982">
        <v>6157242282</v>
      </c>
      <c r="G4982">
        <v>5000000</v>
      </c>
      <c r="H4982" t="s">
        <v>40293</v>
      </c>
      <c r="I4982">
        <v>31872</v>
      </c>
      <c r="J4982">
        <v>1</v>
      </c>
      <c r="K4982">
        <v>1</v>
      </c>
    </row>
    <row r="4983" spans="1:11">
      <c r="A4983">
        <v>90</v>
      </c>
      <c r="B4983" t="b">
        <v>0</v>
      </c>
      <c r="C4983" t="s">
        <v>44328</v>
      </c>
      <c r="D4983">
        <v>1037022454355</v>
      </c>
      <c r="E4983">
        <v>1</v>
      </c>
      <c r="F4983">
        <v>6157242334</v>
      </c>
      <c r="G4983">
        <v>5000000</v>
      </c>
      <c r="H4983" t="s">
        <v>40293</v>
      </c>
      <c r="I4983">
        <v>31874</v>
      </c>
      <c r="J4983">
        <v>2</v>
      </c>
      <c r="K4983">
        <v>2</v>
      </c>
    </row>
    <row r="4984" spans="1:11">
      <c r="A4984">
        <v>90</v>
      </c>
      <c r="B4984" t="b">
        <v>0</v>
      </c>
      <c r="C4984" t="s">
        <v>44936</v>
      </c>
      <c r="D4984">
        <v>1037022454355</v>
      </c>
      <c r="E4984">
        <v>1</v>
      </c>
      <c r="F4984">
        <v>6156627657</v>
      </c>
      <c r="G4984">
        <v>3540000</v>
      </c>
      <c r="H4984" t="s">
        <v>40293</v>
      </c>
      <c r="I4984">
        <v>31878</v>
      </c>
      <c r="J4984">
        <v>111</v>
      </c>
      <c r="K4984">
        <v>111</v>
      </c>
    </row>
    <row r="4985" spans="1:11">
      <c r="A4985">
        <v>90</v>
      </c>
      <c r="B4985" t="b">
        <v>0</v>
      </c>
      <c r="C4985" t="s">
        <v>44381</v>
      </c>
      <c r="D4985">
        <v>1037022454355</v>
      </c>
      <c r="E4985">
        <v>1</v>
      </c>
      <c r="F4985">
        <v>6155408120</v>
      </c>
      <c r="G4985">
        <v>3581000</v>
      </c>
      <c r="H4985" t="s">
        <v>40293</v>
      </c>
      <c r="I4985">
        <v>31882</v>
      </c>
      <c r="J4985">
        <v>4</v>
      </c>
      <c r="K4985">
        <v>4</v>
      </c>
    </row>
    <row r="4986" spans="1:11">
      <c r="A4986">
        <v>90</v>
      </c>
      <c r="B4986" t="b">
        <v>0</v>
      </c>
      <c r="C4986" t="s">
        <v>40304</v>
      </c>
      <c r="D4986">
        <v>1037022454355</v>
      </c>
      <c r="E4986">
        <v>1</v>
      </c>
      <c r="F4986">
        <v>6123494752</v>
      </c>
      <c r="G4986">
        <v>3580000</v>
      </c>
      <c r="H4986" t="s">
        <v>40293</v>
      </c>
      <c r="I4986">
        <v>31882</v>
      </c>
      <c r="J4986">
        <v>1</v>
      </c>
      <c r="K4986">
        <v>30</v>
      </c>
    </row>
    <row r="4987" spans="1:11">
      <c r="A4987">
        <v>90</v>
      </c>
      <c r="B4987" t="b">
        <v>0</v>
      </c>
      <c r="C4987" t="s">
        <v>43982</v>
      </c>
      <c r="D4987">
        <v>1037022454355</v>
      </c>
      <c r="E4987">
        <v>1</v>
      </c>
      <c r="F4987">
        <v>6142066677</v>
      </c>
      <c r="G4987">
        <v>4700000</v>
      </c>
      <c r="H4987" t="s">
        <v>40293</v>
      </c>
      <c r="I4987">
        <v>31884</v>
      </c>
      <c r="J4987">
        <v>8</v>
      </c>
      <c r="K4987">
        <v>25</v>
      </c>
    </row>
    <row r="4988" spans="1:11">
      <c r="A4988">
        <v>90</v>
      </c>
      <c r="B4988" t="b">
        <v>0</v>
      </c>
      <c r="C4988" t="s">
        <v>45344</v>
      </c>
      <c r="D4988">
        <v>1037022454355</v>
      </c>
      <c r="E4988">
        <v>1</v>
      </c>
      <c r="F4988">
        <v>6154404873</v>
      </c>
      <c r="G4988">
        <v>4500000</v>
      </c>
      <c r="H4988" t="s">
        <v>40293</v>
      </c>
      <c r="I4988">
        <v>31884</v>
      </c>
      <c r="J4988">
        <v>15</v>
      </c>
      <c r="K4988">
        <v>15</v>
      </c>
    </row>
    <row r="4989" spans="1:11">
      <c r="A4989">
        <v>90</v>
      </c>
      <c r="B4989" t="b">
        <v>0</v>
      </c>
      <c r="C4989" t="s">
        <v>44340</v>
      </c>
      <c r="D4989">
        <v>1037022454355</v>
      </c>
      <c r="E4989">
        <v>1</v>
      </c>
      <c r="F4989">
        <v>6157242483</v>
      </c>
      <c r="G4989">
        <v>4499000</v>
      </c>
      <c r="H4989" t="s">
        <v>40293</v>
      </c>
      <c r="I4989">
        <v>31884</v>
      </c>
      <c r="J4989">
        <v>2</v>
      </c>
      <c r="K4989">
        <v>2</v>
      </c>
    </row>
    <row r="4990" spans="1:11">
      <c r="A4990">
        <v>90</v>
      </c>
      <c r="B4990" t="b">
        <v>0</v>
      </c>
      <c r="C4990" t="s">
        <v>45629</v>
      </c>
      <c r="D4990">
        <v>1037022454355</v>
      </c>
      <c r="E4990">
        <v>1</v>
      </c>
      <c r="F4990">
        <v>6156636455</v>
      </c>
      <c r="G4990">
        <v>3600000</v>
      </c>
      <c r="H4990" t="s">
        <v>40293</v>
      </c>
      <c r="I4990">
        <v>31886</v>
      </c>
      <c r="J4990">
        <v>52</v>
      </c>
      <c r="K4990">
        <v>52</v>
      </c>
    </row>
    <row r="4991" spans="1:11">
      <c r="A4991">
        <v>90</v>
      </c>
      <c r="B4991" t="b">
        <v>0</v>
      </c>
      <c r="C4991" t="s">
        <v>45503</v>
      </c>
      <c r="D4991">
        <v>1037022454355</v>
      </c>
      <c r="E4991">
        <v>1</v>
      </c>
      <c r="F4991">
        <v>6153587510</v>
      </c>
      <c r="G4991">
        <v>1750000</v>
      </c>
      <c r="H4991" t="s">
        <v>40293</v>
      </c>
      <c r="I4991">
        <v>31888</v>
      </c>
      <c r="J4991">
        <v>100</v>
      </c>
      <c r="K4991">
        <v>100</v>
      </c>
    </row>
    <row r="4992" spans="1:11">
      <c r="A4992">
        <v>90</v>
      </c>
      <c r="B4992" t="b">
        <v>0</v>
      </c>
      <c r="C4992" t="s">
        <v>41689</v>
      </c>
      <c r="D4992">
        <v>1037022454355</v>
      </c>
      <c r="E4992">
        <v>1</v>
      </c>
      <c r="F4992">
        <v>6098221546</v>
      </c>
      <c r="G4992">
        <v>1743000</v>
      </c>
      <c r="H4992" t="s">
        <v>40293</v>
      </c>
      <c r="I4992">
        <v>31888</v>
      </c>
      <c r="J4992">
        <v>8</v>
      </c>
      <c r="K4992">
        <v>70</v>
      </c>
    </row>
    <row r="4993" spans="1:11">
      <c r="A4993">
        <v>90</v>
      </c>
      <c r="B4993" t="b">
        <v>0</v>
      </c>
      <c r="C4993" t="s">
        <v>43169</v>
      </c>
      <c r="D4993">
        <v>1037022454355</v>
      </c>
      <c r="E4993">
        <v>1</v>
      </c>
      <c r="F4993">
        <v>6143975569</v>
      </c>
      <c r="G4993">
        <v>1729000</v>
      </c>
      <c r="H4993" t="s">
        <v>40293</v>
      </c>
      <c r="I4993">
        <v>31888</v>
      </c>
      <c r="J4993">
        <v>2</v>
      </c>
      <c r="K4993">
        <v>2</v>
      </c>
    </row>
    <row r="4994" spans="1:11">
      <c r="A4994">
        <v>90</v>
      </c>
      <c r="B4994" t="b">
        <v>0</v>
      </c>
      <c r="C4994" t="s">
        <v>42917</v>
      </c>
      <c r="D4994">
        <v>1037022454355</v>
      </c>
      <c r="E4994">
        <v>1</v>
      </c>
      <c r="F4994">
        <v>6144492601</v>
      </c>
      <c r="G4994">
        <v>1704000</v>
      </c>
      <c r="H4994" t="s">
        <v>40293</v>
      </c>
      <c r="I4994">
        <v>31888</v>
      </c>
      <c r="J4994">
        <v>17</v>
      </c>
      <c r="K4994">
        <v>27</v>
      </c>
    </row>
    <row r="4995" spans="1:11">
      <c r="A4995">
        <v>90</v>
      </c>
      <c r="B4995" t="b">
        <v>0</v>
      </c>
      <c r="C4995" t="s">
        <v>44361</v>
      </c>
      <c r="D4995">
        <v>1037022454355</v>
      </c>
      <c r="E4995">
        <v>1</v>
      </c>
      <c r="F4995">
        <v>6157242818</v>
      </c>
      <c r="G4995">
        <v>1703000</v>
      </c>
      <c r="H4995" t="s">
        <v>40293</v>
      </c>
      <c r="I4995">
        <v>31888</v>
      </c>
      <c r="J4995">
        <v>2</v>
      </c>
      <c r="K4995">
        <v>2</v>
      </c>
    </row>
    <row r="4996" spans="1:11">
      <c r="A4996">
        <v>90</v>
      </c>
      <c r="B4996" t="b">
        <v>0</v>
      </c>
      <c r="C4996" t="s">
        <v>45460</v>
      </c>
      <c r="D4996">
        <v>1037022454355</v>
      </c>
      <c r="E4996">
        <v>1</v>
      </c>
      <c r="F4996">
        <v>6153587065</v>
      </c>
      <c r="G4996">
        <v>2250000</v>
      </c>
      <c r="H4996" t="s">
        <v>40293</v>
      </c>
      <c r="I4996">
        <v>31890</v>
      </c>
      <c r="J4996">
        <v>101</v>
      </c>
      <c r="K4996">
        <v>119</v>
      </c>
    </row>
    <row r="4997" spans="1:11">
      <c r="A4997">
        <v>90</v>
      </c>
      <c r="B4997" t="b">
        <v>0</v>
      </c>
      <c r="C4997" t="s">
        <v>46401</v>
      </c>
      <c r="D4997">
        <v>1037022454355</v>
      </c>
      <c r="E4997">
        <v>1</v>
      </c>
      <c r="F4997">
        <v>6090773538</v>
      </c>
      <c r="G4997">
        <v>2601000</v>
      </c>
      <c r="H4997" t="s">
        <v>40293</v>
      </c>
      <c r="I4997">
        <v>31892</v>
      </c>
      <c r="J4997">
        <v>155</v>
      </c>
      <c r="K4997">
        <v>161</v>
      </c>
    </row>
    <row r="4998" spans="1:11">
      <c r="A4998">
        <v>90</v>
      </c>
      <c r="B4998" t="b">
        <v>0</v>
      </c>
      <c r="C4998" t="s">
        <v>41723</v>
      </c>
      <c r="D4998">
        <v>1037022454355</v>
      </c>
      <c r="E4998">
        <v>1</v>
      </c>
      <c r="F4998">
        <v>6084083562</v>
      </c>
      <c r="G4998">
        <v>2562000</v>
      </c>
      <c r="H4998" t="s">
        <v>40293</v>
      </c>
      <c r="I4998">
        <v>31892</v>
      </c>
      <c r="J4998">
        <v>15</v>
      </c>
      <c r="K4998">
        <v>20</v>
      </c>
    </row>
    <row r="4999" spans="1:11">
      <c r="A4999">
        <v>90</v>
      </c>
      <c r="B4999" t="b">
        <v>0</v>
      </c>
      <c r="C4999" t="s">
        <v>41140</v>
      </c>
      <c r="D4999">
        <v>1037022454355</v>
      </c>
      <c r="E4999">
        <v>1</v>
      </c>
      <c r="F4999">
        <v>6103845374</v>
      </c>
      <c r="G4999">
        <v>2500000</v>
      </c>
      <c r="H4999" t="s">
        <v>40293</v>
      </c>
      <c r="I4999">
        <v>31892</v>
      </c>
      <c r="J4999">
        <v>1</v>
      </c>
      <c r="K4999">
        <v>1</v>
      </c>
    </row>
    <row r="5000" spans="1:11">
      <c r="A5000">
        <v>90</v>
      </c>
      <c r="B5000" t="b">
        <v>0</v>
      </c>
      <c r="C5000" t="s">
        <v>41487</v>
      </c>
      <c r="D5000">
        <v>1037022454355</v>
      </c>
      <c r="E5000">
        <v>1</v>
      </c>
      <c r="F5000">
        <v>6114502326</v>
      </c>
      <c r="G5000">
        <v>2500000</v>
      </c>
      <c r="H5000" t="s">
        <v>40293</v>
      </c>
      <c r="I5000">
        <v>31892</v>
      </c>
      <c r="J5000">
        <v>1</v>
      </c>
      <c r="K5000">
        <v>1</v>
      </c>
    </row>
    <row r="5001" spans="1:11">
      <c r="A5001">
        <v>90</v>
      </c>
      <c r="B5001" t="b">
        <v>0</v>
      </c>
      <c r="C5001" t="s">
        <v>40637</v>
      </c>
      <c r="D5001">
        <v>1037022454355</v>
      </c>
      <c r="E5001">
        <v>1</v>
      </c>
      <c r="F5001">
        <v>6119923277</v>
      </c>
      <c r="G5001">
        <v>2499000</v>
      </c>
      <c r="H5001" t="s">
        <v>40293</v>
      </c>
      <c r="I5001">
        <v>31892</v>
      </c>
      <c r="J5001">
        <v>46</v>
      </c>
      <c r="K5001">
        <v>56</v>
      </c>
    </row>
    <row r="5002" spans="1:11">
      <c r="A5002">
        <v>90</v>
      </c>
      <c r="B5002" t="b">
        <v>0</v>
      </c>
      <c r="C5002" t="s">
        <v>43187</v>
      </c>
      <c r="D5002">
        <v>1037022454355</v>
      </c>
      <c r="E5002">
        <v>1</v>
      </c>
      <c r="F5002">
        <v>6140306043</v>
      </c>
      <c r="G5002">
        <v>2498000</v>
      </c>
      <c r="H5002" t="s">
        <v>40293</v>
      </c>
      <c r="I5002">
        <v>31892</v>
      </c>
      <c r="J5002">
        <v>9</v>
      </c>
      <c r="K5002">
        <v>29</v>
      </c>
    </row>
    <row r="5003" spans="1:11">
      <c r="A5003">
        <v>90</v>
      </c>
      <c r="B5003" t="b">
        <v>0</v>
      </c>
      <c r="C5003" t="s">
        <v>46466</v>
      </c>
      <c r="D5003">
        <v>1037022454355</v>
      </c>
      <c r="E5003">
        <v>1</v>
      </c>
      <c r="F5003">
        <v>6136101852</v>
      </c>
      <c r="G5003">
        <v>2480000</v>
      </c>
      <c r="H5003" t="s">
        <v>40293</v>
      </c>
      <c r="I5003">
        <v>31892</v>
      </c>
      <c r="J5003">
        <v>3</v>
      </c>
      <c r="K5003">
        <v>3</v>
      </c>
    </row>
    <row r="5004" spans="1:11">
      <c r="A5004">
        <v>90</v>
      </c>
      <c r="B5004" t="b">
        <v>0</v>
      </c>
      <c r="C5004" t="s">
        <v>46310</v>
      </c>
      <c r="D5004">
        <v>1037022454355</v>
      </c>
      <c r="E5004">
        <v>1</v>
      </c>
      <c r="F5004">
        <v>6067286781</v>
      </c>
      <c r="G5004">
        <v>2479000</v>
      </c>
      <c r="H5004" t="s">
        <v>40293</v>
      </c>
      <c r="I5004">
        <v>31892</v>
      </c>
      <c r="J5004">
        <v>42</v>
      </c>
      <c r="K5004">
        <v>59</v>
      </c>
    </row>
    <row r="5005" spans="1:11">
      <c r="A5005">
        <v>90</v>
      </c>
      <c r="B5005" t="b">
        <v>0</v>
      </c>
      <c r="C5005" t="s">
        <v>45777</v>
      </c>
      <c r="D5005">
        <v>1037022454355</v>
      </c>
      <c r="E5005">
        <v>1</v>
      </c>
      <c r="F5005">
        <v>6156703826</v>
      </c>
      <c r="G5005">
        <v>2478000</v>
      </c>
      <c r="H5005" t="s">
        <v>40293</v>
      </c>
      <c r="I5005">
        <v>31892</v>
      </c>
      <c r="J5005">
        <v>3</v>
      </c>
      <c r="K5005">
        <v>3</v>
      </c>
    </row>
    <row r="5006" spans="1:11">
      <c r="A5006">
        <v>90</v>
      </c>
      <c r="B5006" t="b">
        <v>0</v>
      </c>
      <c r="C5006" t="s">
        <v>45002</v>
      </c>
      <c r="D5006">
        <v>1037022454355</v>
      </c>
      <c r="E5006">
        <v>1</v>
      </c>
      <c r="F5006">
        <v>6156628389</v>
      </c>
      <c r="G5006">
        <v>2780000</v>
      </c>
      <c r="H5006" t="s">
        <v>40293</v>
      </c>
      <c r="I5006">
        <v>31894</v>
      </c>
      <c r="J5006">
        <v>104</v>
      </c>
      <c r="K5006">
        <v>104</v>
      </c>
    </row>
    <row r="5007" spans="1:11">
      <c r="A5007">
        <v>90</v>
      </c>
      <c r="B5007" t="b">
        <v>0</v>
      </c>
      <c r="C5007" t="s">
        <v>45282</v>
      </c>
      <c r="D5007">
        <v>1037022454355</v>
      </c>
      <c r="E5007">
        <v>1</v>
      </c>
      <c r="F5007">
        <v>6156632331</v>
      </c>
      <c r="G5007">
        <v>45300000</v>
      </c>
      <c r="H5007" t="s">
        <v>40293</v>
      </c>
      <c r="I5007">
        <v>31900</v>
      </c>
      <c r="J5007">
        <v>3</v>
      </c>
      <c r="K5007">
        <v>3</v>
      </c>
    </row>
    <row r="5008" spans="1:11">
      <c r="A5008">
        <v>90</v>
      </c>
      <c r="B5008" t="b">
        <v>0</v>
      </c>
      <c r="C5008" t="s">
        <v>45701</v>
      </c>
      <c r="D5008">
        <v>1037022454355</v>
      </c>
      <c r="E5008">
        <v>1</v>
      </c>
      <c r="F5008">
        <v>6155162950</v>
      </c>
      <c r="G5008">
        <v>39000000</v>
      </c>
      <c r="H5008" t="s">
        <v>40293</v>
      </c>
      <c r="I5008">
        <v>31900</v>
      </c>
      <c r="J5008">
        <v>2</v>
      </c>
      <c r="K5008">
        <v>5</v>
      </c>
    </row>
    <row r="5009" spans="1:11">
      <c r="A5009">
        <v>30</v>
      </c>
      <c r="B5009" t="b">
        <v>0</v>
      </c>
      <c r="C5009" t="s">
        <v>46312</v>
      </c>
      <c r="D5009">
        <v>1037022454355</v>
      </c>
      <c r="E5009">
        <v>1</v>
      </c>
      <c r="F5009">
        <v>6149894929</v>
      </c>
      <c r="G5009">
        <v>62500000</v>
      </c>
      <c r="H5009" t="s">
        <v>40293</v>
      </c>
      <c r="I5009">
        <v>31902</v>
      </c>
      <c r="J5009">
        <v>7</v>
      </c>
      <c r="K5009">
        <v>21</v>
      </c>
    </row>
    <row r="5010" spans="1:11">
      <c r="A5010">
        <v>90</v>
      </c>
      <c r="B5010" t="b">
        <v>0</v>
      </c>
      <c r="C5010" t="s">
        <v>46349</v>
      </c>
      <c r="D5010">
        <v>1037022454355</v>
      </c>
      <c r="E5010">
        <v>1</v>
      </c>
      <c r="F5010">
        <v>6156121416</v>
      </c>
      <c r="G5010">
        <v>62400000</v>
      </c>
      <c r="H5010" t="s">
        <v>40293</v>
      </c>
      <c r="I5010">
        <v>31902</v>
      </c>
      <c r="J5010">
        <v>4</v>
      </c>
      <c r="K5010">
        <v>5</v>
      </c>
    </row>
    <row r="5011" spans="1:11">
      <c r="A5011">
        <v>90</v>
      </c>
      <c r="B5011" t="b">
        <v>0</v>
      </c>
      <c r="C5011" t="s">
        <v>45316</v>
      </c>
      <c r="D5011">
        <v>1037022454355</v>
      </c>
      <c r="E5011">
        <v>1</v>
      </c>
      <c r="F5011">
        <v>6156632764</v>
      </c>
      <c r="G5011">
        <v>26400000</v>
      </c>
      <c r="H5011" t="s">
        <v>40293</v>
      </c>
      <c r="I5011">
        <v>31916</v>
      </c>
      <c r="J5011">
        <v>4</v>
      </c>
      <c r="K5011">
        <v>6</v>
      </c>
    </row>
    <row r="5012" spans="1:11">
      <c r="A5012">
        <v>90</v>
      </c>
      <c r="B5012" t="b">
        <v>0</v>
      </c>
      <c r="C5012" t="s">
        <v>42952</v>
      </c>
      <c r="D5012">
        <v>1037022454355</v>
      </c>
      <c r="E5012">
        <v>1</v>
      </c>
      <c r="F5012">
        <v>6140102352</v>
      </c>
      <c r="G5012">
        <v>30000000</v>
      </c>
      <c r="H5012" t="s">
        <v>40293</v>
      </c>
      <c r="I5012">
        <v>31918</v>
      </c>
      <c r="J5012">
        <v>5</v>
      </c>
      <c r="K5012">
        <v>10</v>
      </c>
    </row>
    <row r="5013" spans="1:11">
      <c r="A5013">
        <v>90</v>
      </c>
      <c r="B5013" t="b">
        <v>0</v>
      </c>
      <c r="C5013" t="s">
        <v>43402</v>
      </c>
      <c r="D5013">
        <v>1037022454355</v>
      </c>
      <c r="E5013">
        <v>1</v>
      </c>
      <c r="F5013">
        <v>6074611956</v>
      </c>
      <c r="G5013">
        <v>3701000</v>
      </c>
      <c r="H5013" t="s">
        <v>40293</v>
      </c>
      <c r="I5013">
        <v>31922</v>
      </c>
      <c r="J5013">
        <v>20</v>
      </c>
      <c r="K5013">
        <v>34</v>
      </c>
    </row>
    <row r="5014" spans="1:11">
      <c r="A5014">
        <v>90</v>
      </c>
      <c r="B5014" t="b">
        <v>0</v>
      </c>
      <c r="C5014" t="s">
        <v>45892</v>
      </c>
      <c r="D5014">
        <v>1037022454355</v>
      </c>
      <c r="E5014">
        <v>1</v>
      </c>
      <c r="F5014">
        <v>6153592046</v>
      </c>
      <c r="G5014">
        <v>4320000</v>
      </c>
      <c r="H5014" t="s">
        <v>40293</v>
      </c>
      <c r="I5014">
        <v>31924</v>
      </c>
      <c r="J5014">
        <v>19</v>
      </c>
      <c r="K5014">
        <v>19</v>
      </c>
    </row>
    <row r="5015" spans="1:11">
      <c r="A5015">
        <v>90</v>
      </c>
      <c r="B5015" t="b">
        <v>0</v>
      </c>
      <c r="C5015" t="s">
        <v>41530</v>
      </c>
      <c r="D5015">
        <v>1037022454355</v>
      </c>
      <c r="E5015">
        <v>1</v>
      </c>
      <c r="F5015">
        <v>6112373457</v>
      </c>
      <c r="G5015">
        <v>4150000</v>
      </c>
      <c r="H5015" t="s">
        <v>40293</v>
      </c>
      <c r="I5015">
        <v>31924</v>
      </c>
      <c r="J5015">
        <v>3</v>
      </c>
      <c r="K5015">
        <v>3</v>
      </c>
    </row>
    <row r="5016" spans="1:11">
      <c r="A5016">
        <v>90</v>
      </c>
      <c r="B5016" t="b">
        <v>0</v>
      </c>
      <c r="C5016" t="s">
        <v>41378</v>
      </c>
      <c r="D5016">
        <v>1037022454355</v>
      </c>
      <c r="E5016">
        <v>1</v>
      </c>
      <c r="F5016">
        <v>6119935814</v>
      </c>
      <c r="G5016">
        <v>4139000</v>
      </c>
      <c r="H5016" t="s">
        <v>40293</v>
      </c>
      <c r="I5016">
        <v>31924</v>
      </c>
      <c r="J5016">
        <v>2</v>
      </c>
      <c r="K5016">
        <v>4</v>
      </c>
    </row>
    <row r="5017" spans="1:11">
      <c r="A5017">
        <v>90</v>
      </c>
      <c r="B5017" t="b">
        <v>0</v>
      </c>
      <c r="C5017" t="s">
        <v>42593</v>
      </c>
      <c r="D5017">
        <v>1037022454355</v>
      </c>
      <c r="E5017">
        <v>1</v>
      </c>
      <c r="F5017">
        <v>6132188674</v>
      </c>
      <c r="G5017">
        <v>4137000</v>
      </c>
      <c r="H5017" t="s">
        <v>40293</v>
      </c>
      <c r="I5017">
        <v>31924</v>
      </c>
      <c r="J5017">
        <v>2</v>
      </c>
      <c r="K5017">
        <v>5</v>
      </c>
    </row>
    <row r="5018" spans="1:11">
      <c r="A5018">
        <v>90</v>
      </c>
      <c r="B5018" t="b">
        <v>0</v>
      </c>
      <c r="C5018" t="s">
        <v>43393</v>
      </c>
      <c r="D5018">
        <v>1037022454355</v>
      </c>
      <c r="E5018">
        <v>1</v>
      </c>
      <c r="F5018">
        <v>6074611616</v>
      </c>
      <c r="G5018">
        <v>15410000</v>
      </c>
      <c r="H5018" t="s">
        <v>40293</v>
      </c>
      <c r="I5018">
        <v>31926</v>
      </c>
      <c r="J5018">
        <v>17</v>
      </c>
      <c r="K5018">
        <v>25</v>
      </c>
    </row>
    <row r="5019" spans="1:11">
      <c r="A5019">
        <v>90</v>
      </c>
      <c r="B5019" t="b">
        <v>0</v>
      </c>
      <c r="C5019" t="s">
        <v>45045</v>
      </c>
      <c r="D5019">
        <v>1037022454355</v>
      </c>
      <c r="E5019">
        <v>1</v>
      </c>
      <c r="F5019">
        <v>6155351056</v>
      </c>
      <c r="G5019">
        <v>15400000</v>
      </c>
      <c r="H5019" t="s">
        <v>40293</v>
      </c>
      <c r="I5019">
        <v>31926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42048</v>
      </c>
      <c r="D5020">
        <v>1037022454355</v>
      </c>
      <c r="E5020">
        <v>1</v>
      </c>
      <c r="F5020">
        <v>6131586277</v>
      </c>
      <c r="G5020">
        <v>17040000</v>
      </c>
      <c r="H5020" t="s">
        <v>40293</v>
      </c>
      <c r="I5020">
        <v>31928</v>
      </c>
      <c r="J5020">
        <v>6</v>
      </c>
      <c r="K5020">
        <v>25</v>
      </c>
    </row>
    <row r="5021" spans="1:11">
      <c r="A5021">
        <v>90</v>
      </c>
      <c r="B5021" t="b">
        <v>0</v>
      </c>
      <c r="C5021" t="s">
        <v>43479</v>
      </c>
      <c r="D5021">
        <v>1037022454355</v>
      </c>
      <c r="E5021">
        <v>1</v>
      </c>
      <c r="F5021">
        <v>6143099385</v>
      </c>
      <c r="G5021">
        <v>17020000</v>
      </c>
      <c r="H5021" t="s">
        <v>40293</v>
      </c>
      <c r="I5021">
        <v>31928</v>
      </c>
      <c r="J5021">
        <v>1</v>
      </c>
      <c r="K5021">
        <v>1</v>
      </c>
    </row>
    <row r="5022" spans="1:11">
      <c r="A5022">
        <v>90</v>
      </c>
      <c r="B5022" t="b">
        <v>0</v>
      </c>
      <c r="C5022" t="s">
        <v>43503</v>
      </c>
      <c r="D5022">
        <v>1037022454355</v>
      </c>
      <c r="E5022">
        <v>1</v>
      </c>
      <c r="F5022">
        <v>6145983621</v>
      </c>
      <c r="G5022">
        <v>17000000</v>
      </c>
      <c r="H5022" t="s">
        <v>40293</v>
      </c>
      <c r="I5022">
        <v>31928</v>
      </c>
      <c r="J5022">
        <v>1</v>
      </c>
      <c r="K5022">
        <v>1</v>
      </c>
    </row>
    <row r="5023" spans="1:11">
      <c r="A5023">
        <v>90</v>
      </c>
      <c r="B5023" t="b">
        <v>0</v>
      </c>
      <c r="C5023" t="s">
        <v>45139</v>
      </c>
      <c r="D5023">
        <v>1037022454355</v>
      </c>
      <c r="E5023">
        <v>1</v>
      </c>
      <c r="F5023">
        <v>6148634860</v>
      </c>
      <c r="G5023">
        <v>16700000</v>
      </c>
      <c r="H5023" t="s">
        <v>40293</v>
      </c>
      <c r="I5023">
        <v>31928</v>
      </c>
      <c r="J5023">
        <v>4</v>
      </c>
      <c r="K5023">
        <v>4</v>
      </c>
    </row>
    <row r="5024" spans="1:11">
      <c r="A5024">
        <v>90</v>
      </c>
      <c r="B5024" t="b">
        <v>0</v>
      </c>
      <c r="C5024" t="s">
        <v>45347</v>
      </c>
      <c r="D5024">
        <v>1037022454355</v>
      </c>
      <c r="E5024">
        <v>1</v>
      </c>
      <c r="F5024">
        <v>6151160860</v>
      </c>
      <c r="G5024">
        <v>16000000</v>
      </c>
      <c r="H5024" t="s">
        <v>40293</v>
      </c>
      <c r="I5024">
        <v>31928</v>
      </c>
      <c r="J5024">
        <v>1</v>
      </c>
      <c r="K5024">
        <v>1</v>
      </c>
    </row>
    <row r="5025" spans="1:11">
      <c r="A5025">
        <v>30</v>
      </c>
      <c r="B5025" t="b">
        <v>0</v>
      </c>
      <c r="C5025" t="s">
        <v>44967</v>
      </c>
      <c r="D5025">
        <v>1037022454355</v>
      </c>
      <c r="E5025">
        <v>1</v>
      </c>
      <c r="F5025">
        <v>6151287475</v>
      </c>
      <c r="G5025">
        <v>15500000</v>
      </c>
      <c r="H5025" t="s">
        <v>40293</v>
      </c>
      <c r="I5025">
        <v>31928</v>
      </c>
      <c r="J5025">
        <v>2</v>
      </c>
      <c r="K5025">
        <v>3</v>
      </c>
    </row>
    <row r="5026" spans="1:11">
      <c r="A5026">
        <v>90</v>
      </c>
      <c r="B5026" t="b">
        <v>0</v>
      </c>
      <c r="C5026" t="s">
        <v>45728</v>
      </c>
      <c r="D5026">
        <v>1037022454355</v>
      </c>
      <c r="E5026">
        <v>1</v>
      </c>
      <c r="F5026">
        <v>6152738380</v>
      </c>
      <c r="G5026">
        <v>15400000</v>
      </c>
      <c r="H5026" t="s">
        <v>40293</v>
      </c>
      <c r="I5026">
        <v>31928</v>
      </c>
      <c r="J5026">
        <v>3</v>
      </c>
      <c r="K5026">
        <v>4</v>
      </c>
    </row>
    <row r="5027" spans="1:11">
      <c r="A5027">
        <v>90</v>
      </c>
      <c r="B5027" t="b">
        <v>0</v>
      </c>
      <c r="C5027" t="s">
        <v>46353</v>
      </c>
      <c r="D5027">
        <v>1037022454355</v>
      </c>
      <c r="E5027">
        <v>1</v>
      </c>
      <c r="F5027">
        <v>6153401777</v>
      </c>
      <c r="G5027">
        <v>15000000</v>
      </c>
      <c r="H5027" t="s">
        <v>40293</v>
      </c>
      <c r="I5027">
        <v>31928</v>
      </c>
      <c r="J5027">
        <v>6</v>
      </c>
      <c r="K5027">
        <v>6</v>
      </c>
    </row>
    <row r="5028" spans="1:11">
      <c r="A5028">
        <v>90</v>
      </c>
      <c r="B5028" t="b">
        <v>0</v>
      </c>
      <c r="C5028" t="s">
        <v>45024</v>
      </c>
      <c r="D5028">
        <v>1037022454355</v>
      </c>
      <c r="E5028">
        <v>1</v>
      </c>
      <c r="F5028">
        <v>6155350724</v>
      </c>
      <c r="G5028">
        <v>14960000</v>
      </c>
      <c r="H5028" t="s">
        <v>40293</v>
      </c>
      <c r="I5028">
        <v>31928</v>
      </c>
      <c r="J5028">
        <v>7</v>
      </c>
      <c r="K5028">
        <v>7</v>
      </c>
    </row>
    <row r="5029" spans="1:11">
      <c r="A5029">
        <v>90</v>
      </c>
      <c r="B5029" t="b">
        <v>0</v>
      </c>
      <c r="C5029" t="s">
        <v>44830</v>
      </c>
      <c r="D5029">
        <v>1037022454355</v>
      </c>
      <c r="E5029">
        <v>1</v>
      </c>
      <c r="F5029">
        <v>6155839875</v>
      </c>
      <c r="G5029">
        <v>14920000</v>
      </c>
      <c r="H5029" t="s">
        <v>40293</v>
      </c>
      <c r="I5029">
        <v>31928</v>
      </c>
      <c r="J5029">
        <v>1</v>
      </c>
      <c r="K5029">
        <v>1</v>
      </c>
    </row>
    <row r="5030" spans="1:11">
      <c r="A5030">
        <v>30</v>
      </c>
      <c r="B5030" t="b">
        <v>0</v>
      </c>
      <c r="C5030" t="s">
        <v>46540</v>
      </c>
      <c r="D5030">
        <v>1037022454355</v>
      </c>
      <c r="E5030">
        <v>1</v>
      </c>
      <c r="F5030">
        <v>6156615307</v>
      </c>
      <c r="G5030">
        <v>14910000</v>
      </c>
      <c r="H5030" t="s">
        <v>40293</v>
      </c>
      <c r="I5030">
        <v>31928</v>
      </c>
      <c r="J5030">
        <v>8</v>
      </c>
      <c r="K5030">
        <v>13</v>
      </c>
    </row>
    <row r="5031" spans="1:11">
      <c r="A5031">
        <v>90</v>
      </c>
      <c r="B5031" t="b">
        <v>0</v>
      </c>
      <c r="C5031" t="s">
        <v>43385</v>
      </c>
      <c r="D5031">
        <v>1037022454355</v>
      </c>
      <c r="E5031">
        <v>1</v>
      </c>
      <c r="F5031">
        <v>6074611251</v>
      </c>
      <c r="G5031">
        <v>36010000</v>
      </c>
      <c r="H5031" t="s">
        <v>40293</v>
      </c>
      <c r="I5031">
        <v>31930</v>
      </c>
      <c r="J5031">
        <v>1</v>
      </c>
      <c r="K5031">
        <v>6</v>
      </c>
    </row>
    <row r="5032" spans="1:11">
      <c r="A5032">
        <v>90</v>
      </c>
      <c r="B5032" t="b">
        <v>0</v>
      </c>
      <c r="C5032" t="s">
        <v>41762</v>
      </c>
      <c r="D5032">
        <v>1037022454355</v>
      </c>
      <c r="E5032">
        <v>1</v>
      </c>
      <c r="F5032">
        <v>6088589284</v>
      </c>
      <c r="G5032">
        <v>32940000</v>
      </c>
      <c r="H5032" t="s">
        <v>40293</v>
      </c>
      <c r="I5032">
        <v>31930</v>
      </c>
      <c r="J5032">
        <v>10</v>
      </c>
      <c r="K5032">
        <v>15</v>
      </c>
    </row>
    <row r="5033" spans="1:11">
      <c r="A5033">
        <v>90</v>
      </c>
      <c r="B5033" t="b">
        <v>0</v>
      </c>
      <c r="C5033" t="s">
        <v>40479</v>
      </c>
      <c r="D5033">
        <v>1037022454355</v>
      </c>
      <c r="E5033">
        <v>1</v>
      </c>
      <c r="F5033">
        <v>6123950292</v>
      </c>
      <c r="G5033">
        <v>32900000</v>
      </c>
      <c r="H5033" t="s">
        <v>40293</v>
      </c>
      <c r="I5033">
        <v>31930</v>
      </c>
      <c r="J5033">
        <v>2</v>
      </c>
      <c r="K5033">
        <v>2</v>
      </c>
    </row>
    <row r="5034" spans="1:11">
      <c r="A5034">
        <v>90</v>
      </c>
      <c r="B5034" t="b">
        <v>0</v>
      </c>
      <c r="C5034" t="s">
        <v>41328</v>
      </c>
      <c r="D5034">
        <v>1037022454355</v>
      </c>
      <c r="E5034">
        <v>1</v>
      </c>
      <c r="F5034">
        <v>6124426934</v>
      </c>
      <c r="G5034">
        <v>32800000</v>
      </c>
      <c r="H5034" t="s">
        <v>40293</v>
      </c>
      <c r="I5034">
        <v>31930</v>
      </c>
      <c r="J5034">
        <v>2</v>
      </c>
      <c r="K5034">
        <v>2</v>
      </c>
    </row>
    <row r="5035" spans="1:11">
      <c r="A5035">
        <v>90</v>
      </c>
      <c r="B5035" t="b">
        <v>0</v>
      </c>
      <c r="C5035" t="s">
        <v>41290</v>
      </c>
      <c r="D5035">
        <v>1037022454355</v>
      </c>
      <c r="E5035">
        <v>1</v>
      </c>
      <c r="F5035">
        <v>6107616389</v>
      </c>
      <c r="G5035">
        <v>50400000</v>
      </c>
      <c r="H5035" t="s">
        <v>40293</v>
      </c>
      <c r="I5035">
        <v>31932</v>
      </c>
      <c r="J5035">
        <v>8</v>
      </c>
      <c r="K5035">
        <v>8</v>
      </c>
    </row>
    <row r="5036" spans="1:11">
      <c r="A5036">
        <v>90</v>
      </c>
      <c r="B5036" t="b">
        <v>0</v>
      </c>
      <c r="C5036" t="s">
        <v>41079</v>
      </c>
      <c r="D5036">
        <v>1037022454355</v>
      </c>
      <c r="E5036">
        <v>1</v>
      </c>
      <c r="F5036">
        <v>6111315355</v>
      </c>
      <c r="G5036">
        <v>49000000</v>
      </c>
      <c r="H5036" t="s">
        <v>40293</v>
      </c>
      <c r="I5036">
        <v>31932</v>
      </c>
      <c r="J5036">
        <v>3</v>
      </c>
      <c r="K5036">
        <v>3</v>
      </c>
    </row>
    <row r="5037" spans="1:11">
      <c r="A5037">
        <v>90</v>
      </c>
      <c r="B5037" t="b">
        <v>0</v>
      </c>
      <c r="C5037" t="s">
        <v>41143</v>
      </c>
      <c r="D5037">
        <v>1037022454355</v>
      </c>
      <c r="E5037">
        <v>1</v>
      </c>
      <c r="F5037">
        <v>6109645427</v>
      </c>
      <c r="G5037">
        <v>48800000</v>
      </c>
      <c r="H5037" t="s">
        <v>40293</v>
      </c>
      <c r="I5037">
        <v>31932</v>
      </c>
      <c r="J5037">
        <v>1</v>
      </c>
      <c r="K5037">
        <v>4</v>
      </c>
    </row>
    <row r="5038" spans="1:11">
      <c r="A5038">
        <v>90</v>
      </c>
      <c r="B5038" t="b">
        <v>0</v>
      </c>
      <c r="C5038" t="s">
        <v>40521</v>
      </c>
      <c r="D5038">
        <v>1037022454355</v>
      </c>
      <c r="E5038">
        <v>1</v>
      </c>
      <c r="F5038">
        <v>6118708523</v>
      </c>
      <c r="G5038">
        <v>47160000</v>
      </c>
      <c r="H5038" t="s">
        <v>40293</v>
      </c>
      <c r="I5038">
        <v>31932</v>
      </c>
      <c r="J5038">
        <v>2</v>
      </c>
      <c r="K5038">
        <v>2</v>
      </c>
    </row>
    <row r="5039" spans="1:11">
      <c r="A5039">
        <v>90</v>
      </c>
      <c r="B5039" t="b">
        <v>0</v>
      </c>
      <c r="C5039" t="s">
        <v>40719</v>
      </c>
      <c r="D5039">
        <v>1037022454355</v>
      </c>
      <c r="E5039">
        <v>1</v>
      </c>
      <c r="F5039">
        <v>6119949869</v>
      </c>
      <c r="G5039">
        <v>47130000</v>
      </c>
      <c r="H5039" t="s">
        <v>40293</v>
      </c>
      <c r="I5039">
        <v>31932</v>
      </c>
      <c r="J5039">
        <v>2</v>
      </c>
      <c r="K5039">
        <v>2</v>
      </c>
    </row>
    <row r="5040" spans="1:11">
      <c r="A5040">
        <v>90</v>
      </c>
      <c r="B5040" t="b">
        <v>0</v>
      </c>
      <c r="C5040" t="s">
        <v>41119</v>
      </c>
      <c r="D5040">
        <v>1037022454355</v>
      </c>
      <c r="E5040">
        <v>1</v>
      </c>
      <c r="F5040">
        <v>6119999652</v>
      </c>
      <c r="G5040">
        <v>47120000</v>
      </c>
      <c r="H5040" t="s">
        <v>40293</v>
      </c>
      <c r="I5040">
        <v>31932</v>
      </c>
      <c r="J5040">
        <v>2</v>
      </c>
      <c r="K5040">
        <v>2</v>
      </c>
    </row>
    <row r="5041" spans="1:11">
      <c r="A5041">
        <v>90</v>
      </c>
      <c r="B5041" t="b">
        <v>0</v>
      </c>
      <c r="C5041" t="s">
        <v>40844</v>
      </c>
      <c r="D5041">
        <v>1037022454355</v>
      </c>
      <c r="E5041">
        <v>1</v>
      </c>
      <c r="F5041">
        <v>6120179775</v>
      </c>
      <c r="G5041">
        <v>46990000</v>
      </c>
      <c r="H5041" t="s">
        <v>40293</v>
      </c>
      <c r="I5041">
        <v>31932</v>
      </c>
      <c r="J5041">
        <v>2</v>
      </c>
      <c r="K5041">
        <v>2</v>
      </c>
    </row>
    <row r="5042" spans="1:11">
      <c r="A5042">
        <v>90</v>
      </c>
      <c r="B5042" t="b">
        <v>0</v>
      </c>
      <c r="C5042" t="s">
        <v>42110</v>
      </c>
      <c r="D5042">
        <v>1037022454355</v>
      </c>
      <c r="E5042">
        <v>1</v>
      </c>
      <c r="F5042">
        <v>6126285927</v>
      </c>
      <c r="G5042">
        <v>38300000</v>
      </c>
      <c r="H5042" t="s">
        <v>40293</v>
      </c>
      <c r="I5042">
        <v>31932</v>
      </c>
      <c r="J5042">
        <v>1</v>
      </c>
      <c r="K5042">
        <v>1</v>
      </c>
    </row>
    <row r="5043" spans="1:11">
      <c r="A5043">
        <v>90</v>
      </c>
      <c r="B5043" t="b">
        <v>0</v>
      </c>
      <c r="C5043" t="s">
        <v>42491</v>
      </c>
      <c r="D5043">
        <v>1037022454355</v>
      </c>
      <c r="E5043">
        <v>1</v>
      </c>
      <c r="F5043">
        <v>6134706867</v>
      </c>
      <c r="G5043">
        <v>37900000</v>
      </c>
      <c r="H5043" t="s">
        <v>40293</v>
      </c>
      <c r="I5043">
        <v>31932</v>
      </c>
      <c r="J5043">
        <v>2</v>
      </c>
      <c r="K5043">
        <v>2</v>
      </c>
    </row>
    <row r="5044" spans="1:11">
      <c r="A5044">
        <v>90</v>
      </c>
      <c r="B5044" t="b">
        <v>0</v>
      </c>
      <c r="C5044" t="s">
        <v>44471</v>
      </c>
      <c r="D5044">
        <v>1037022454355</v>
      </c>
      <c r="E5044">
        <v>1</v>
      </c>
      <c r="F5044">
        <v>6155180005</v>
      </c>
      <c r="G5044">
        <v>37850000</v>
      </c>
      <c r="H5044" t="s">
        <v>40293</v>
      </c>
      <c r="I5044">
        <v>31932</v>
      </c>
      <c r="J5044">
        <v>1</v>
      </c>
      <c r="K5044">
        <v>2</v>
      </c>
    </row>
    <row r="5045" spans="1:11">
      <c r="A5045">
        <v>90</v>
      </c>
      <c r="B5045" t="b">
        <v>0</v>
      </c>
      <c r="C5045" t="s">
        <v>42963</v>
      </c>
      <c r="D5045">
        <v>1037022454355</v>
      </c>
      <c r="E5045">
        <v>1</v>
      </c>
      <c r="F5045">
        <v>6140102813</v>
      </c>
      <c r="G5045">
        <v>11900000</v>
      </c>
      <c r="H5045" t="s">
        <v>40293</v>
      </c>
      <c r="I5045">
        <v>31936</v>
      </c>
      <c r="J5045">
        <v>29</v>
      </c>
      <c r="K5045">
        <v>29</v>
      </c>
    </row>
    <row r="5046" spans="1:11">
      <c r="A5046">
        <v>90</v>
      </c>
      <c r="B5046" t="b">
        <v>0</v>
      </c>
      <c r="C5046" t="s">
        <v>40330</v>
      </c>
      <c r="D5046">
        <v>1037022454355</v>
      </c>
      <c r="E5046">
        <v>1</v>
      </c>
      <c r="F5046">
        <v>6119949323</v>
      </c>
      <c r="G5046">
        <v>40000000</v>
      </c>
      <c r="H5046" t="s">
        <v>40293</v>
      </c>
      <c r="I5046">
        <v>31942</v>
      </c>
      <c r="J5046">
        <v>1</v>
      </c>
      <c r="K5046">
        <v>4</v>
      </c>
    </row>
    <row r="5047" spans="1:11">
      <c r="A5047">
        <v>90</v>
      </c>
      <c r="B5047" t="b">
        <v>0</v>
      </c>
      <c r="C5047" t="s">
        <v>42518</v>
      </c>
      <c r="D5047">
        <v>1037022454355</v>
      </c>
      <c r="E5047">
        <v>1</v>
      </c>
      <c r="F5047">
        <v>6137034667</v>
      </c>
      <c r="G5047">
        <v>39900000</v>
      </c>
      <c r="H5047" t="s">
        <v>40293</v>
      </c>
      <c r="I5047">
        <v>31942</v>
      </c>
      <c r="J5047">
        <v>3</v>
      </c>
      <c r="K5047">
        <v>3</v>
      </c>
    </row>
    <row r="5048" spans="1:11">
      <c r="A5048">
        <v>90</v>
      </c>
      <c r="B5048" t="b">
        <v>0</v>
      </c>
      <c r="C5048" t="s">
        <v>43979</v>
      </c>
      <c r="D5048">
        <v>1037022454355</v>
      </c>
      <c r="E5048">
        <v>1</v>
      </c>
      <c r="F5048">
        <v>6147178432</v>
      </c>
      <c r="G5048">
        <v>40800000</v>
      </c>
      <c r="H5048" t="s">
        <v>40293</v>
      </c>
      <c r="I5048">
        <v>31944</v>
      </c>
      <c r="J5048">
        <v>2</v>
      </c>
      <c r="K5048">
        <v>13</v>
      </c>
    </row>
    <row r="5049" spans="1:11">
      <c r="A5049">
        <v>90</v>
      </c>
      <c r="B5049" t="b">
        <v>0</v>
      </c>
      <c r="C5049" t="s">
        <v>40684</v>
      </c>
      <c r="D5049">
        <v>1037022454355</v>
      </c>
      <c r="E5049">
        <v>1</v>
      </c>
      <c r="F5049">
        <v>6074638796</v>
      </c>
      <c r="G5049">
        <v>38200000</v>
      </c>
      <c r="H5049" t="s">
        <v>40293</v>
      </c>
      <c r="I5049">
        <v>31952</v>
      </c>
      <c r="J5049">
        <v>1</v>
      </c>
      <c r="K5049">
        <v>12</v>
      </c>
    </row>
    <row r="5050" spans="1:11">
      <c r="A5050">
        <v>90</v>
      </c>
      <c r="B5050" t="b">
        <v>0</v>
      </c>
      <c r="C5050" t="s">
        <v>44381</v>
      </c>
      <c r="D5050">
        <v>1037022454355</v>
      </c>
      <c r="E5050">
        <v>1</v>
      </c>
      <c r="F5050">
        <v>6155408123</v>
      </c>
      <c r="G5050">
        <v>38190000</v>
      </c>
      <c r="H5050" t="s">
        <v>40293</v>
      </c>
      <c r="I5050">
        <v>31952</v>
      </c>
      <c r="J5050">
        <v>3</v>
      </c>
      <c r="K5050">
        <v>3</v>
      </c>
    </row>
    <row r="5051" spans="1:11">
      <c r="A5051">
        <v>90</v>
      </c>
      <c r="B5051" t="b">
        <v>0</v>
      </c>
      <c r="C5051" t="s">
        <v>41578</v>
      </c>
      <c r="D5051">
        <v>1037022454355</v>
      </c>
      <c r="E5051">
        <v>1</v>
      </c>
      <c r="F5051">
        <v>6095269758</v>
      </c>
      <c r="G5051">
        <v>34700</v>
      </c>
      <c r="H5051" t="s">
        <v>40293</v>
      </c>
      <c r="I5051">
        <v>31982</v>
      </c>
      <c r="J5051">
        <v>1368</v>
      </c>
      <c r="K5051">
        <v>3346</v>
      </c>
    </row>
    <row r="5052" spans="1:11">
      <c r="A5052">
        <v>90</v>
      </c>
      <c r="B5052" t="b">
        <v>0</v>
      </c>
      <c r="C5052" t="s">
        <v>42615</v>
      </c>
      <c r="D5052">
        <v>1037022454355</v>
      </c>
      <c r="E5052">
        <v>1</v>
      </c>
      <c r="F5052">
        <v>6134188585</v>
      </c>
      <c r="G5052">
        <v>57000</v>
      </c>
      <c r="H5052" t="s">
        <v>40293</v>
      </c>
      <c r="I5052">
        <v>31990</v>
      </c>
      <c r="J5052">
        <v>7125</v>
      </c>
      <c r="K5052">
        <v>7125</v>
      </c>
    </row>
    <row r="5053" spans="1:11">
      <c r="A5053">
        <v>90</v>
      </c>
      <c r="B5053" t="b">
        <v>0</v>
      </c>
      <c r="C5053" t="s">
        <v>44611</v>
      </c>
      <c r="D5053">
        <v>1037022454355</v>
      </c>
      <c r="E5053">
        <v>1</v>
      </c>
      <c r="F5053">
        <v>6133063528</v>
      </c>
      <c r="G5053">
        <v>56970</v>
      </c>
      <c r="H5053" t="s">
        <v>40293</v>
      </c>
      <c r="I5053">
        <v>31990</v>
      </c>
      <c r="J5053">
        <v>262</v>
      </c>
      <c r="K5053">
        <v>315</v>
      </c>
    </row>
    <row r="5054" spans="1:11">
      <c r="A5054">
        <v>90</v>
      </c>
      <c r="B5054" t="b">
        <v>0</v>
      </c>
      <c r="C5054" t="s">
        <v>44032</v>
      </c>
      <c r="D5054">
        <v>1037022454355</v>
      </c>
      <c r="E5054">
        <v>1</v>
      </c>
      <c r="F5054">
        <v>6156599295</v>
      </c>
      <c r="G5054">
        <v>55000</v>
      </c>
      <c r="H5054" t="s">
        <v>40293</v>
      </c>
      <c r="I5054">
        <v>31990</v>
      </c>
      <c r="J5054">
        <v>2</v>
      </c>
      <c r="K5054">
        <v>2</v>
      </c>
    </row>
    <row r="5055" spans="1:11">
      <c r="A5055">
        <v>90</v>
      </c>
      <c r="B5055" t="b">
        <v>0</v>
      </c>
      <c r="C5055" t="s">
        <v>44368</v>
      </c>
      <c r="D5055">
        <v>1037022454355</v>
      </c>
      <c r="E5055">
        <v>1</v>
      </c>
      <c r="F5055">
        <v>6155309620</v>
      </c>
      <c r="G5055">
        <v>54990</v>
      </c>
      <c r="H5055" t="s">
        <v>40293</v>
      </c>
      <c r="I5055">
        <v>31990</v>
      </c>
      <c r="J5055">
        <v>114</v>
      </c>
      <c r="K5055">
        <v>180</v>
      </c>
    </row>
    <row r="5056" spans="1:11">
      <c r="A5056">
        <v>90</v>
      </c>
      <c r="B5056" t="b">
        <v>0</v>
      </c>
      <c r="C5056" t="s">
        <v>42799</v>
      </c>
      <c r="D5056">
        <v>1037022454355</v>
      </c>
      <c r="E5056">
        <v>1</v>
      </c>
      <c r="F5056">
        <v>6134198453</v>
      </c>
      <c r="G5056">
        <v>64800</v>
      </c>
      <c r="H5056" t="s">
        <v>40293</v>
      </c>
      <c r="I5056">
        <v>31998</v>
      </c>
      <c r="J5056">
        <v>2296</v>
      </c>
      <c r="K5056">
        <v>5971</v>
      </c>
    </row>
    <row r="5057" spans="1:11">
      <c r="A5057">
        <v>90</v>
      </c>
      <c r="B5057" t="b">
        <v>0</v>
      </c>
      <c r="C5057" t="s">
        <v>45474</v>
      </c>
      <c r="D5057">
        <v>1037022454355</v>
      </c>
      <c r="E5057">
        <v>1</v>
      </c>
      <c r="F5057">
        <v>6154897975</v>
      </c>
      <c r="G5057">
        <v>64760</v>
      </c>
      <c r="H5057" t="s">
        <v>40293</v>
      </c>
      <c r="I5057">
        <v>31998</v>
      </c>
      <c r="J5057">
        <v>187</v>
      </c>
      <c r="K5057">
        <v>212</v>
      </c>
    </row>
    <row r="5058" spans="1:11">
      <c r="A5058">
        <v>90</v>
      </c>
      <c r="B5058" t="b">
        <v>0</v>
      </c>
      <c r="C5058" t="s">
        <v>44367</v>
      </c>
      <c r="D5058">
        <v>1037022454355</v>
      </c>
      <c r="E5058">
        <v>1</v>
      </c>
      <c r="F5058">
        <v>6155309619</v>
      </c>
      <c r="G5058">
        <v>64750</v>
      </c>
      <c r="H5058" t="s">
        <v>40293</v>
      </c>
      <c r="I5058">
        <v>31998</v>
      </c>
      <c r="J5058">
        <v>102</v>
      </c>
      <c r="K5058">
        <v>172</v>
      </c>
    </row>
    <row r="5059" spans="1:11">
      <c r="A5059">
        <v>90</v>
      </c>
      <c r="B5059" t="b">
        <v>0</v>
      </c>
      <c r="C5059" t="s">
        <v>44253</v>
      </c>
      <c r="D5059">
        <v>1037022454355</v>
      </c>
      <c r="E5059">
        <v>1</v>
      </c>
      <c r="F5059">
        <v>6156599761</v>
      </c>
      <c r="G5059">
        <v>308400</v>
      </c>
      <c r="H5059" t="s">
        <v>40293</v>
      </c>
      <c r="I5059">
        <v>32006</v>
      </c>
      <c r="J5059">
        <v>150</v>
      </c>
      <c r="K5059">
        <v>150</v>
      </c>
    </row>
    <row r="5060" spans="1:11">
      <c r="A5060">
        <v>90</v>
      </c>
      <c r="B5060" t="b">
        <v>0</v>
      </c>
      <c r="C5060" t="s">
        <v>44032</v>
      </c>
      <c r="D5060">
        <v>1037022454355</v>
      </c>
      <c r="E5060">
        <v>1</v>
      </c>
      <c r="F5060">
        <v>6156599297</v>
      </c>
      <c r="G5060">
        <v>150000</v>
      </c>
      <c r="H5060" t="s">
        <v>40293</v>
      </c>
      <c r="I5060">
        <v>32006</v>
      </c>
      <c r="J5060">
        <v>14</v>
      </c>
      <c r="K5060">
        <v>14</v>
      </c>
    </row>
    <row r="5061" spans="1:11">
      <c r="A5061">
        <v>90</v>
      </c>
      <c r="B5061" t="b">
        <v>0</v>
      </c>
      <c r="C5061" t="s">
        <v>44451</v>
      </c>
      <c r="D5061">
        <v>1037022454355</v>
      </c>
      <c r="E5061">
        <v>1</v>
      </c>
      <c r="F5061">
        <v>6156621425</v>
      </c>
      <c r="G5061">
        <v>144000</v>
      </c>
      <c r="H5061" t="s">
        <v>40293</v>
      </c>
      <c r="I5061">
        <v>32006</v>
      </c>
      <c r="J5061">
        <v>4864</v>
      </c>
      <c r="K5061">
        <v>5133</v>
      </c>
    </row>
    <row r="5062" spans="1:11">
      <c r="A5062">
        <v>90</v>
      </c>
      <c r="B5062" t="b">
        <v>0</v>
      </c>
      <c r="C5062" t="s">
        <v>42153</v>
      </c>
      <c r="D5062">
        <v>1037022454355</v>
      </c>
      <c r="E5062">
        <v>1</v>
      </c>
      <c r="F5062">
        <v>6131480512</v>
      </c>
      <c r="G5062">
        <v>313800</v>
      </c>
      <c r="H5062" t="s">
        <v>40293</v>
      </c>
      <c r="I5062">
        <v>32014</v>
      </c>
      <c r="J5062">
        <v>222</v>
      </c>
      <c r="K5062">
        <v>222</v>
      </c>
    </row>
    <row r="5063" spans="1:11">
      <c r="A5063">
        <v>30</v>
      </c>
      <c r="B5063" t="b">
        <v>0</v>
      </c>
      <c r="C5063" t="s">
        <v>44081</v>
      </c>
      <c r="D5063">
        <v>1037022454355</v>
      </c>
      <c r="E5063">
        <v>1</v>
      </c>
      <c r="F5063">
        <v>6154463548</v>
      </c>
      <c r="G5063">
        <v>276000</v>
      </c>
      <c r="H5063" t="s">
        <v>40293</v>
      </c>
      <c r="I5063">
        <v>32014</v>
      </c>
      <c r="J5063">
        <v>37</v>
      </c>
      <c r="K5063">
        <v>37</v>
      </c>
    </row>
    <row r="5064" spans="1:11">
      <c r="A5064">
        <v>30</v>
      </c>
      <c r="B5064" t="b">
        <v>0</v>
      </c>
      <c r="C5064" t="s">
        <v>45810</v>
      </c>
      <c r="D5064">
        <v>1037022454355</v>
      </c>
      <c r="E5064">
        <v>1</v>
      </c>
      <c r="F5064">
        <v>6151625224</v>
      </c>
      <c r="G5064">
        <v>276000</v>
      </c>
      <c r="H5064" t="s">
        <v>40293</v>
      </c>
      <c r="I5064">
        <v>32014</v>
      </c>
      <c r="J5064">
        <v>18</v>
      </c>
      <c r="K5064">
        <v>18</v>
      </c>
    </row>
    <row r="5065" spans="1:11">
      <c r="A5065">
        <v>90</v>
      </c>
      <c r="B5065" t="b">
        <v>0</v>
      </c>
      <c r="C5065" t="s">
        <v>42138</v>
      </c>
      <c r="D5065">
        <v>1037022454355</v>
      </c>
      <c r="E5065">
        <v>1</v>
      </c>
      <c r="F5065">
        <v>6131576558</v>
      </c>
      <c r="G5065">
        <v>276000</v>
      </c>
      <c r="H5065" t="s">
        <v>40293</v>
      </c>
      <c r="I5065">
        <v>32014</v>
      </c>
      <c r="J5065">
        <v>577</v>
      </c>
      <c r="K5065">
        <v>2682</v>
      </c>
    </row>
    <row r="5066" spans="1:11">
      <c r="A5066">
        <v>90</v>
      </c>
      <c r="B5066" t="b">
        <v>0</v>
      </c>
      <c r="C5066" t="s">
        <v>43865</v>
      </c>
      <c r="D5066">
        <v>1037022454355</v>
      </c>
      <c r="E5066">
        <v>1</v>
      </c>
      <c r="F5066">
        <v>6138983354</v>
      </c>
      <c r="G5066">
        <v>300000</v>
      </c>
      <c r="H5066" t="s">
        <v>40293</v>
      </c>
      <c r="I5066">
        <v>32025</v>
      </c>
      <c r="J5066">
        <v>15</v>
      </c>
      <c r="K5066">
        <v>15</v>
      </c>
    </row>
    <row r="5067" spans="1:11">
      <c r="A5067">
        <v>90</v>
      </c>
      <c r="B5067" t="b">
        <v>0</v>
      </c>
      <c r="C5067" t="s">
        <v>40728</v>
      </c>
      <c r="D5067">
        <v>1037022454355</v>
      </c>
      <c r="E5067">
        <v>1</v>
      </c>
      <c r="F5067">
        <v>6107538867</v>
      </c>
      <c r="G5067">
        <v>297100</v>
      </c>
      <c r="H5067" t="s">
        <v>40293</v>
      </c>
      <c r="I5067">
        <v>32025</v>
      </c>
      <c r="J5067">
        <v>20</v>
      </c>
      <c r="K5067">
        <v>20</v>
      </c>
    </row>
    <row r="5068" spans="1:11">
      <c r="A5068">
        <v>90</v>
      </c>
      <c r="B5068" t="b">
        <v>0</v>
      </c>
      <c r="C5068" t="s">
        <v>44171</v>
      </c>
      <c r="D5068">
        <v>1037022454355</v>
      </c>
      <c r="E5068">
        <v>1</v>
      </c>
      <c r="F5068">
        <v>6130708595</v>
      </c>
      <c r="G5068">
        <v>4598000</v>
      </c>
      <c r="H5068" t="s">
        <v>40293</v>
      </c>
      <c r="I5068">
        <v>32043</v>
      </c>
      <c r="J5068">
        <v>7</v>
      </c>
      <c r="K5068">
        <v>15</v>
      </c>
    </row>
    <row r="5069" spans="1:11">
      <c r="A5069">
        <v>30</v>
      </c>
      <c r="B5069" t="b">
        <v>0</v>
      </c>
      <c r="C5069" t="s">
        <v>46399</v>
      </c>
      <c r="D5069">
        <v>1037022454355</v>
      </c>
      <c r="E5069">
        <v>1</v>
      </c>
      <c r="F5069">
        <v>6146619540</v>
      </c>
      <c r="G5069">
        <v>4597000</v>
      </c>
      <c r="H5069" t="s">
        <v>40293</v>
      </c>
      <c r="I5069">
        <v>32043</v>
      </c>
      <c r="J5069">
        <v>2</v>
      </c>
      <c r="K5069">
        <v>20</v>
      </c>
    </row>
    <row r="5070" spans="1:11">
      <c r="A5070">
        <v>90</v>
      </c>
      <c r="B5070" t="b">
        <v>0</v>
      </c>
      <c r="C5070" t="s">
        <v>46368</v>
      </c>
      <c r="D5070">
        <v>1037022454355</v>
      </c>
      <c r="E5070">
        <v>1</v>
      </c>
      <c r="F5070">
        <v>6149928633</v>
      </c>
      <c r="G5070">
        <v>25010000</v>
      </c>
      <c r="H5070" t="s">
        <v>40293</v>
      </c>
      <c r="I5070">
        <v>32047</v>
      </c>
      <c r="J5070">
        <v>2</v>
      </c>
      <c r="K5070">
        <v>7</v>
      </c>
    </row>
    <row r="5071" spans="1:11">
      <c r="A5071">
        <v>90</v>
      </c>
      <c r="B5071" t="b">
        <v>0</v>
      </c>
      <c r="C5071" t="s">
        <v>40856</v>
      </c>
      <c r="D5071">
        <v>1037022454355</v>
      </c>
      <c r="E5071">
        <v>1</v>
      </c>
      <c r="F5071">
        <v>6110556859</v>
      </c>
      <c r="G5071">
        <v>280300</v>
      </c>
      <c r="H5071" t="s">
        <v>40293</v>
      </c>
      <c r="I5071">
        <v>32069</v>
      </c>
      <c r="J5071">
        <v>59</v>
      </c>
      <c r="K5071">
        <v>60</v>
      </c>
    </row>
    <row r="5072" spans="1:11">
      <c r="A5072">
        <v>90</v>
      </c>
      <c r="B5072" t="b">
        <v>0</v>
      </c>
      <c r="C5072" t="s">
        <v>41888</v>
      </c>
      <c r="D5072">
        <v>1037022454355</v>
      </c>
      <c r="E5072">
        <v>1</v>
      </c>
      <c r="F5072">
        <v>6127207457</v>
      </c>
      <c r="G5072">
        <v>300100000</v>
      </c>
      <c r="H5072" t="s">
        <v>40293</v>
      </c>
      <c r="I5072">
        <v>32262</v>
      </c>
      <c r="J5072">
        <v>1</v>
      </c>
      <c r="K5072">
        <v>1</v>
      </c>
    </row>
    <row r="5073" spans="1:11">
      <c r="A5073">
        <v>90</v>
      </c>
      <c r="B5073" t="b">
        <v>0</v>
      </c>
      <c r="C5073" t="s">
        <v>41507</v>
      </c>
      <c r="D5073">
        <v>1037022454355</v>
      </c>
      <c r="E5073">
        <v>1</v>
      </c>
      <c r="F5073">
        <v>6117419103</v>
      </c>
      <c r="G5073">
        <v>600000000</v>
      </c>
      <c r="H5073" t="s">
        <v>40293</v>
      </c>
      <c r="I5073">
        <v>32305</v>
      </c>
      <c r="J5073">
        <v>1</v>
      </c>
      <c r="K5073">
        <v>1</v>
      </c>
    </row>
    <row r="5074" spans="1:11">
      <c r="A5074">
        <v>90</v>
      </c>
      <c r="B5074" t="b">
        <v>0</v>
      </c>
      <c r="C5074" t="s">
        <v>42984</v>
      </c>
      <c r="D5074">
        <v>1037022454355</v>
      </c>
      <c r="E5074">
        <v>1</v>
      </c>
      <c r="F5074">
        <v>6143151484</v>
      </c>
      <c r="G5074">
        <v>12000000</v>
      </c>
      <c r="H5074" t="s">
        <v>40293</v>
      </c>
      <c r="I5074">
        <v>32325</v>
      </c>
      <c r="J5074">
        <v>33</v>
      </c>
      <c r="K5074">
        <v>36</v>
      </c>
    </row>
    <row r="5075" spans="1:11">
      <c r="A5075">
        <v>90</v>
      </c>
      <c r="B5075" t="b">
        <v>0</v>
      </c>
      <c r="C5075" t="s">
        <v>43638</v>
      </c>
      <c r="D5075">
        <v>1037022454355</v>
      </c>
      <c r="E5075">
        <v>1</v>
      </c>
      <c r="F5075">
        <v>6143151708</v>
      </c>
      <c r="G5075">
        <v>10000000</v>
      </c>
      <c r="H5075" t="s">
        <v>40293</v>
      </c>
      <c r="I5075">
        <v>32340</v>
      </c>
      <c r="J5075">
        <v>24</v>
      </c>
      <c r="K5075">
        <v>24</v>
      </c>
    </row>
    <row r="5076" spans="1:11">
      <c r="A5076">
        <v>90</v>
      </c>
      <c r="B5076" t="b">
        <v>0</v>
      </c>
      <c r="C5076" t="s">
        <v>43366</v>
      </c>
      <c r="D5076">
        <v>1037022454355</v>
      </c>
      <c r="E5076">
        <v>1</v>
      </c>
      <c r="F5076">
        <v>6145498645</v>
      </c>
      <c r="G5076">
        <v>5900000</v>
      </c>
      <c r="H5076" t="s">
        <v>40293</v>
      </c>
      <c r="I5076">
        <v>32340</v>
      </c>
      <c r="J5076">
        <v>11</v>
      </c>
      <c r="K5076">
        <v>17</v>
      </c>
    </row>
    <row r="5077" spans="1:11">
      <c r="A5077">
        <v>90</v>
      </c>
      <c r="B5077" t="b">
        <v>0</v>
      </c>
      <c r="C5077" t="s">
        <v>41500</v>
      </c>
      <c r="D5077">
        <v>1037022454355</v>
      </c>
      <c r="E5077">
        <v>1</v>
      </c>
      <c r="F5077">
        <v>6113290213</v>
      </c>
      <c r="G5077">
        <v>19000000</v>
      </c>
      <c r="H5077" t="s">
        <v>40293</v>
      </c>
      <c r="I5077">
        <v>32342</v>
      </c>
      <c r="J5077">
        <v>6</v>
      </c>
      <c r="K5077">
        <v>6</v>
      </c>
    </row>
    <row r="5078" spans="1:11">
      <c r="A5078">
        <v>90</v>
      </c>
      <c r="B5078" t="b">
        <v>0</v>
      </c>
      <c r="C5078" t="s">
        <v>43358</v>
      </c>
      <c r="D5078">
        <v>1037022454355</v>
      </c>
      <c r="E5078">
        <v>1</v>
      </c>
      <c r="F5078">
        <v>6143554532</v>
      </c>
      <c r="G5078">
        <v>10100000</v>
      </c>
      <c r="H5078" t="s">
        <v>40293</v>
      </c>
      <c r="I5078">
        <v>32342</v>
      </c>
      <c r="J5078">
        <v>6</v>
      </c>
      <c r="K5078">
        <v>6</v>
      </c>
    </row>
    <row r="5079" spans="1:11">
      <c r="A5079">
        <v>90</v>
      </c>
      <c r="B5079" t="b">
        <v>0</v>
      </c>
      <c r="C5079" t="s">
        <v>43307</v>
      </c>
      <c r="D5079">
        <v>1037022454355</v>
      </c>
      <c r="E5079">
        <v>1</v>
      </c>
      <c r="F5079">
        <v>6144044800</v>
      </c>
      <c r="G5079">
        <v>9000000</v>
      </c>
      <c r="H5079" t="s">
        <v>40293</v>
      </c>
      <c r="I5079">
        <v>32342</v>
      </c>
      <c r="J5079">
        <v>20</v>
      </c>
      <c r="K5079">
        <v>20</v>
      </c>
    </row>
    <row r="5080" spans="1:11">
      <c r="A5080">
        <v>90</v>
      </c>
      <c r="B5080" t="b">
        <v>0</v>
      </c>
      <c r="C5080" t="s">
        <v>45847</v>
      </c>
      <c r="D5080">
        <v>1037022454355</v>
      </c>
      <c r="E5080">
        <v>1</v>
      </c>
      <c r="F5080">
        <v>6112205629</v>
      </c>
      <c r="G5080">
        <v>8999000</v>
      </c>
      <c r="H5080" t="s">
        <v>40293</v>
      </c>
      <c r="I5080">
        <v>32342</v>
      </c>
      <c r="J5080">
        <v>36</v>
      </c>
      <c r="K5080">
        <v>36</v>
      </c>
    </row>
    <row r="5081" spans="1:11">
      <c r="A5081">
        <v>90</v>
      </c>
      <c r="B5081" t="b">
        <v>0</v>
      </c>
      <c r="C5081" t="s">
        <v>43353</v>
      </c>
      <c r="D5081">
        <v>1037022454355</v>
      </c>
      <c r="E5081">
        <v>1</v>
      </c>
      <c r="F5081">
        <v>6143554417</v>
      </c>
      <c r="G5081">
        <v>10100000</v>
      </c>
      <c r="H5081" t="s">
        <v>40293</v>
      </c>
      <c r="I5081">
        <v>32344</v>
      </c>
      <c r="J5081">
        <v>18</v>
      </c>
      <c r="K5081">
        <v>18</v>
      </c>
    </row>
    <row r="5082" spans="1:11">
      <c r="A5082">
        <v>90</v>
      </c>
      <c r="B5082" t="b">
        <v>0</v>
      </c>
      <c r="C5082" t="s">
        <v>42278</v>
      </c>
      <c r="D5082">
        <v>1037022454355</v>
      </c>
      <c r="E5082">
        <v>1</v>
      </c>
      <c r="F5082">
        <v>6130761185</v>
      </c>
      <c r="G5082">
        <v>2100000</v>
      </c>
      <c r="H5082" t="s">
        <v>40293</v>
      </c>
      <c r="I5082">
        <v>32772</v>
      </c>
      <c r="J5082">
        <v>9</v>
      </c>
      <c r="K5082">
        <v>9</v>
      </c>
    </row>
    <row r="5083" spans="1:11">
      <c r="A5083">
        <v>90</v>
      </c>
      <c r="B5083" t="b">
        <v>0</v>
      </c>
      <c r="C5083" t="s">
        <v>41365</v>
      </c>
      <c r="D5083">
        <v>1037022454355</v>
      </c>
      <c r="E5083">
        <v>1</v>
      </c>
      <c r="F5083">
        <v>6116334002</v>
      </c>
      <c r="G5083">
        <v>2094000</v>
      </c>
      <c r="H5083" t="s">
        <v>40293</v>
      </c>
      <c r="I5083">
        <v>32772</v>
      </c>
      <c r="J5083">
        <v>3</v>
      </c>
      <c r="K5083">
        <v>3</v>
      </c>
    </row>
    <row r="5084" spans="1:11">
      <c r="A5084">
        <v>90</v>
      </c>
      <c r="B5084" t="b">
        <v>0</v>
      </c>
      <c r="C5084" t="s">
        <v>44834</v>
      </c>
      <c r="D5084">
        <v>1037022454355</v>
      </c>
      <c r="E5084">
        <v>1</v>
      </c>
      <c r="F5084">
        <v>6076737981</v>
      </c>
      <c r="G5084">
        <v>2080000</v>
      </c>
      <c r="H5084" t="s">
        <v>40293</v>
      </c>
      <c r="I5084">
        <v>32772</v>
      </c>
      <c r="J5084">
        <v>2</v>
      </c>
      <c r="K5084">
        <v>2</v>
      </c>
    </row>
    <row r="5085" spans="1:11">
      <c r="A5085">
        <v>90</v>
      </c>
      <c r="B5085" t="b">
        <v>0</v>
      </c>
      <c r="C5085" t="s">
        <v>46335</v>
      </c>
      <c r="D5085">
        <v>1037022454355</v>
      </c>
      <c r="E5085">
        <v>1</v>
      </c>
      <c r="F5085">
        <v>6147667061</v>
      </c>
      <c r="G5085">
        <v>2078000</v>
      </c>
      <c r="H5085" t="s">
        <v>40293</v>
      </c>
      <c r="I5085">
        <v>32772</v>
      </c>
      <c r="J5085">
        <v>4</v>
      </c>
      <c r="K5085">
        <v>4</v>
      </c>
    </row>
    <row r="5086" spans="1:11">
      <c r="A5086">
        <v>90</v>
      </c>
      <c r="B5086" t="b">
        <v>0</v>
      </c>
      <c r="C5086" t="s">
        <v>44777</v>
      </c>
      <c r="D5086">
        <v>1037022454355</v>
      </c>
      <c r="E5086">
        <v>1</v>
      </c>
      <c r="F5086">
        <v>6142830234</v>
      </c>
      <c r="G5086">
        <v>2076000</v>
      </c>
      <c r="H5086" t="s">
        <v>40293</v>
      </c>
      <c r="I5086">
        <v>32772</v>
      </c>
      <c r="J5086">
        <v>17</v>
      </c>
      <c r="K5086">
        <v>25</v>
      </c>
    </row>
    <row r="5087" spans="1:11">
      <c r="A5087">
        <v>30</v>
      </c>
      <c r="B5087" t="b">
        <v>0</v>
      </c>
      <c r="C5087" t="s">
        <v>46132</v>
      </c>
      <c r="D5087">
        <v>1037022454355</v>
      </c>
      <c r="E5087">
        <v>1</v>
      </c>
      <c r="F5087">
        <v>6155889142</v>
      </c>
      <c r="G5087">
        <v>2075000</v>
      </c>
      <c r="H5087" t="s">
        <v>40293</v>
      </c>
      <c r="I5087">
        <v>32772</v>
      </c>
      <c r="J5087">
        <v>9</v>
      </c>
      <c r="K5087">
        <v>15</v>
      </c>
    </row>
    <row r="5088" spans="1:11">
      <c r="A5088">
        <v>90</v>
      </c>
      <c r="B5088" t="b">
        <v>0</v>
      </c>
      <c r="C5088" t="s">
        <v>42175</v>
      </c>
      <c r="D5088">
        <v>1037022454355</v>
      </c>
      <c r="E5088">
        <v>1</v>
      </c>
      <c r="F5088">
        <v>6130783864</v>
      </c>
      <c r="G5088">
        <v>5997000</v>
      </c>
      <c r="H5088" t="s">
        <v>40293</v>
      </c>
      <c r="I5088">
        <v>32780</v>
      </c>
      <c r="J5088">
        <v>10</v>
      </c>
      <c r="K5088">
        <v>10</v>
      </c>
    </row>
    <row r="5089" spans="1:11">
      <c r="A5089">
        <v>90</v>
      </c>
      <c r="B5089" t="b">
        <v>0</v>
      </c>
      <c r="C5089" t="s">
        <v>46473</v>
      </c>
      <c r="D5089">
        <v>1037022454355</v>
      </c>
      <c r="E5089">
        <v>1</v>
      </c>
      <c r="F5089">
        <v>6149864505</v>
      </c>
      <c r="G5089">
        <v>4998000</v>
      </c>
      <c r="H5089" t="s">
        <v>40293</v>
      </c>
      <c r="I5089">
        <v>32780</v>
      </c>
      <c r="J5089">
        <v>18</v>
      </c>
      <c r="K5089">
        <v>18</v>
      </c>
    </row>
    <row r="5090" spans="1:11">
      <c r="A5090">
        <v>90</v>
      </c>
      <c r="B5090" t="b">
        <v>0</v>
      </c>
      <c r="C5090" t="s">
        <v>46330</v>
      </c>
      <c r="D5090">
        <v>1037022454355</v>
      </c>
      <c r="E5090">
        <v>1</v>
      </c>
      <c r="F5090">
        <v>6147667004</v>
      </c>
      <c r="G5090">
        <v>4900000</v>
      </c>
      <c r="H5090" t="s">
        <v>40293</v>
      </c>
      <c r="I5090">
        <v>32780</v>
      </c>
      <c r="J5090">
        <v>3</v>
      </c>
      <c r="K5090">
        <v>3</v>
      </c>
    </row>
    <row r="5091" spans="1:11">
      <c r="A5091">
        <v>90</v>
      </c>
      <c r="B5091" t="b">
        <v>0</v>
      </c>
      <c r="C5091" t="s">
        <v>45123</v>
      </c>
      <c r="D5091">
        <v>1037022454355</v>
      </c>
      <c r="E5091">
        <v>1</v>
      </c>
      <c r="F5091">
        <v>6155356488</v>
      </c>
      <c r="G5091">
        <v>4896000</v>
      </c>
      <c r="H5091" t="s">
        <v>40293</v>
      </c>
      <c r="I5091">
        <v>32780</v>
      </c>
      <c r="J5091">
        <v>1</v>
      </c>
      <c r="K5091">
        <v>1</v>
      </c>
    </row>
    <row r="5092" spans="1:11">
      <c r="A5092">
        <v>90</v>
      </c>
      <c r="B5092" t="b">
        <v>0</v>
      </c>
      <c r="C5092" t="s">
        <v>44944</v>
      </c>
      <c r="D5092">
        <v>1037022454355</v>
      </c>
      <c r="E5092">
        <v>1</v>
      </c>
      <c r="F5092">
        <v>6145650464</v>
      </c>
      <c r="G5092">
        <v>4895000</v>
      </c>
      <c r="H5092" t="s">
        <v>40293</v>
      </c>
      <c r="I5092">
        <v>32780</v>
      </c>
      <c r="J5092">
        <v>9</v>
      </c>
      <c r="K5092">
        <v>15</v>
      </c>
    </row>
    <row r="5093" spans="1:11">
      <c r="A5093">
        <v>90</v>
      </c>
      <c r="B5093" t="b">
        <v>0</v>
      </c>
      <c r="C5093" t="s">
        <v>45288</v>
      </c>
      <c r="D5093">
        <v>1037022454355</v>
      </c>
      <c r="E5093">
        <v>1</v>
      </c>
      <c r="F5093">
        <v>6156927299</v>
      </c>
      <c r="G5093">
        <v>4794000</v>
      </c>
      <c r="H5093" t="s">
        <v>40293</v>
      </c>
      <c r="I5093">
        <v>32780</v>
      </c>
      <c r="J5093">
        <v>15</v>
      </c>
      <c r="K5093">
        <v>15</v>
      </c>
    </row>
    <row r="5094" spans="1:11">
      <c r="A5094">
        <v>30</v>
      </c>
      <c r="B5094" t="b">
        <v>0</v>
      </c>
      <c r="C5094" t="s">
        <v>46287</v>
      </c>
      <c r="D5094">
        <v>1037022454355</v>
      </c>
      <c r="E5094">
        <v>1</v>
      </c>
      <c r="F5094">
        <v>6154318352</v>
      </c>
      <c r="G5094">
        <v>3999000</v>
      </c>
      <c r="H5094" t="s">
        <v>40293</v>
      </c>
      <c r="I5094">
        <v>32780</v>
      </c>
      <c r="J5094">
        <v>7</v>
      </c>
      <c r="K5094">
        <v>8</v>
      </c>
    </row>
    <row r="5095" spans="1:11">
      <c r="A5095">
        <v>30</v>
      </c>
      <c r="B5095" t="b">
        <v>0</v>
      </c>
      <c r="C5095" t="s">
        <v>44821</v>
      </c>
      <c r="D5095">
        <v>1037022454355</v>
      </c>
      <c r="E5095">
        <v>1</v>
      </c>
      <c r="F5095">
        <v>6157478137</v>
      </c>
      <c r="G5095">
        <v>3500000</v>
      </c>
      <c r="H5095" t="s">
        <v>40293</v>
      </c>
      <c r="I5095">
        <v>32780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41476</v>
      </c>
      <c r="D5096">
        <v>1037022454355</v>
      </c>
      <c r="E5096">
        <v>1</v>
      </c>
      <c r="F5096">
        <v>6067873176</v>
      </c>
      <c r="G5096">
        <v>8.9700000000000006</v>
      </c>
      <c r="H5096" t="s">
        <v>40293</v>
      </c>
      <c r="I5096">
        <v>32782</v>
      </c>
      <c r="J5096">
        <v>6894</v>
      </c>
      <c r="K5096">
        <v>8872</v>
      </c>
    </row>
    <row r="5097" spans="1:11">
      <c r="A5097">
        <v>90</v>
      </c>
      <c r="B5097" t="b">
        <v>0</v>
      </c>
      <c r="C5097" t="s">
        <v>42896</v>
      </c>
      <c r="D5097">
        <v>1037022454355</v>
      </c>
      <c r="E5097">
        <v>1</v>
      </c>
      <c r="F5097">
        <v>6130696639</v>
      </c>
      <c r="G5097">
        <v>8.49</v>
      </c>
      <c r="H5097" t="s">
        <v>40293</v>
      </c>
      <c r="I5097">
        <v>32782</v>
      </c>
      <c r="J5097">
        <v>1818</v>
      </c>
      <c r="K5097">
        <v>2000</v>
      </c>
    </row>
    <row r="5098" spans="1:11">
      <c r="A5098">
        <v>90</v>
      </c>
      <c r="B5098" t="b">
        <v>0</v>
      </c>
      <c r="C5098" t="s">
        <v>43848</v>
      </c>
      <c r="D5098">
        <v>1037022454355</v>
      </c>
      <c r="E5098">
        <v>1</v>
      </c>
      <c r="F5098">
        <v>6145831258</v>
      </c>
      <c r="G5098">
        <v>8</v>
      </c>
      <c r="H5098" t="s">
        <v>40293</v>
      </c>
      <c r="I5098">
        <v>32782</v>
      </c>
      <c r="J5098">
        <v>29174</v>
      </c>
      <c r="K5098">
        <v>29304</v>
      </c>
    </row>
    <row r="5099" spans="1:11">
      <c r="A5099">
        <v>30</v>
      </c>
      <c r="B5099" t="b">
        <v>0</v>
      </c>
      <c r="C5099" t="s">
        <v>46521</v>
      </c>
      <c r="D5099">
        <v>1037022454355</v>
      </c>
      <c r="E5099">
        <v>1</v>
      </c>
      <c r="F5099">
        <v>6142000590</v>
      </c>
      <c r="G5099">
        <v>7.9</v>
      </c>
      <c r="H5099" t="s">
        <v>40293</v>
      </c>
      <c r="I5099">
        <v>32782</v>
      </c>
      <c r="J5099">
        <v>1021</v>
      </c>
      <c r="K5099">
        <v>3619</v>
      </c>
    </row>
    <row r="5100" spans="1:11">
      <c r="A5100">
        <v>90</v>
      </c>
      <c r="B5100" t="b">
        <v>0</v>
      </c>
      <c r="C5100" t="s">
        <v>40392</v>
      </c>
      <c r="D5100">
        <v>1037022454355</v>
      </c>
      <c r="E5100">
        <v>1</v>
      </c>
      <c r="F5100">
        <v>6097209697</v>
      </c>
      <c r="G5100">
        <v>99950</v>
      </c>
      <c r="H5100" t="s">
        <v>40293</v>
      </c>
      <c r="I5100">
        <v>32787</v>
      </c>
      <c r="J5100">
        <v>82</v>
      </c>
      <c r="K5100">
        <v>82</v>
      </c>
    </row>
    <row r="5101" spans="1:11">
      <c r="A5101">
        <v>90</v>
      </c>
      <c r="B5101" t="b">
        <v>0</v>
      </c>
      <c r="C5101" t="s">
        <v>40867</v>
      </c>
      <c r="D5101">
        <v>1037022454355</v>
      </c>
      <c r="E5101">
        <v>1</v>
      </c>
      <c r="F5101">
        <v>6100464520</v>
      </c>
      <c r="G5101">
        <v>99580</v>
      </c>
      <c r="H5101" t="s">
        <v>40293</v>
      </c>
      <c r="I5101">
        <v>32787</v>
      </c>
      <c r="J5101">
        <v>3</v>
      </c>
      <c r="K5101">
        <v>16</v>
      </c>
    </row>
    <row r="5102" spans="1:11">
      <c r="A5102">
        <v>90</v>
      </c>
      <c r="B5102" t="b">
        <v>0</v>
      </c>
      <c r="C5102" t="s">
        <v>40848</v>
      </c>
      <c r="D5102">
        <v>1037022454355</v>
      </c>
      <c r="E5102">
        <v>1</v>
      </c>
      <c r="F5102">
        <v>6119923107</v>
      </c>
      <c r="G5102">
        <v>48500</v>
      </c>
      <c r="H5102" t="s">
        <v>40293</v>
      </c>
      <c r="I5102">
        <v>32787</v>
      </c>
      <c r="J5102">
        <v>66</v>
      </c>
      <c r="K5102">
        <v>84</v>
      </c>
    </row>
    <row r="5103" spans="1:11">
      <c r="A5103">
        <v>90</v>
      </c>
      <c r="B5103" t="b">
        <v>0</v>
      </c>
      <c r="C5103" t="s">
        <v>41058</v>
      </c>
      <c r="D5103">
        <v>1037022454355</v>
      </c>
      <c r="E5103">
        <v>1</v>
      </c>
      <c r="F5103">
        <v>6121603981</v>
      </c>
      <c r="G5103">
        <v>48000</v>
      </c>
      <c r="H5103" t="s">
        <v>40293</v>
      </c>
      <c r="I5103">
        <v>32787</v>
      </c>
      <c r="J5103">
        <v>6</v>
      </c>
      <c r="K5103">
        <v>9</v>
      </c>
    </row>
    <row r="5104" spans="1:11">
      <c r="A5104">
        <v>90</v>
      </c>
      <c r="B5104" t="b">
        <v>0</v>
      </c>
      <c r="C5104" t="s">
        <v>43073</v>
      </c>
      <c r="D5104">
        <v>1037022454355</v>
      </c>
      <c r="E5104">
        <v>1</v>
      </c>
      <c r="F5104">
        <v>6081844962</v>
      </c>
      <c r="G5104">
        <v>47970</v>
      </c>
      <c r="H5104" t="s">
        <v>40293</v>
      </c>
      <c r="I5104">
        <v>32787</v>
      </c>
      <c r="J5104">
        <v>8</v>
      </c>
      <c r="K5104">
        <v>235</v>
      </c>
    </row>
    <row r="5105" spans="1:11">
      <c r="A5105">
        <v>30</v>
      </c>
      <c r="B5105" t="b">
        <v>0</v>
      </c>
      <c r="C5105" t="s">
        <v>44508</v>
      </c>
      <c r="D5105">
        <v>1037022454355</v>
      </c>
      <c r="E5105">
        <v>1</v>
      </c>
      <c r="F5105">
        <v>6154459612</v>
      </c>
      <c r="G5105">
        <v>47970</v>
      </c>
      <c r="H5105" t="s">
        <v>40293</v>
      </c>
      <c r="I5105">
        <v>32787</v>
      </c>
      <c r="J5105">
        <v>10</v>
      </c>
      <c r="K5105">
        <v>10</v>
      </c>
    </row>
    <row r="5106" spans="1:11">
      <c r="A5106">
        <v>90</v>
      </c>
      <c r="B5106" t="b">
        <v>0</v>
      </c>
      <c r="C5106" t="s">
        <v>43174</v>
      </c>
      <c r="D5106">
        <v>1037022454355</v>
      </c>
      <c r="E5106">
        <v>1</v>
      </c>
      <c r="F5106">
        <v>6140928328</v>
      </c>
      <c r="G5106">
        <v>8190000</v>
      </c>
      <c r="H5106" t="s">
        <v>40293</v>
      </c>
      <c r="I5106">
        <v>32817</v>
      </c>
      <c r="J5106">
        <v>15</v>
      </c>
      <c r="K5106">
        <v>20</v>
      </c>
    </row>
    <row r="5107" spans="1:11">
      <c r="A5107">
        <v>90</v>
      </c>
      <c r="B5107" t="b">
        <v>0</v>
      </c>
      <c r="C5107" t="s">
        <v>44705</v>
      </c>
      <c r="D5107">
        <v>1037022454355</v>
      </c>
      <c r="E5107">
        <v>1</v>
      </c>
      <c r="F5107">
        <v>6146171840</v>
      </c>
      <c r="G5107">
        <v>3334000</v>
      </c>
      <c r="H5107" t="s">
        <v>40293</v>
      </c>
      <c r="I5107">
        <v>32817</v>
      </c>
      <c r="J5107">
        <v>12</v>
      </c>
      <c r="K5107">
        <v>40</v>
      </c>
    </row>
    <row r="5108" spans="1:11">
      <c r="A5108">
        <v>90</v>
      </c>
      <c r="B5108" t="b">
        <v>0</v>
      </c>
      <c r="C5108" t="s">
        <v>42028</v>
      </c>
      <c r="D5108">
        <v>1037022454355</v>
      </c>
      <c r="E5108">
        <v>1</v>
      </c>
      <c r="F5108">
        <v>6122933555</v>
      </c>
      <c r="G5108">
        <v>1398000</v>
      </c>
      <c r="H5108" t="s">
        <v>40293</v>
      </c>
      <c r="I5108">
        <v>32819</v>
      </c>
      <c r="J5108">
        <v>59</v>
      </c>
      <c r="K5108">
        <v>100</v>
      </c>
    </row>
    <row r="5109" spans="1:11">
      <c r="A5109">
        <v>90</v>
      </c>
      <c r="B5109" t="b">
        <v>0</v>
      </c>
      <c r="C5109" t="s">
        <v>45746</v>
      </c>
      <c r="D5109">
        <v>1037022454355</v>
      </c>
      <c r="E5109">
        <v>1</v>
      </c>
      <c r="F5109">
        <v>6152492342</v>
      </c>
      <c r="G5109">
        <v>800100</v>
      </c>
      <c r="H5109" t="s">
        <v>40293</v>
      </c>
      <c r="I5109">
        <v>32872</v>
      </c>
      <c r="J5109">
        <v>2</v>
      </c>
      <c r="K5109">
        <v>2</v>
      </c>
    </row>
    <row r="5110" spans="1:11">
      <c r="A5110">
        <v>90</v>
      </c>
      <c r="B5110" t="b">
        <v>0</v>
      </c>
      <c r="C5110" t="s">
        <v>46550</v>
      </c>
      <c r="D5110">
        <v>1037022454355</v>
      </c>
      <c r="E5110">
        <v>1</v>
      </c>
      <c r="F5110">
        <v>6147440397</v>
      </c>
      <c r="G5110">
        <v>1600000</v>
      </c>
      <c r="H5110" t="s">
        <v>40293</v>
      </c>
      <c r="I5110">
        <v>32874</v>
      </c>
      <c r="J5110">
        <v>2</v>
      </c>
      <c r="K5110">
        <v>2</v>
      </c>
    </row>
    <row r="5111" spans="1:11">
      <c r="A5111">
        <v>90</v>
      </c>
      <c r="B5111" t="b">
        <v>0</v>
      </c>
      <c r="C5111" t="s">
        <v>41410</v>
      </c>
      <c r="D5111">
        <v>1037022454355</v>
      </c>
      <c r="E5111">
        <v>1</v>
      </c>
      <c r="F5111">
        <v>6089760342</v>
      </c>
      <c r="G5111">
        <v>1499000</v>
      </c>
      <c r="H5111" t="s">
        <v>40293</v>
      </c>
      <c r="I5111">
        <v>32876</v>
      </c>
      <c r="J5111">
        <v>2</v>
      </c>
      <c r="K5111">
        <v>4</v>
      </c>
    </row>
    <row r="5112" spans="1:11">
      <c r="A5112">
        <v>90</v>
      </c>
      <c r="B5112" t="b">
        <v>0</v>
      </c>
      <c r="C5112" t="s">
        <v>40980</v>
      </c>
      <c r="D5112">
        <v>1037022454355</v>
      </c>
      <c r="E5112">
        <v>1</v>
      </c>
      <c r="F5112">
        <v>6092209555</v>
      </c>
      <c r="G5112">
        <v>1498000</v>
      </c>
      <c r="H5112" t="s">
        <v>40293</v>
      </c>
      <c r="I5112">
        <v>32876</v>
      </c>
      <c r="J5112">
        <v>8</v>
      </c>
      <c r="K5112">
        <v>12</v>
      </c>
    </row>
    <row r="5113" spans="1:11">
      <c r="A5113">
        <v>90</v>
      </c>
      <c r="B5113" t="b">
        <v>0</v>
      </c>
      <c r="C5113" t="s">
        <v>40598</v>
      </c>
      <c r="D5113">
        <v>1037022454355</v>
      </c>
      <c r="E5113">
        <v>1</v>
      </c>
      <c r="F5113">
        <v>6114384607</v>
      </c>
      <c r="G5113">
        <v>1491000</v>
      </c>
      <c r="H5113" t="s">
        <v>40293</v>
      </c>
      <c r="I5113">
        <v>32876</v>
      </c>
      <c r="J5113">
        <v>1</v>
      </c>
      <c r="K5113">
        <v>2</v>
      </c>
    </row>
    <row r="5114" spans="1:11">
      <c r="A5114">
        <v>90</v>
      </c>
      <c r="B5114" t="b">
        <v>0</v>
      </c>
      <c r="C5114" t="s">
        <v>41007</v>
      </c>
      <c r="D5114">
        <v>1037022454355</v>
      </c>
      <c r="E5114">
        <v>1</v>
      </c>
      <c r="F5114">
        <v>6122872822</v>
      </c>
      <c r="G5114">
        <v>1490000</v>
      </c>
      <c r="H5114" t="s">
        <v>40293</v>
      </c>
      <c r="I5114">
        <v>32876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41399</v>
      </c>
      <c r="D5115">
        <v>1037022454355</v>
      </c>
      <c r="E5115">
        <v>1</v>
      </c>
      <c r="F5115">
        <v>6089759994</v>
      </c>
      <c r="G5115">
        <v>1461000</v>
      </c>
      <c r="H5115" t="s">
        <v>40293</v>
      </c>
      <c r="I5115">
        <v>32878</v>
      </c>
      <c r="J5115">
        <v>7</v>
      </c>
      <c r="K5115">
        <v>10</v>
      </c>
    </row>
    <row r="5116" spans="1:11">
      <c r="A5116">
        <v>90</v>
      </c>
      <c r="B5116" t="b">
        <v>0</v>
      </c>
      <c r="C5116" t="s">
        <v>44069</v>
      </c>
      <c r="D5116">
        <v>1037022454355</v>
      </c>
      <c r="E5116">
        <v>1</v>
      </c>
      <c r="F5116">
        <v>6156583347</v>
      </c>
      <c r="G5116">
        <v>1460000</v>
      </c>
      <c r="H5116" t="s">
        <v>40293</v>
      </c>
      <c r="I5116">
        <v>32878</v>
      </c>
      <c r="J5116">
        <v>1</v>
      </c>
      <c r="K5116">
        <v>1</v>
      </c>
    </row>
    <row r="5117" spans="1:11">
      <c r="A5117">
        <v>90</v>
      </c>
      <c r="B5117" t="b">
        <v>0</v>
      </c>
      <c r="C5117" t="s">
        <v>43845</v>
      </c>
      <c r="D5117">
        <v>1037022454355</v>
      </c>
      <c r="E5117">
        <v>1</v>
      </c>
      <c r="F5117">
        <v>6146584844</v>
      </c>
      <c r="G5117">
        <v>1460000</v>
      </c>
      <c r="H5117" t="s">
        <v>40293</v>
      </c>
      <c r="I5117">
        <v>32878</v>
      </c>
      <c r="J5117">
        <v>1</v>
      </c>
      <c r="K5117">
        <v>2</v>
      </c>
    </row>
    <row r="5118" spans="1:11">
      <c r="A5118">
        <v>90</v>
      </c>
      <c r="B5118" t="b">
        <v>0</v>
      </c>
      <c r="C5118" t="s">
        <v>46304</v>
      </c>
      <c r="D5118">
        <v>1037022454355</v>
      </c>
      <c r="E5118">
        <v>1</v>
      </c>
      <c r="F5118">
        <v>6148518573</v>
      </c>
      <c r="G5118">
        <v>9000000</v>
      </c>
      <c r="H5118" t="s">
        <v>40293</v>
      </c>
      <c r="I5118">
        <v>32879</v>
      </c>
      <c r="J5118">
        <v>10</v>
      </c>
      <c r="K5118">
        <v>13</v>
      </c>
    </row>
    <row r="5119" spans="1:11">
      <c r="A5119">
        <v>90</v>
      </c>
      <c r="B5119" t="b">
        <v>0</v>
      </c>
      <c r="C5119" t="s">
        <v>40947</v>
      </c>
      <c r="D5119">
        <v>1037022454355</v>
      </c>
      <c r="E5119">
        <v>1</v>
      </c>
      <c r="F5119">
        <v>6088843046</v>
      </c>
      <c r="G5119">
        <v>1343000</v>
      </c>
      <c r="H5119" t="s">
        <v>40293</v>
      </c>
      <c r="I5119">
        <v>32880</v>
      </c>
      <c r="J5119">
        <v>2</v>
      </c>
      <c r="K5119">
        <v>3</v>
      </c>
    </row>
    <row r="5120" spans="1:11">
      <c r="A5120">
        <v>90</v>
      </c>
      <c r="B5120" t="b">
        <v>0</v>
      </c>
      <c r="C5120" t="s">
        <v>41657</v>
      </c>
      <c r="D5120">
        <v>1037022454355</v>
      </c>
      <c r="E5120">
        <v>1</v>
      </c>
      <c r="F5120">
        <v>6104184364</v>
      </c>
      <c r="G5120">
        <v>1324000</v>
      </c>
      <c r="H5120" t="s">
        <v>40293</v>
      </c>
      <c r="I5120">
        <v>32880</v>
      </c>
      <c r="J5120">
        <v>40</v>
      </c>
      <c r="K5120">
        <v>40</v>
      </c>
    </row>
    <row r="5121" spans="1:11">
      <c r="A5121">
        <v>90</v>
      </c>
      <c r="B5121" t="b">
        <v>0</v>
      </c>
      <c r="C5121" t="s">
        <v>41577</v>
      </c>
      <c r="D5121">
        <v>1037022454355</v>
      </c>
      <c r="E5121">
        <v>1</v>
      </c>
      <c r="F5121">
        <v>6097760097</v>
      </c>
      <c r="G5121">
        <v>1324000</v>
      </c>
      <c r="H5121" t="s">
        <v>40293</v>
      </c>
      <c r="I5121">
        <v>32880</v>
      </c>
      <c r="J5121">
        <v>14</v>
      </c>
      <c r="K5121">
        <v>44</v>
      </c>
    </row>
    <row r="5122" spans="1:11">
      <c r="A5122">
        <v>90</v>
      </c>
      <c r="B5122" t="b">
        <v>0</v>
      </c>
      <c r="C5122" t="s">
        <v>41651</v>
      </c>
      <c r="D5122">
        <v>1037022454355</v>
      </c>
      <c r="E5122">
        <v>1</v>
      </c>
      <c r="F5122">
        <v>6104184285</v>
      </c>
      <c r="G5122">
        <v>1324000</v>
      </c>
      <c r="H5122" t="s">
        <v>40293</v>
      </c>
      <c r="I5122">
        <v>32880</v>
      </c>
      <c r="J5122">
        <v>40</v>
      </c>
      <c r="K5122">
        <v>40</v>
      </c>
    </row>
    <row r="5123" spans="1:11">
      <c r="A5123">
        <v>90</v>
      </c>
      <c r="B5123" t="b">
        <v>0</v>
      </c>
      <c r="C5123" t="s">
        <v>41653</v>
      </c>
      <c r="D5123">
        <v>1037022454355</v>
      </c>
      <c r="E5123">
        <v>1</v>
      </c>
      <c r="F5123">
        <v>6104184308</v>
      </c>
      <c r="G5123">
        <v>1324000</v>
      </c>
      <c r="H5123" t="s">
        <v>40293</v>
      </c>
      <c r="I5123">
        <v>32880</v>
      </c>
      <c r="J5123">
        <v>40</v>
      </c>
      <c r="K5123">
        <v>40</v>
      </c>
    </row>
    <row r="5124" spans="1:11">
      <c r="A5124">
        <v>90</v>
      </c>
      <c r="B5124" t="b">
        <v>0</v>
      </c>
      <c r="C5124" t="s">
        <v>41701</v>
      </c>
      <c r="D5124">
        <v>1037022454355</v>
      </c>
      <c r="E5124">
        <v>1</v>
      </c>
      <c r="F5124">
        <v>6080396038</v>
      </c>
      <c r="G5124">
        <v>1318000</v>
      </c>
      <c r="H5124" t="s">
        <v>40293</v>
      </c>
      <c r="I5124">
        <v>32880</v>
      </c>
      <c r="J5124">
        <v>24</v>
      </c>
      <c r="K5124">
        <v>30</v>
      </c>
    </row>
    <row r="5125" spans="1:11">
      <c r="A5125">
        <v>90</v>
      </c>
      <c r="B5125" t="b">
        <v>0</v>
      </c>
      <c r="C5125" t="s">
        <v>42810</v>
      </c>
      <c r="D5125">
        <v>1037022454355</v>
      </c>
      <c r="E5125">
        <v>1</v>
      </c>
      <c r="F5125">
        <v>6134362982</v>
      </c>
      <c r="G5125">
        <v>794800</v>
      </c>
      <c r="H5125" t="s">
        <v>40293</v>
      </c>
      <c r="I5125">
        <v>32880</v>
      </c>
      <c r="J5125">
        <v>4</v>
      </c>
      <c r="K5125">
        <v>4</v>
      </c>
    </row>
    <row r="5126" spans="1:11">
      <c r="A5126">
        <v>90</v>
      </c>
      <c r="B5126" t="b">
        <v>0</v>
      </c>
      <c r="C5126" t="s">
        <v>42508</v>
      </c>
      <c r="D5126">
        <v>1037022454355</v>
      </c>
      <c r="E5126">
        <v>1</v>
      </c>
      <c r="F5126">
        <v>6134740462</v>
      </c>
      <c r="G5126">
        <v>794700</v>
      </c>
      <c r="H5126" t="s">
        <v>40293</v>
      </c>
      <c r="I5126">
        <v>32880</v>
      </c>
      <c r="J5126">
        <v>49</v>
      </c>
      <c r="K5126">
        <v>50</v>
      </c>
    </row>
    <row r="5127" spans="1:11">
      <c r="A5127">
        <v>90</v>
      </c>
      <c r="B5127" t="b">
        <v>0</v>
      </c>
      <c r="C5127" t="s">
        <v>43367</v>
      </c>
      <c r="D5127">
        <v>1037022454355</v>
      </c>
      <c r="E5127">
        <v>1</v>
      </c>
      <c r="F5127">
        <v>6091486386</v>
      </c>
      <c r="G5127">
        <v>749700</v>
      </c>
      <c r="H5127" t="s">
        <v>40293</v>
      </c>
      <c r="I5127">
        <v>32880</v>
      </c>
      <c r="J5127">
        <v>98</v>
      </c>
      <c r="K5127">
        <v>100</v>
      </c>
    </row>
    <row r="5128" spans="1:11">
      <c r="A5128">
        <v>90</v>
      </c>
      <c r="B5128" t="b">
        <v>0</v>
      </c>
      <c r="C5128" t="s">
        <v>43182</v>
      </c>
      <c r="D5128">
        <v>1037022454355</v>
      </c>
      <c r="E5128">
        <v>1</v>
      </c>
      <c r="F5128">
        <v>6108946937</v>
      </c>
      <c r="G5128">
        <v>749600</v>
      </c>
      <c r="H5128" t="s">
        <v>40293</v>
      </c>
      <c r="I5128">
        <v>32880</v>
      </c>
      <c r="J5128">
        <v>10</v>
      </c>
      <c r="K5128">
        <v>30</v>
      </c>
    </row>
    <row r="5129" spans="1:11">
      <c r="A5129">
        <v>90</v>
      </c>
      <c r="B5129" t="b">
        <v>0</v>
      </c>
      <c r="C5129" t="s">
        <v>46030</v>
      </c>
      <c r="D5129">
        <v>1037022454355</v>
      </c>
      <c r="E5129">
        <v>1</v>
      </c>
      <c r="F5129">
        <v>6156149728</v>
      </c>
      <c r="G5129">
        <v>749500</v>
      </c>
      <c r="H5129" t="s">
        <v>40293</v>
      </c>
      <c r="I5129">
        <v>32880</v>
      </c>
      <c r="J5129">
        <v>19</v>
      </c>
      <c r="K5129">
        <v>20</v>
      </c>
    </row>
    <row r="5130" spans="1:11">
      <c r="A5130">
        <v>90</v>
      </c>
      <c r="B5130" t="b">
        <v>0</v>
      </c>
      <c r="C5130" t="s">
        <v>44861</v>
      </c>
      <c r="D5130">
        <v>1037022454355</v>
      </c>
      <c r="E5130">
        <v>1</v>
      </c>
      <c r="F5130">
        <v>6156814127</v>
      </c>
      <c r="G5130">
        <v>749400</v>
      </c>
      <c r="H5130" t="s">
        <v>40293</v>
      </c>
      <c r="I5130">
        <v>32880</v>
      </c>
      <c r="J5130">
        <v>23</v>
      </c>
      <c r="K5130">
        <v>25</v>
      </c>
    </row>
    <row r="5131" spans="1:11">
      <c r="A5131">
        <v>90</v>
      </c>
      <c r="B5131" t="b">
        <v>0</v>
      </c>
      <c r="C5131" t="s">
        <v>46057</v>
      </c>
      <c r="D5131">
        <v>1037022454355</v>
      </c>
      <c r="E5131">
        <v>1</v>
      </c>
      <c r="F5131">
        <v>6153954628</v>
      </c>
      <c r="G5131">
        <v>1500000</v>
      </c>
      <c r="H5131" t="s">
        <v>40293</v>
      </c>
      <c r="I5131">
        <v>33003</v>
      </c>
      <c r="J5131">
        <v>9</v>
      </c>
      <c r="K5131">
        <v>10</v>
      </c>
    </row>
    <row r="5132" spans="1:11">
      <c r="A5132">
        <v>90</v>
      </c>
      <c r="B5132" t="b">
        <v>0</v>
      </c>
      <c r="C5132" t="s">
        <v>46545</v>
      </c>
      <c r="D5132">
        <v>1037022454355</v>
      </c>
      <c r="E5132">
        <v>1</v>
      </c>
      <c r="F5132">
        <v>6156091081</v>
      </c>
      <c r="G5132">
        <v>1499000</v>
      </c>
      <c r="H5132" t="s">
        <v>40293</v>
      </c>
      <c r="I5132">
        <v>33003</v>
      </c>
      <c r="J5132">
        <v>63</v>
      </c>
      <c r="K5132">
        <v>65</v>
      </c>
    </row>
    <row r="5133" spans="1:11">
      <c r="A5133">
        <v>90</v>
      </c>
      <c r="B5133" t="b">
        <v>0</v>
      </c>
      <c r="C5133" t="s">
        <v>43142</v>
      </c>
      <c r="D5133">
        <v>1037022454355</v>
      </c>
      <c r="E5133">
        <v>1</v>
      </c>
      <c r="F5133">
        <v>6140108178</v>
      </c>
      <c r="G5133">
        <v>1000000</v>
      </c>
      <c r="H5133" t="s">
        <v>40293</v>
      </c>
      <c r="I5133">
        <v>33005</v>
      </c>
      <c r="J5133">
        <v>7</v>
      </c>
      <c r="K5133">
        <v>25</v>
      </c>
    </row>
    <row r="5134" spans="1:11">
      <c r="A5134">
        <v>90</v>
      </c>
      <c r="B5134" t="b">
        <v>0</v>
      </c>
      <c r="C5134" t="s">
        <v>46485</v>
      </c>
      <c r="D5134">
        <v>1037022454355</v>
      </c>
      <c r="E5134">
        <v>1</v>
      </c>
      <c r="F5134">
        <v>6148422821</v>
      </c>
      <c r="G5134">
        <v>750000</v>
      </c>
      <c r="H5134" t="s">
        <v>40293</v>
      </c>
      <c r="I5134">
        <v>33007</v>
      </c>
      <c r="J5134">
        <v>11</v>
      </c>
      <c r="K5134">
        <v>25</v>
      </c>
    </row>
    <row r="5135" spans="1:11">
      <c r="A5135">
        <v>90</v>
      </c>
      <c r="B5135" t="b">
        <v>0</v>
      </c>
      <c r="C5135" t="s">
        <v>46405</v>
      </c>
      <c r="D5135">
        <v>1037022454355</v>
      </c>
      <c r="E5135">
        <v>1</v>
      </c>
      <c r="F5135">
        <v>6154811617</v>
      </c>
      <c r="G5135">
        <v>500000</v>
      </c>
      <c r="H5135" t="s">
        <v>40293</v>
      </c>
      <c r="I5135">
        <v>33009</v>
      </c>
      <c r="J5135">
        <v>9</v>
      </c>
      <c r="K5135">
        <v>10</v>
      </c>
    </row>
    <row r="5136" spans="1:11">
      <c r="A5136">
        <v>90</v>
      </c>
      <c r="B5136" t="b">
        <v>0</v>
      </c>
      <c r="C5136" t="s">
        <v>42461</v>
      </c>
      <c r="D5136">
        <v>1037022454355</v>
      </c>
      <c r="E5136">
        <v>1</v>
      </c>
      <c r="F5136">
        <v>6123956888</v>
      </c>
      <c r="G5136">
        <v>150000</v>
      </c>
      <c r="H5136" t="s">
        <v>40293</v>
      </c>
      <c r="I5136">
        <v>33011</v>
      </c>
      <c r="J5136">
        <v>5</v>
      </c>
      <c r="K5136">
        <v>5</v>
      </c>
    </row>
    <row r="5137" spans="1:11">
      <c r="A5137">
        <v>30</v>
      </c>
      <c r="B5137" t="b">
        <v>0</v>
      </c>
      <c r="C5137" t="s">
        <v>43445</v>
      </c>
      <c r="D5137">
        <v>1037022454355</v>
      </c>
      <c r="E5137">
        <v>1</v>
      </c>
      <c r="F5137">
        <v>6140738814</v>
      </c>
      <c r="G5137">
        <v>120000</v>
      </c>
      <c r="H5137" t="s">
        <v>40293</v>
      </c>
      <c r="I5137">
        <v>33011</v>
      </c>
      <c r="J5137">
        <v>20</v>
      </c>
      <c r="K5137">
        <v>52</v>
      </c>
    </row>
    <row r="5138" spans="1:11">
      <c r="A5138">
        <v>90</v>
      </c>
      <c r="B5138" t="b">
        <v>0</v>
      </c>
      <c r="C5138" t="s">
        <v>45661</v>
      </c>
      <c r="D5138">
        <v>1037022454355</v>
      </c>
      <c r="E5138">
        <v>1</v>
      </c>
      <c r="F5138">
        <v>6100374320</v>
      </c>
      <c r="G5138">
        <v>119900</v>
      </c>
      <c r="H5138" t="s">
        <v>40293</v>
      </c>
      <c r="I5138">
        <v>33011</v>
      </c>
      <c r="J5138">
        <v>25</v>
      </c>
      <c r="K5138">
        <v>50</v>
      </c>
    </row>
    <row r="5139" spans="1:11">
      <c r="A5139">
        <v>90</v>
      </c>
      <c r="B5139" t="b">
        <v>0</v>
      </c>
      <c r="C5139" t="s">
        <v>41754</v>
      </c>
      <c r="D5139">
        <v>1037022454355</v>
      </c>
      <c r="E5139">
        <v>1</v>
      </c>
      <c r="F5139">
        <v>6098976566</v>
      </c>
      <c r="G5139">
        <v>148000</v>
      </c>
      <c r="H5139" t="s">
        <v>40293</v>
      </c>
      <c r="I5139">
        <v>33076</v>
      </c>
      <c r="J5139">
        <v>87</v>
      </c>
      <c r="K5139">
        <v>100</v>
      </c>
    </row>
    <row r="5140" spans="1:11">
      <c r="A5140">
        <v>90</v>
      </c>
      <c r="B5140" t="b">
        <v>0</v>
      </c>
      <c r="C5140" t="s">
        <v>41220</v>
      </c>
      <c r="D5140">
        <v>1037022454355</v>
      </c>
      <c r="E5140">
        <v>1</v>
      </c>
      <c r="F5140">
        <v>6070292539</v>
      </c>
      <c r="G5140">
        <v>146000</v>
      </c>
      <c r="H5140" t="s">
        <v>40293</v>
      </c>
      <c r="I5140">
        <v>33076</v>
      </c>
      <c r="J5140">
        <v>18</v>
      </c>
      <c r="K5140">
        <v>50</v>
      </c>
    </row>
    <row r="5141" spans="1:11">
      <c r="A5141">
        <v>90</v>
      </c>
      <c r="B5141" t="b">
        <v>0</v>
      </c>
      <c r="C5141" t="s">
        <v>41611</v>
      </c>
      <c r="D5141">
        <v>1037022454355</v>
      </c>
      <c r="E5141">
        <v>1</v>
      </c>
      <c r="F5141">
        <v>6116536804</v>
      </c>
      <c r="G5141">
        <v>144600</v>
      </c>
      <c r="H5141" t="s">
        <v>40293</v>
      </c>
      <c r="I5141">
        <v>33076</v>
      </c>
      <c r="J5141">
        <v>27</v>
      </c>
      <c r="K5141">
        <v>50</v>
      </c>
    </row>
    <row r="5142" spans="1:11">
      <c r="A5142">
        <v>90</v>
      </c>
      <c r="B5142" t="b">
        <v>0</v>
      </c>
      <c r="C5142" t="s">
        <v>42352</v>
      </c>
      <c r="D5142">
        <v>1037022454355</v>
      </c>
      <c r="E5142">
        <v>1</v>
      </c>
      <c r="F5142">
        <v>6132559283</v>
      </c>
      <c r="G5142">
        <v>144500</v>
      </c>
      <c r="H5142" t="s">
        <v>40293</v>
      </c>
      <c r="I5142">
        <v>33076</v>
      </c>
      <c r="J5142">
        <v>32</v>
      </c>
      <c r="K5142">
        <v>50</v>
      </c>
    </row>
    <row r="5143" spans="1:11">
      <c r="A5143">
        <v>90</v>
      </c>
      <c r="B5143" t="b">
        <v>0</v>
      </c>
      <c r="C5143" t="s">
        <v>43192</v>
      </c>
      <c r="D5143">
        <v>1037022454355</v>
      </c>
      <c r="E5143">
        <v>1</v>
      </c>
      <c r="F5143">
        <v>6145912974</v>
      </c>
      <c r="G5143">
        <v>143000</v>
      </c>
      <c r="H5143" t="s">
        <v>40293</v>
      </c>
      <c r="I5143">
        <v>33076</v>
      </c>
      <c r="J5143">
        <v>25</v>
      </c>
      <c r="K5143">
        <v>25</v>
      </c>
    </row>
    <row r="5144" spans="1:11">
      <c r="A5144">
        <v>90</v>
      </c>
      <c r="B5144" t="b">
        <v>0</v>
      </c>
      <c r="C5144" t="s">
        <v>45305</v>
      </c>
      <c r="D5144">
        <v>1037022454355</v>
      </c>
      <c r="E5144">
        <v>1</v>
      </c>
      <c r="F5144">
        <v>6156927529</v>
      </c>
      <c r="G5144">
        <v>142900</v>
      </c>
      <c r="H5144" t="s">
        <v>40293</v>
      </c>
      <c r="I5144">
        <v>33076</v>
      </c>
      <c r="J5144">
        <v>46</v>
      </c>
      <c r="K5144">
        <v>50</v>
      </c>
    </row>
    <row r="5145" spans="1:11">
      <c r="A5145">
        <v>30</v>
      </c>
      <c r="B5145" t="b">
        <v>0</v>
      </c>
      <c r="C5145" t="s">
        <v>43769</v>
      </c>
      <c r="D5145">
        <v>1037022454355</v>
      </c>
      <c r="E5145">
        <v>1</v>
      </c>
      <c r="F5145">
        <v>6144687122</v>
      </c>
      <c r="G5145">
        <v>4999000</v>
      </c>
      <c r="H5145" t="s">
        <v>40293</v>
      </c>
      <c r="I5145">
        <v>33096</v>
      </c>
      <c r="J5145">
        <v>1</v>
      </c>
      <c r="K5145">
        <v>1</v>
      </c>
    </row>
    <row r="5146" spans="1:11">
      <c r="A5146">
        <v>30</v>
      </c>
      <c r="B5146" t="b">
        <v>0</v>
      </c>
      <c r="C5146" t="s">
        <v>43769</v>
      </c>
      <c r="D5146">
        <v>1037022454355</v>
      </c>
      <c r="E5146">
        <v>1</v>
      </c>
      <c r="F5146">
        <v>6144687121</v>
      </c>
      <c r="G5146">
        <v>4999000</v>
      </c>
      <c r="H5146" t="s">
        <v>40293</v>
      </c>
      <c r="I5146">
        <v>33097</v>
      </c>
      <c r="J5146">
        <v>1</v>
      </c>
      <c r="K5146">
        <v>1</v>
      </c>
    </row>
    <row r="5147" spans="1:11">
      <c r="A5147">
        <v>90</v>
      </c>
      <c r="B5147" t="b">
        <v>0</v>
      </c>
      <c r="C5147" t="s">
        <v>40976</v>
      </c>
      <c r="D5147">
        <v>1037022454355</v>
      </c>
      <c r="E5147">
        <v>1</v>
      </c>
      <c r="F5147">
        <v>6103317771</v>
      </c>
      <c r="G5147">
        <v>1950000</v>
      </c>
      <c r="H5147" t="s">
        <v>40293</v>
      </c>
      <c r="I5147">
        <v>33101</v>
      </c>
      <c r="J5147">
        <v>38</v>
      </c>
      <c r="K5147">
        <v>40</v>
      </c>
    </row>
    <row r="5148" spans="1:11">
      <c r="A5148">
        <v>90</v>
      </c>
      <c r="B5148" t="b">
        <v>0</v>
      </c>
      <c r="C5148" t="s">
        <v>40758</v>
      </c>
      <c r="D5148">
        <v>1037022454355</v>
      </c>
      <c r="E5148">
        <v>1</v>
      </c>
      <c r="F5148">
        <v>6116092141</v>
      </c>
      <c r="G5148">
        <v>1931000</v>
      </c>
      <c r="H5148" t="s">
        <v>40293</v>
      </c>
      <c r="I5148">
        <v>33101</v>
      </c>
      <c r="J5148">
        <v>8</v>
      </c>
      <c r="K5148">
        <v>10</v>
      </c>
    </row>
    <row r="5149" spans="1:11">
      <c r="A5149">
        <v>90</v>
      </c>
      <c r="B5149" t="b">
        <v>0</v>
      </c>
      <c r="C5149" t="s">
        <v>43756</v>
      </c>
      <c r="D5149">
        <v>1037022454355</v>
      </c>
      <c r="E5149">
        <v>1</v>
      </c>
      <c r="F5149">
        <v>6140159564</v>
      </c>
      <c r="G5149">
        <v>1747000</v>
      </c>
      <c r="H5149" t="s">
        <v>40293</v>
      </c>
      <c r="I5149">
        <v>33101</v>
      </c>
      <c r="J5149">
        <v>1</v>
      </c>
      <c r="K5149">
        <v>1</v>
      </c>
    </row>
    <row r="5150" spans="1:11">
      <c r="A5150">
        <v>14</v>
      </c>
      <c r="B5150" t="b">
        <v>0</v>
      </c>
      <c r="C5150" t="s">
        <v>44139</v>
      </c>
      <c r="D5150">
        <v>1037022454355</v>
      </c>
      <c r="E5150">
        <v>1</v>
      </c>
      <c r="F5150">
        <v>6153143583</v>
      </c>
      <c r="G5150">
        <v>1727000</v>
      </c>
      <c r="H5150" t="s">
        <v>40293</v>
      </c>
      <c r="I5150">
        <v>33101</v>
      </c>
      <c r="J5150">
        <v>1</v>
      </c>
      <c r="K5150">
        <v>1</v>
      </c>
    </row>
    <row r="5151" spans="1:11">
      <c r="A5151">
        <v>90</v>
      </c>
      <c r="B5151" t="b">
        <v>0</v>
      </c>
      <c r="C5151" t="s">
        <v>46085</v>
      </c>
      <c r="D5151">
        <v>1037022454355</v>
      </c>
      <c r="E5151">
        <v>1</v>
      </c>
      <c r="F5151">
        <v>6138685247</v>
      </c>
      <c r="G5151">
        <v>1727000</v>
      </c>
      <c r="H5151" t="s">
        <v>40293</v>
      </c>
      <c r="I5151">
        <v>33101</v>
      </c>
      <c r="J5151">
        <v>10</v>
      </c>
      <c r="K5151">
        <v>25</v>
      </c>
    </row>
    <row r="5152" spans="1:11">
      <c r="A5152">
        <v>90</v>
      </c>
      <c r="B5152" t="b">
        <v>0</v>
      </c>
      <c r="C5152" t="s">
        <v>42203</v>
      </c>
      <c r="D5152">
        <v>1037022454355</v>
      </c>
      <c r="E5152">
        <v>1</v>
      </c>
      <c r="F5152">
        <v>6131377248</v>
      </c>
      <c r="G5152">
        <v>7500000</v>
      </c>
      <c r="H5152" t="s">
        <v>40293</v>
      </c>
      <c r="I5152">
        <v>33103</v>
      </c>
      <c r="J5152">
        <v>9</v>
      </c>
      <c r="K5152">
        <v>10</v>
      </c>
    </row>
    <row r="5153" spans="1:11">
      <c r="A5153">
        <v>90</v>
      </c>
      <c r="B5153" t="b">
        <v>0</v>
      </c>
      <c r="C5153" t="s">
        <v>42364</v>
      </c>
      <c r="D5153">
        <v>1037022454355</v>
      </c>
      <c r="E5153">
        <v>1</v>
      </c>
      <c r="F5153">
        <v>6132559415</v>
      </c>
      <c r="G5153">
        <v>6666000</v>
      </c>
      <c r="H5153" t="s">
        <v>40293</v>
      </c>
      <c r="I5153">
        <v>33103</v>
      </c>
      <c r="J5153">
        <v>47</v>
      </c>
      <c r="K5153">
        <v>47</v>
      </c>
    </row>
    <row r="5154" spans="1:11">
      <c r="A5154">
        <v>90</v>
      </c>
      <c r="B5154" t="b">
        <v>0</v>
      </c>
      <c r="C5154" t="s">
        <v>43832</v>
      </c>
      <c r="D5154">
        <v>1037022454355</v>
      </c>
      <c r="E5154">
        <v>1</v>
      </c>
      <c r="F5154">
        <v>6138982217</v>
      </c>
      <c r="G5154">
        <v>2899000</v>
      </c>
      <c r="H5154" t="s">
        <v>40293</v>
      </c>
      <c r="I5154">
        <v>33103</v>
      </c>
      <c r="J5154">
        <v>19</v>
      </c>
      <c r="K5154">
        <v>25</v>
      </c>
    </row>
    <row r="5155" spans="1:11">
      <c r="A5155">
        <v>90</v>
      </c>
      <c r="B5155" t="b">
        <v>0</v>
      </c>
      <c r="C5155" t="s">
        <v>45625</v>
      </c>
      <c r="D5155">
        <v>1037022454355</v>
      </c>
      <c r="E5155">
        <v>1</v>
      </c>
      <c r="F5155">
        <v>6149296408</v>
      </c>
      <c r="G5155">
        <v>2898000</v>
      </c>
      <c r="H5155" t="s">
        <v>40293</v>
      </c>
      <c r="I5155">
        <v>33103</v>
      </c>
      <c r="J5155">
        <v>1</v>
      </c>
      <c r="K5155">
        <v>5</v>
      </c>
    </row>
    <row r="5156" spans="1:11">
      <c r="A5156">
        <v>90</v>
      </c>
      <c r="B5156" t="b">
        <v>0</v>
      </c>
      <c r="C5156" t="s">
        <v>46538</v>
      </c>
      <c r="D5156">
        <v>1037022454355</v>
      </c>
      <c r="E5156">
        <v>1</v>
      </c>
      <c r="F5156">
        <v>6148882039</v>
      </c>
      <c r="G5156">
        <v>800000</v>
      </c>
      <c r="H5156" t="s">
        <v>40293</v>
      </c>
      <c r="I5156">
        <v>33176</v>
      </c>
      <c r="J5156">
        <v>1</v>
      </c>
      <c r="K5156">
        <v>10</v>
      </c>
    </row>
    <row r="5157" spans="1:11">
      <c r="A5157">
        <v>90</v>
      </c>
      <c r="B5157" t="b">
        <v>0</v>
      </c>
      <c r="C5157" t="s">
        <v>41719</v>
      </c>
      <c r="D5157">
        <v>1037022454355</v>
      </c>
      <c r="E5157">
        <v>1</v>
      </c>
      <c r="F5157">
        <v>6097271825</v>
      </c>
      <c r="G5157">
        <v>699800</v>
      </c>
      <c r="H5157" t="s">
        <v>40293</v>
      </c>
      <c r="I5157">
        <v>33178</v>
      </c>
      <c r="J5157">
        <v>7</v>
      </c>
      <c r="K5157">
        <v>7</v>
      </c>
    </row>
    <row r="5158" spans="1:11">
      <c r="A5158">
        <v>90</v>
      </c>
      <c r="B5158" t="b">
        <v>0</v>
      </c>
      <c r="C5158" t="s">
        <v>42112</v>
      </c>
      <c r="D5158">
        <v>1037022454355</v>
      </c>
      <c r="E5158">
        <v>1</v>
      </c>
      <c r="F5158">
        <v>6129366350</v>
      </c>
      <c r="G5158">
        <v>689800</v>
      </c>
      <c r="H5158" t="s">
        <v>40293</v>
      </c>
      <c r="I5158">
        <v>33178</v>
      </c>
      <c r="J5158">
        <v>9</v>
      </c>
      <c r="K5158">
        <v>10</v>
      </c>
    </row>
    <row r="5159" spans="1:11">
      <c r="A5159">
        <v>90</v>
      </c>
      <c r="B5159" t="b">
        <v>0</v>
      </c>
      <c r="C5159" t="s">
        <v>44619</v>
      </c>
      <c r="D5159">
        <v>1037022454355</v>
      </c>
      <c r="E5159">
        <v>1</v>
      </c>
      <c r="F5159">
        <v>6151839650</v>
      </c>
      <c r="G5159">
        <v>700000</v>
      </c>
      <c r="H5159" t="s">
        <v>40293</v>
      </c>
      <c r="I5159">
        <v>33180</v>
      </c>
      <c r="J5159">
        <v>15</v>
      </c>
      <c r="K5159">
        <v>15</v>
      </c>
    </row>
    <row r="5160" spans="1:11">
      <c r="A5160">
        <v>90</v>
      </c>
      <c r="B5160" t="b">
        <v>0</v>
      </c>
      <c r="C5160" t="s">
        <v>46530</v>
      </c>
      <c r="D5160">
        <v>1037022454355</v>
      </c>
      <c r="E5160">
        <v>1</v>
      </c>
      <c r="F5160">
        <v>6153109037</v>
      </c>
      <c r="G5160">
        <v>699900</v>
      </c>
      <c r="H5160" t="s">
        <v>40293</v>
      </c>
      <c r="I5160">
        <v>33180</v>
      </c>
      <c r="J5160">
        <v>4</v>
      </c>
      <c r="K5160">
        <v>15</v>
      </c>
    </row>
    <row r="5161" spans="1:11">
      <c r="A5161">
        <v>90</v>
      </c>
      <c r="B5161" t="b">
        <v>0</v>
      </c>
      <c r="C5161" t="s">
        <v>41363</v>
      </c>
      <c r="D5161">
        <v>1037022454355</v>
      </c>
      <c r="E5161">
        <v>1</v>
      </c>
      <c r="F5161">
        <v>6119938467</v>
      </c>
      <c r="G5161">
        <v>1860000</v>
      </c>
      <c r="H5161" t="s">
        <v>40293</v>
      </c>
      <c r="I5161">
        <v>33197</v>
      </c>
      <c r="J5161">
        <v>5</v>
      </c>
      <c r="K5161">
        <v>6</v>
      </c>
    </row>
    <row r="5162" spans="1:11">
      <c r="A5162">
        <v>90</v>
      </c>
      <c r="B5162" t="b">
        <v>0</v>
      </c>
      <c r="C5162" t="s">
        <v>42423</v>
      </c>
      <c r="D5162">
        <v>1037022454355</v>
      </c>
      <c r="E5162">
        <v>1</v>
      </c>
      <c r="F5162">
        <v>6067626717</v>
      </c>
      <c r="G5162">
        <v>1857000</v>
      </c>
      <c r="H5162" t="s">
        <v>40293</v>
      </c>
      <c r="I5162">
        <v>33197</v>
      </c>
      <c r="J5162">
        <v>16</v>
      </c>
      <c r="K5162">
        <v>20</v>
      </c>
    </row>
    <row r="5163" spans="1:11">
      <c r="A5163">
        <v>90</v>
      </c>
      <c r="B5163" t="b">
        <v>0</v>
      </c>
      <c r="C5163" t="s">
        <v>42656</v>
      </c>
      <c r="D5163">
        <v>1037022454355</v>
      </c>
      <c r="E5163">
        <v>1</v>
      </c>
      <c r="F5163">
        <v>6097555654</v>
      </c>
      <c r="G5163">
        <v>1856000</v>
      </c>
      <c r="H5163" t="s">
        <v>40293</v>
      </c>
      <c r="I5163">
        <v>33197</v>
      </c>
      <c r="J5163">
        <v>17</v>
      </c>
      <c r="K5163">
        <v>20</v>
      </c>
    </row>
    <row r="5164" spans="1:11">
      <c r="A5164">
        <v>90</v>
      </c>
      <c r="B5164" t="b">
        <v>0</v>
      </c>
      <c r="C5164" t="s">
        <v>42778</v>
      </c>
      <c r="D5164">
        <v>1037022454355</v>
      </c>
      <c r="E5164">
        <v>1</v>
      </c>
      <c r="F5164">
        <v>6073248798</v>
      </c>
      <c r="G5164">
        <v>1855000</v>
      </c>
      <c r="H5164" t="s">
        <v>40293</v>
      </c>
      <c r="I5164">
        <v>33197</v>
      </c>
      <c r="J5164">
        <v>12</v>
      </c>
      <c r="K5164">
        <v>25</v>
      </c>
    </row>
    <row r="5165" spans="1:11">
      <c r="A5165">
        <v>90</v>
      </c>
      <c r="B5165" t="b">
        <v>0</v>
      </c>
      <c r="C5165" t="s">
        <v>41421</v>
      </c>
      <c r="D5165">
        <v>1037022454355</v>
      </c>
      <c r="E5165">
        <v>1</v>
      </c>
      <c r="F5165">
        <v>6119938804</v>
      </c>
      <c r="G5165">
        <v>2043000</v>
      </c>
      <c r="H5165" t="s">
        <v>40293</v>
      </c>
      <c r="I5165">
        <v>33199</v>
      </c>
      <c r="J5165">
        <v>8</v>
      </c>
      <c r="K5165">
        <v>9</v>
      </c>
    </row>
    <row r="5166" spans="1:11">
      <c r="A5166">
        <v>90</v>
      </c>
      <c r="B5166" t="b">
        <v>0</v>
      </c>
      <c r="C5166" t="s">
        <v>42456</v>
      </c>
      <c r="D5166">
        <v>1037022454355</v>
      </c>
      <c r="E5166">
        <v>1</v>
      </c>
      <c r="F5166">
        <v>6072867897</v>
      </c>
      <c r="G5166">
        <v>2039000</v>
      </c>
      <c r="H5166" t="s">
        <v>40293</v>
      </c>
      <c r="I5166">
        <v>33199</v>
      </c>
      <c r="J5166">
        <v>15</v>
      </c>
      <c r="K5166">
        <v>20</v>
      </c>
    </row>
    <row r="5167" spans="1:11">
      <c r="A5167">
        <v>90</v>
      </c>
      <c r="B5167" t="b">
        <v>0</v>
      </c>
      <c r="C5167" t="s">
        <v>42648</v>
      </c>
      <c r="D5167">
        <v>1037022454355</v>
      </c>
      <c r="E5167">
        <v>1</v>
      </c>
      <c r="F5167">
        <v>6076714835</v>
      </c>
      <c r="G5167">
        <v>2038000</v>
      </c>
      <c r="H5167" t="s">
        <v>40293</v>
      </c>
      <c r="I5167">
        <v>33199</v>
      </c>
      <c r="J5167">
        <v>15</v>
      </c>
      <c r="K5167">
        <v>30</v>
      </c>
    </row>
    <row r="5168" spans="1:11">
      <c r="A5168">
        <v>90</v>
      </c>
      <c r="B5168" t="b">
        <v>0</v>
      </c>
      <c r="C5168" t="s">
        <v>42763</v>
      </c>
      <c r="D5168">
        <v>1037022454355</v>
      </c>
      <c r="E5168">
        <v>1</v>
      </c>
      <c r="F5168">
        <v>6134655141</v>
      </c>
      <c r="G5168">
        <v>1999000</v>
      </c>
      <c r="H5168" t="s">
        <v>40293</v>
      </c>
      <c r="I5168">
        <v>33199</v>
      </c>
      <c r="J5168">
        <v>90</v>
      </c>
      <c r="K5168">
        <v>90</v>
      </c>
    </row>
    <row r="5169" spans="1:11">
      <c r="A5169">
        <v>90</v>
      </c>
      <c r="B5169" t="b">
        <v>0</v>
      </c>
      <c r="C5169" t="s">
        <v>42785</v>
      </c>
      <c r="D5169">
        <v>1037022454355</v>
      </c>
      <c r="E5169">
        <v>1</v>
      </c>
      <c r="F5169">
        <v>6073249202</v>
      </c>
      <c r="G5169">
        <v>1998000</v>
      </c>
      <c r="H5169" t="s">
        <v>40293</v>
      </c>
      <c r="I5169">
        <v>33199</v>
      </c>
      <c r="J5169">
        <v>15</v>
      </c>
      <c r="K5169">
        <v>25</v>
      </c>
    </row>
    <row r="5170" spans="1:11">
      <c r="A5170">
        <v>90</v>
      </c>
      <c r="B5170" t="b">
        <v>0</v>
      </c>
      <c r="C5170" t="s">
        <v>46334</v>
      </c>
      <c r="D5170">
        <v>1037022454355</v>
      </c>
      <c r="E5170">
        <v>1</v>
      </c>
      <c r="F5170">
        <v>6152582255</v>
      </c>
      <c r="G5170">
        <v>2398000</v>
      </c>
      <c r="H5170" t="s">
        <v>40293</v>
      </c>
      <c r="I5170">
        <v>33201</v>
      </c>
      <c r="J5170">
        <v>36</v>
      </c>
      <c r="K5170">
        <v>40</v>
      </c>
    </row>
    <row r="5171" spans="1:11">
      <c r="A5171">
        <v>90</v>
      </c>
      <c r="B5171" t="b">
        <v>0</v>
      </c>
      <c r="C5171" t="s">
        <v>46194</v>
      </c>
      <c r="D5171">
        <v>1037022454355</v>
      </c>
      <c r="E5171">
        <v>1</v>
      </c>
      <c r="F5171">
        <v>6073249098</v>
      </c>
      <c r="G5171">
        <v>2397000</v>
      </c>
      <c r="H5171" t="s">
        <v>40293</v>
      </c>
      <c r="I5171">
        <v>33201</v>
      </c>
      <c r="J5171">
        <v>21</v>
      </c>
      <c r="K5171">
        <v>25</v>
      </c>
    </row>
    <row r="5172" spans="1:11">
      <c r="A5172">
        <v>90</v>
      </c>
      <c r="B5172" t="b">
        <v>0</v>
      </c>
      <c r="C5172" t="s">
        <v>43101</v>
      </c>
      <c r="D5172">
        <v>1037022454355</v>
      </c>
      <c r="E5172">
        <v>1</v>
      </c>
      <c r="F5172">
        <v>6143678976</v>
      </c>
      <c r="G5172">
        <v>2500000</v>
      </c>
      <c r="H5172" t="s">
        <v>40293</v>
      </c>
      <c r="I5172">
        <v>33272</v>
      </c>
      <c r="J5172">
        <v>5</v>
      </c>
      <c r="K5172">
        <v>10</v>
      </c>
    </row>
    <row r="5173" spans="1:11">
      <c r="A5173">
        <v>90</v>
      </c>
      <c r="B5173" t="b">
        <v>0</v>
      </c>
      <c r="C5173" t="s">
        <v>40321</v>
      </c>
      <c r="D5173">
        <v>1037022454355</v>
      </c>
      <c r="E5173">
        <v>1</v>
      </c>
      <c r="F5173">
        <v>6118704021</v>
      </c>
      <c r="G5173">
        <v>48270000</v>
      </c>
      <c r="H5173" t="s">
        <v>40293</v>
      </c>
      <c r="I5173">
        <v>33285</v>
      </c>
      <c r="J5173">
        <v>4</v>
      </c>
      <c r="K5173">
        <v>4</v>
      </c>
    </row>
    <row r="5174" spans="1:11">
      <c r="A5174">
        <v>90</v>
      </c>
      <c r="B5174" t="b">
        <v>0</v>
      </c>
      <c r="C5174" t="s">
        <v>42215</v>
      </c>
      <c r="D5174">
        <v>1037022454355</v>
      </c>
      <c r="E5174">
        <v>1</v>
      </c>
      <c r="F5174">
        <v>6075803855</v>
      </c>
      <c r="G5174">
        <v>48050000</v>
      </c>
      <c r="H5174" t="s">
        <v>40293</v>
      </c>
      <c r="I5174">
        <v>33285</v>
      </c>
      <c r="J5174">
        <v>2</v>
      </c>
      <c r="K5174">
        <v>3</v>
      </c>
    </row>
    <row r="5175" spans="1:11">
      <c r="A5175">
        <v>90</v>
      </c>
      <c r="B5175" t="b">
        <v>0</v>
      </c>
      <c r="C5175" t="s">
        <v>42566</v>
      </c>
      <c r="D5175">
        <v>1037022454355</v>
      </c>
      <c r="E5175">
        <v>1</v>
      </c>
      <c r="F5175">
        <v>6094274969</v>
      </c>
      <c r="G5175">
        <v>47090000</v>
      </c>
      <c r="H5175" t="s">
        <v>40293</v>
      </c>
      <c r="I5175">
        <v>33285</v>
      </c>
      <c r="J5175">
        <v>5</v>
      </c>
      <c r="K5175">
        <v>10</v>
      </c>
    </row>
    <row r="5176" spans="1:11">
      <c r="A5176">
        <v>90</v>
      </c>
      <c r="B5176" t="b">
        <v>0</v>
      </c>
      <c r="C5176" t="s">
        <v>40852</v>
      </c>
      <c r="D5176">
        <v>1037022454355</v>
      </c>
      <c r="E5176">
        <v>1</v>
      </c>
      <c r="F5176">
        <v>6103249496</v>
      </c>
      <c r="G5176">
        <v>446600000</v>
      </c>
      <c r="H5176" t="s">
        <v>40293</v>
      </c>
      <c r="I5176">
        <v>33287</v>
      </c>
      <c r="J5176">
        <v>3</v>
      </c>
      <c r="K5176">
        <v>4</v>
      </c>
    </row>
    <row r="5177" spans="1:11">
      <c r="A5177">
        <v>90</v>
      </c>
      <c r="B5177" t="b">
        <v>0</v>
      </c>
      <c r="C5177" t="s">
        <v>41244</v>
      </c>
      <c r="D5177">
        <v>1037022454355</v>
      </c>
      <c r="E5177">
        <v>1</v>
      </c>
      <c r="F5177">
        <v>6105747871</v>
      </c>
      <c r="G5177">
        <v>446500000</v>
      </c>
      <c r="H5177" t="s">
        <v>40293</v>
      </c>
      <c r="I5177">
        <v>33287</v>
      </c>
      <c r="J5177">
        <v>2</v>
      </c>
      <c r="K5177">
        <v>2</v>
      </c>
    </row>
    <row r="5178" spans="1:11">
      <c r="A5178">
        <v>90</v>
      </c>
      <c r="B5178" t="b">
        <v>0</v>
      </c>
      <c r="C5178" t="s">
        <v>41803</v>
      </c>
      <c r="D5178">
        <v>1037022454355</v>
      </c>
      <c r="E5178">
        <v>1</v>
      </c>
      <c r="F5178">
        <v>6095573028</v>
      </c>
      <c r="G5178">
        <v>446400000</v>
      </c>
      <c r="H5178" t="s">
        <v>40293</v>
      </c>
      <c r="I5178">
        <v>33287</v>
      </c>
      <c r="J5178">
        <v>1</v>
      </c>
      <c r="K5178">
        <v>1</v>
      </c>
    </row>
    <row r="5179" spans="1:11">
      <c r="A5179">
        <v>90</v>
      </c>
      <c r="B5179" t="b">
        <v>0</v>
      </c>
      <c r="C5179" t="s">
        <v>43202</v>
      </c>
      <c r="D5179">
        <v>1037022454355</v>
      </c>
      <c r="E5179">
        <v>1</v>
      </c>
      <c r="F5179">
        <v>6138242112</v>
      </c>
      <c r="G5179">
        <v>209000000</v>
      </c>
      <c r="H5179" t="s">
        <v>40293</v>
      </c>
      <c r="I5179">
        <v>33287</v>
      </c>
      <c r="J5179">
        <v>1</v>
      </c>
      <c r="K5179">
        <v>1</v>
      </c>
    </row>
    <row r="5180" spans="1:11">
      <c r="A5180">
        <v>90</v>
      </c>
      <c r="B5180" t="b">
        <v>0</v>
      </c>
      <c r="C5180" t="s">
        <v>44961</v>
      </c>
      <c r="D5180">
        <v>1037022454355</v>
      </c>
      <c r="E5180">
        <v>1</v>
      </c>
      <c r="F5180">
        <v>6090764282</v>
      </c>
      <c r="G5180">
        <v>10210</v>
      </c>
      <c r="H5180" t="s">
        <v>40293</v>
      </c>
      <c r="I5180">
        <v>33330</v>
      </c>
      <c r="J5180">
        <v>4847</v>
      </c>
      <c r="K5180">
        <v>5968</v>
      </c>
    </row>
    <row r="5181" spans="1:11">
      <c r="A5181">
        <v>90</v>
      </c>
      <c r="B5181" t="b">
        <v>0</v>
      </c>
      <c r="C5181" t="s">
        <v>40931</v>
      </c>
      <c r="D5181">
        <v>1037022454355</v>
      </c>
      <c r="E5181">
        <v>1</v>
      </c>
      <c r="F5181">
        <v>6114851003</v>
      </c>
      <c r="G5181">
        <v>18000</v>
      </c>
      <c r="H5181" t="s">
        <v>40293</v>
      </c>
      <c r="I5181">
        <v>33332</v>
      </c>
      <c r="J5181">
        <v>2079</v>
      </c>
      <c r="K5181">
        <v>5200</v>
      </c>
    </row>
    <row r="5182" spans="1:11">
      <c r="A5182">
        <v>90</v>
      </c>
      <c r="B5182" t="b">
        <v>0</v>
      </c>
      <c r="C5182" t="s">
        <v>44142</v>
      </c>
      <c r="D5182">
        <v>1037022454355</v>
      </c>
      <c r="E5182">
        <v>1</v>
      </c>
      <c r="F5182">
        <v>6157534505</v>
      </c>
      <c r="G5182">
        <v>17990</v>
      </c>
      <c r="H5182" t="s">
        <v>40293</v>
      </c>
      <c r="I5182">
        <v>33332</v>
      </c>
      <c r="J5182">
        <v>9</v>
      </c>
      <c r="K5182">
        <v>9</v>
      </c>
    </row>
    <row r="5183" spans="1:11">
      <c r="A5183">
        <v>90</v>
      </c>
      <c r="B5183" t="b">
        <v>0</v>
      </c>
      <c r="C5183" t="s">
        <v>41646</v>
      </c>
      <c r="D5183">
        <v>1037022454355</v>
      </c>
      <c r="E5183">
        <v>1</v>
      </c>
      <c r="F5183">
        <v>6108509599</v>
      </c>
      <c r="G5183">
        <v>26400</v>
      </c>
      <c r="H5183" t="s">
        <v>40293</v>
      </c>
      <c r="I5183">
        <v>33334</v>
      </c>
      <c r="J5183">
        <v>640</v>
      </c>
      <c r="K5183">
        <v>640</v>
      </c>
    </row>
    <row r="5184" spans="1:11">
      <c r="A5184">
        <v>90</v>
      </c>
      <c r="B5184" t="b">
        <v>0</v>
      </c>
      <c r="C5184" t="s">
        <v>42965</v>
      </c>
      <c r="D5184">
        <v>1037022454355</v>
      </c>
      <c r="E5184">
        <v>1</v>
      </c>
      <c r="F5184">
        <v>6077352238</v>
      </c>
      <c r="G5184">
        <v>26390</v>
      </c>
      <c r="H5184" t="s">
        <v>40293</v>
      </c>
      <c r="I5184">
        <v>33334</v>
      </c>
      <c r="J5184">
        <v>119</v>
      </c>
      <c r="K5184">
        <v>500</v>
      </c>
    </row>
    <row r="5185" spans="1:11">
      <c r="A5185">
        <v>90</v>
      </c>
      <c r="B5185" t="b">
        <v>0</v>
      </c>
      <c r="C5185" t="s">
        <v>44787</v>
      </c>
      <c r="D5185">
        <v>1037022454355</v>
      </c>
      <c r="E5185">
        <v>1</v>
      </c>
      <c r="F5185">
        <v>6154463014</v>
      </c>
      <c r="G5185">
        <v>16950</v>
      </c>
      <c r="H5185" t="s">
        <v>40293</v>
      </c>
      <c r="I5185">
        <v>33359</v>
      </c>
      <c r="J5185">
        <v>299964</v>
      </c>
      <c r="K5185">
        <v>300000</v>
      </c>
    </row>
    <row r="5186" spans="1:11">
      <c r="A5186">
        <v>90</v>
      </c>
      <c r="B5186" t="b">
        <v>0</v>
      </c>
      <c r="C5186" t="s">
        <v>45561</v>
      </c>
      <c r="D5186">
        <v>1037022454355</v>
      </c>
      <c r="E5186">
        <v>1</v>
      </c>
      <c r="F5186">
        <v>6079204767</v>
      </c>
      <c r="G5186">
        <v>15330</v>
      </c>
      <c r="H5186" t="s">
        <v>40293</v>
      </c>
      <c r="I5186">
        <v>33360</v>
      </c>
      <c r="J5186">
        <v>150000</v>
      </c>
      <c r="K5186">
        <v>150000</v>
      </c>
    </row>
    <row r="5187" spans="1:11">
      <c r="A5187">
        <v>90</v>
      </c>
      <c r="B5187" t="b">
        <v>0</v>
      </c>
      <c r="C5187" t="s">
        <v>41991</v>
      </c>
      <c r="D5187">
        <v>1037022454355</v>
      </c>
      <c r="E5187">
        <v>1</v>
      </c>
      <c r="F5187">
        <v>6096976971</v>
      </c>
      <c r="G5187">
        <v>15300</v>
      </c>
      <c r="H5187" t="s">
        <v>40293</v>
      </c>
      <c r="I5187">
        <v>33360</v>
      </c>
      <c r="J5187">
        <v>1080</v>
      </c>
      <c r="K5187">
        <v>1080</v>
      </c>
    </row>
    <row r="5188" spans="1:11">
      <c r="A5188">
        <v>90</v>
      </c>
      <c r="B5188" t="b">
        <v>0</v>
      </c>
      <c r="C5188" t="s">
        <v>42501</v>
      </c>
      <c r="D5188">
        <v>1037022454355</v>
      </c>
      <c r="E5188">
        <v>1</v>
      </c>
      <c r="F5188">
        <v>6137033825</v>
      </c>
      <c r="G5188">
        <v>15240</v>
      </c>
      <c r="H5188" t="s">
        <v>40293</v>
      </c>
      <c r="I5188">
        <v>33360</v>
      </c>
      <c r="J5188">
        <v>3001</v>
      </c>
      <c r="K5188">
        <v>6656</v>
      </c>
    </row>
    <row r="5189" spans="1:11">
      <c r="A5189">
        <v>90</v>
      </c>
      <c r="B5189" t="b">
        <v>0</v>
      </c>
      <c r="C5189" t="s">
        <v>45559</v>
      </c>
      <c r="D5189">
        <v>1037022454355</v>
      </c>
      <c r="E5189">
        <v>1</v>
      </c>
      <c r="F5189">
        <v>6079204765</v>
      </c>
      <c r="G5189">
        <v>18110</v>
      </c>
      <c r="H5189" t="s">
        <v>40293</v>
      </c>
      <c r="I5189">
        <v>33361</v>
      </c>
      <c r="J5189">
        <v>376652</v>
      </c>
      <c r="K5189">
        <v>500000</v>
      </c>
    </row>
    <row r="5190" spans="1:11">
      <c r="A5190">
        <v>90</v>
      </c>
      <c r="B5190" t="b">
        <v>0</v>
      </c>
      <c r="C5190" t="s">
        <v>41086</v>
      </c>
      <c r="D5190">
        <v>1037022454355</v>
      </c>
      <c r="E5190">
        <v>1</v>
      </c>
      <c r="F5190">
        <v>6094145097</v>
      </c>
      <c r="G5190">
        <v>26100</v>
      </c>
      <c r="H5190" t="s">
        <v>40293</v>
      </c>
      <c r="I5190">
        <v>33362</v>
      </c>
      <c r="J5190">
        <v>2895</v>
      </c>
      <c r="K5190">
        <v>5881</v>
      </c>
    </row>
    <row r="5191" spans="1:11">
      <c r="A5191">
        <v>90</v>
      </c>
      <c r="B5191" t="b">
        <v>0</v>
      </c>
      <c r="C5191" t="s">
        <v>44739</v>
      </c>
      <c r="D5191">
        <v>1037022454355</v>
      </c>
      <c r="E5191">
        <v>1</v>
      </c>
      <c r="F5191">
        <v>6156789036</v>
      </c>
      <c r="G5191">
        <v>20000</v>
      </c>
      <c r="H5191" t="s">
        <v>40293</v>
      </c>
      <c r="I5191">
        <v>33362</v>
      </c>
      <c r="J5191">
        <v>548</v>
      </c>
      <c r="K5191">
        <v>548</v>
      </c>
    </row>
    <row r="5192" spans="1:11">
      <c r="A5192">
        <v>90</v>
      </c>
      <c r="B5192" t="b">
        <v>0</v>
      </c>
      <c r="C5192" t="s">
        <v>42934</v>
      </c>
      <c r="D5192">
        <v>1037022454355</v>
      </c>
      <c r="E5192">
        <v>1</v>
      </c>
      <c r="F5192">
        <v>6140101982</v>
      </c>
      <c r="G5192">
        <v>422400000</v>
      </c>
      <c r="H5192" t="s">
        <v>40293</v>
      </c>
      <c r="I5192">
        <v>33393</v>
      </c>
      <c r="J5192">
        <v>4</v>
      </c>
      <c r="K5192">
        <v>5</v>
      </c>
    </row>
    <row r="5193" spans="1:11">
      <c r="A5193">
        <v>90</v>
      </c>
      <c r="B5193" t="b">
        <v>0</v>
      </c>
      <c r="C5193" t="s">
        <v>42938</v>
      </c>
      <c r="D5193">
        <v>1037022454355</v>
      </c>
      <c r="E5193">
        <v>1</v>
      </c>
      <c r="F5193">
        <v>6140102129</v>
      </c>
      <c r="G5193">
        <v>376600000</v>
      </c>
      <c r="H5193" t="s">
        <v>40293</v>
      </c>
      <c r="I5193">
        <v>33394</v>
      </c>
      <c r="J5193">
        <v>4</v>
      </c>
      <c r="K5193">
        <v>5</v>
      </c>
    </row>
    <row r="5194" spans="1:11">
      <c r="A5194">
        <v>30</v>
      </c>
      <c r="B5194" t="b">
        <v>0</v>
      </c>
      <c r="C5194" t="s">
        <v>44241</v>
      </c>
      <c r="D5194">
        <v>1037022454355</v>
      </c>
      <c r="E5194">
        <v>1</v>
      </c>
      <c r="F5194">
        <v>6148164289</v>
      </c>
      <c r="G5194">
        <v>29500000</v>
      </c>
      <c r="H5194" t="s">
        <v>40293</v>
      </c>
      <c r="I5194">
        <v>33400</v>
      </c>
      <c r="J5194">
        <v>3</v>
      </c>
      <c r="K5194">
        <v>10</v>
      </c>
    </row>
    <row r="5195" spans="1:11">
      <c r="A5195">
        <v>30</v>
      </c>
      <c r="B5195" t="b">
        <v>0</v>
      </c>
      <c r="C5195" t="s">
        <v>44309</v>
      </c>
      <c r="D5195">
        <v>1037022454355</v>
      </c>
      <c r="E5195">
        <v>1</v>
      </c>
      <c r="F5195">
        <v>6154536761</v>
      </c>
      <c r="G5195">
        <v>29500000</v>
      </c>
      <c r="H5195" t="s">
        <v>40293</v>
      </c>
      <c r="I5195">
        <v>33400</v>
      </c>
      <c r="J5195">
        <v>5</v>
      </c>
      <c r="K5195">
        <v>5</v>
      </c>
    </row>
    <row r="5196" spans="1:11">
      <c r="A5196">
        <v>90</v>
      </c>
      <c r="B5196" t="b">
        <v>0</v>
      </c>
      <c r="C5196" t="s">
        <v>40399</v>
      </c>
      <c r="D5196">
        <v>1037022454355</v>
      </c>
      <c r="E5196">
        <v>1</v>
      </c>
      <c r="F5196">
        <v>6069062154</v>
      </c>
      <c r="G5196">
        <v>348500000</v>
      </c>
      <c r="H5196" t="s">
        <v>40293</v>
      </c>
      <c r="I5196">
        <v>33405</v>
      </c>
      <c r="J5196">
        <v>1</v>
      </c>
      <c r="K5196">
        <v>1</v>
      </c>
    </row>
    <row r="5197" spans="1:11">
      <c r="A5197">
        <v>90</v>
      </c>
      <c r="B5197" t="b">
        <v>0</v>
      </c>
      <c r="C5197" t="s">
        <v>41238</v>
      </c>
      <c r="D5197">
        <v>1037022454355</v>
      </c>
      <c r="E5197">
        <v>1</v>
      </c>
      <c r="F5197">
        <v>6100472114</v>
      </c>
      <c r="G5197">
        <v>500000</v>
      </c>
      <c r="H5197" t="s">
        <v>40293</v>
      </c>
      <c r="I5197">
        <v>33440</v>
      </c>
      <c r="J5197">
        <v>4</v>
      </c>
      <c r="K5197">
        <v>5</v>
      </c>
    </row>
    <row r="5198" spans="1:11">
      <c r="A5198">
        <v>90</v>
      </c>
      <c r="B5198" t="b">
        <v>0</v>
      </c>
      <c r="C5198" t="s">
        <v>42069</v>
      </c>
      <c r="D5198">
        <v>1037022454355</v>
      </c>
      <c r="E5198">
        <v>1</v>
      </c>
      <c r="F5198">
        <v>6129932999</v>
      </c>
      <c r="G5198">
        <v>120000</v>
      </c>
      <c r="H5198" t="s">
        <v>40293</v>
      </c>
      <c r="I5198">
        <v>33440</v>
      </c>
      <c r="J5198">
        <v>76</v>
      </c>
      <c r="K5198">
        <v>76</v>
      </c>
    </row>
    <row r="5199" spans="1:11">
      <c r="A5199">
        <v>90</v>
      </c>
      <c r="B5199" t="b">
        <v>0</v>
      </c>
      <c r="C5199" t="s">
        <v>40354</v>
      </c>
      <c r="D5199">
        <v>1037022454355</v>
      </c>
      <c r="E5199">
        <v>1</v>
      </c>
      <c r="F5199">
        <v>6108513811</v>
      </c>
      <c r="G5199">
        <v>100000</v>
      </c>
      <c r="H5199" t="s">
        <v>40293</v>
      </c>
      <c r="I5199">
        <v>33440</v>
      </c>
      <c r="J5199">
        <v>461</v>
      </c>
      <c r="K5199">
        <v>585</v>
      </c>
    </row>
    <row r="5200" spans="1:11">
      <c r="A5200">
        <v>90</v>
      </c>
      <c r="B5200" t="b">
        <v>0</v>
      </c>
      <c r="C5200" t="s">
        <v>42128</v>
      </c>
      <c r="D5200">
        <v>1037022454355</v>
      </c>
      <c r="E5200">
        <v>1</v>
      </c>
      <c r="F5200">
        <v>6129934254</v>
      </c>
      <c r="G5200">
        <v>80000</v>
      </c>
      <c r="H5200" t="s">
        <v>40293</v>
      </c>
      <c r="I5200">
        <v>33441</v>
      </c>
      <c r="J5200">
        <v>119</v>
      </c>
      <c r="K5200">
        <v>119</v>
      </c>
    </row>
    <row r="5201" spans="1:11">
      <c r="A5201">
        <v>90</v>
      </c>
      <c r="B5201" t="b">
        <v>0</v>
      </c>
      <c r="C5201" t="s">
        <v>41161</v>
      </c>
      <c r="D5201">
        <v>1037022454355</v>
      </c>
      <c r="E5201">
        <v>1</v>
      </c>
      <c r="F5201">
        <v>6112371183</v>
      </c>
      <c r="G5201">
        <v>3690000</v>
      </c>
      <c r="H5201" t="s">
        <v>40293</v>
      </c>
      <c r="I5201">
        <v>33450</v>
      </c>
      <c r="J5201">
        <v>1</v>
      </c>
      <c r="K5201">
        <v>17</v>
      </c>
    </row>
    <row r="5202" spans="1:11">
      <c r="A5202">
        <v>90</v>
      </c>
      <c r="B5202" t="b">
        <v>0</v>
      </c>
      <c r="C5202" t="s">
        <v>40956</v>
      </c>
      <c r="D5202">
        <v>1037022454355</v>
      </c>
      <c r="E5202">
        <v>1</v>
      </c>
      <c r="F5202">
        <v>6105152363</v>
      </c>
      <c r="G5202">
        <v>80110</v>
      </c>
      <c r="H5202" t="s">
        <v>40293</v>
      </c>
      <c r="I5202">
        <v>33466</v>
      </c>
      <c r="J5202">
        <v>1</v>
      </c>
      <c r="K5202">
        <v>1</v>
      </c>
    </row>
    <row r="5203" spans="1:11">
      <c r="A5203">
        <v>90</v>
      </c>
      <c r="B5203" t="b">
        <v>0</v>
      </c>
      <c r="C5203" t="s">
        <v>44556</v>
      </c>
      <c r="D5203">
        <v>1037022454355</v>
      </c>
      <c r="E5203">
        <v>1</v>
      </c>
      <c r="F5203">
        <v>6154067062</v>
      </c>
      <c r="G5203">
        <v>122000000</v>
      </c>
      <c r="H5203" t="s">
        <v>40293</v>
      </c>
      <c r="I5203">
        <v>33468</v>
      </c>
      <c r="J5203">
        <v>11</v>
      </c>
      <c r="K5203">
        <v>11</v>
      </c>
    </row>
    <row r="5204" spans="1:11">
      <c r="A5204">
        <v>90</v>
      </c>
      <c r="B5204" t="b">
        <v>0</v>
      </c>
      <c r="C5204" t="s">
        <v>42509</v>
      </c>
      <c r="D5204">
        <v>1037022454355</v>
      </c>
      <c r="E5204">
        <v>1</v>
      </c>
      <c r="F5204">
        <v>6134380035</v>
      </c>
      <c r="G5204">
        <v>475000000</v>
      </c>
      <c r="H5204" t="s">
        <v>40293</v>
      </c>
      <c r="I5204">
        <v>33470</v>
      </c>
      <c r="J5204">
        <v>2</v>
      </c>
      <c r="K5204">
        <v>2</v>
      </c>
    </row>
    <row r="5205" spans="1:11">
      <c r="A5205">
        <v>7</v>
      </c>
      <c r="B5205" t="b">
        <v>0</v>
      </c>
      <c r="C5205" t="s">
        <v>46108</v>
      </c>
      <c r="D5205">
        <v>1037022454355</v>
      </c>
      <c r="E5205">
        <v>1</v>
      </c>
      <c r="F5205">
        <v>6153758899</v>
      </c>
      <c r="G5205">
        <v>399600000</v>
      </c>
      <c r="H5205" t="s">
        <v>40293</v>
      </c>
      <c r="I5205">
        <v>33470</v>
      </c>
      <c r="J5205">
        <v>2</v>
      </c>
      <c r="K5205">
        <v>2</v>
      </c>
    </row>
    <row r="5206" spans="1:11">
      <c r="A5206">
        <v>30</v>
      </c>
      <c r="B5206" t="b">
        <v>0</v>
      </c>
      <c r="C5206" t="s">
        <v>44060</v>
      </c>
      <c r="D5206">
        <v>1037022454355</v>
      </c>
      <c r="E5206">
        <v>1</v>
      </c>
      <c r="F5206">
        <v>6154453350</v>
      </c>
      <c r="G5206">
        <v>399000000</v>
      </c>
      <c r="H5206" t="s">
        <v>40293</v>
      </c>
      <c r="I5206">
        <v>33470</v>
      </c>
      <c r="J5206">
        <v>1</v>
      </c>
      <c r="K5206">
        <v>1</v>
      </c>
    </row>
    <row r="5207" spans="1:11">
      <c r="A5207">
        <v>90</v>
      </c>
      <c r="B5207" t="b">
        <v>0</v>
      </c>
      <c r="C5207" t="s">
        <v>45986</v>
      </c>
      <c r="D5207">
        <v>1037022454355</v>
      </c>
      <c r="E5207">
        <v>1</v>
      </c>
      <c r="F5207">
        <v>6153386730</v>
      </c>
      <c r="G5207">
        <v>1300000000</v>
      </c>
      <c r="H5207" t="s">
        <v>40293</v>
      </c>
      <c r="I5207">
        <v>33472</v>
      </c>
      <c r="J5207">
        <v>1</v>
      </c>
      <c r="K5207">
        <v>1</v>
      </c>
    </row>
    <row r="5208" spans="1:11">
      <c r="A5208">
        <v>90</v>
      </c>
      <c r="B5208" t="b">
        <v>0</v>
      </c>
      <c r="C5208" t="s">
        <v>40408</v>
      </c>
      <c r="D5208">
        <v>1037022454355</v>
      </c>
      <c r="E5208">
        <v>1</v>
      </c>
      <c r="F5208">
        <v>6101928685</v>
      </c>
      <c r="G5208">
        <v>7917000</v>
      </c>
      <c r="H5208" t="s">
        <v>40293</v>
      </c>
      <c r="I5208">
        <v>33475</v>
      </c>
      <c r="J5208">
        <v>1</v>
      </c>
      <c r="K5208">
        <v>1</v>
      </c>
    </row>
    <row r="5209" spans="1:11">
      <c r="A5209">
        <v>90</v>
      </c>
      <c r="B5209" t="b">
        <v>0</v>
      </c>
      <c r="C5209" t="s">
        <v>40854</v>
      </c>
      <c r="D5209">
        <v>1037022454355</v>
      </c>
      <c r="E5209">
        <v>1</v>
      </c>
      <c r="F5209">
        <v>6104068751</v>
      </c>
      <c r="G5209">
        <v>7773000</v>
      </c>
      <c r="H5209" t="s">
        <v>40293</v>
      </c>
      <c r="I5209">
        <v>33475</v>
      </c>
      <c r="J5209">
        <v>3</v>
      </c>
      <c r="K5209">
        <v>8</v>
      </c>
    </row>
    <row r="5210" spans="1:11">
      <c r="A5210">
        <v>90</v>
      </c>
      <c r="B5210" t="b">
        <v>0</v>
      </c>
      <c r="C5210" t="s">
        <v>41073</v>
      </c>
      <c r="D5210">
        <v>1037022454355</v>
      </c>
      <c r="E5210">
        <v>1</v>
      </c>
      <c r="F5210">
        <v>6116984049</v>
      </c>
      <c r="G5210">
        <v>7740000</v>
      </c>
      <c r="H5210" t="s">
        <v>40293</v>
      </c>
      <c r="I5210">
        <v>33475</v>
      </c>
      <c r="J5210">
        <v>15</v>
      </c>
      <c r="K5210">
        <v>19</v>
      </c>
    </row>
    <row r="5211" spans="1:11">
      <c r="A5211">
        <v>90</v>
      </c>
      <c r="B5211" t="b">
        <v>0</v>
      </c>
      <c r="C5211" t="s">
        <v>41349</v>
      </c>
      <c r="D5211">
        <v>1037022454355</v>
      </c>
      <c r="E5211">
        <v>1</v>
      </c>
      <c r="F5211">
        <v>6119184478</v>
      </c>
      <c r="G5211">
        <v>7550000</v>
      </c>
      <c r="H5211" t="s">
        <v>40293</v>
      </c>
      <c r="I5211">
        <v>33475</v>
      </c>
      <c r="J5211">
        <v>4</v>
      </c>
      <c r="K5211">
        <v>20</v>
      </c>
    </row>
    <row r="5212" spans="1:11">
      <c r="A5212">
        <v>90</v>
      </c>
      <c r="B5212" t="b">
        <v>0</v>
      </c>
      <c r="C5212" t="s">
        <v>41011</v>
      </c>
      <c r="D5212">
        <v>1037022454355</v>
      </c>
      <c r="E5212">
        <v>1</v>
      </c>
      <c r="F5212">
        <v>6124060660</v>
      </c>
      <c r="G5212">
        <v>7545000</v>
      </c>
      <c r="H5212" t="s">
        <v>40293</v>
      </c>
      <c r="I5212">
        <v>33475</v>
      </c>
      <c r="J5212">
        <v>12</v>
      </c>
      <c r="K5212">
        <v>20</v>
      </c>
    </row>
    <row r="5213" spans="1:11">
      <c r="A5213">
        <v>90</v>
      </c>
      <c r="B5213" t="b">
        <v>0</v>
      </c>
      <c r="C5213" t="s">
        <v>42319</v>
      </c>
      <c r="D5213">
        <v>1037022454355</v>
      </c>
      <c r="E5213">
        <v>1</v>
      </c>
      <c r="F5213">
        <v>6137120570</v>
      </c>
      <c r="G5213">
        <v>7500000</v>
      </c>
      <c r="H5213" t="s">
        <v>40293</v>
      </c>
      <c r="I5213">
        <v>33475</v>
      </c>
      <c r="J5213">
        <v>15</v>
      </c>
      <c r="K5213">
        <v>15</v>
      </c>
    </row>
    <row r="5214" spans="1:11">
      <c r="A5214">
        <v>90</v>
      </c>
      <c r="B5214" t="b">
        <v>0</v>
      </c>
      <c r="C5214" t="s">
        <v>42117</v>
      </c>
      <c r="D5214">
        <v>1037022454355</v>
      </c>
      <c r="E5214">
        <v>1</v>
      </c>
      <c r="F5214">
        <v>6131365858</v>
      </c>
      <c r="G5214">
        <v>7349000</v>
      </c>
      <c r="H5214" t="s">
        <v>40293</v>
      </c>
      <c r="I5214">
        <v>33475</v>
      </c>
      <c r="J5214">
        <v>2</v>
      </c>
      <c r="K5214">
        <v>19</v>
      </c>
    </row>
    <row r="5215" spans="1:11">
      <c r="A5215">
        <v>90</v>
      </c>
      <c r="B5215" t="b">
        <v>0</v>
      </c>
      <c r="C5215" t="s">
        <v>42870</v>
      </c>
      <c r="D5215">
        <v>1037022454355</v>
      </c>
      <c r="E5215">
        <v>1</v>
      </c>
      <c r="F5215">
        <v>6137648443</v>
      </c>
      <c r="G5215">
        <v>7275000</v>
      </c>
      <c r="H5215" t="s">
        <v>40293</v>
      </c>
      <c r="I5215">
        <v>33475</v>
      </c>
      <c r="J5215">
        <v>13</v>
      </c>
      <c r="K5215">
        <v>20</v>
      </c>
    </row>
    <row r="5216" spans="1:11">
      <c r="A5216">
        <v>90</v>
      </c>
      <c r="B5216" t="b">
        <v>0</v>
      </c>
      <c r="C5216" t="s">
        <v>43397</v>
      </c>
      <c r="D5216">
        <v>1037022454355</v>
      </c>
      <c r="E5216">
        <v>1</v>
      </c>
      <c r="F5216">
        <v>6137301334</v>
      </c>
      <c r="G5216">
        <v>7250000</v>
      </c>
      <c r="H5216" t="s">
        <v>40293</v>
      </c>
      <c r="I5216">
        <v>33475</v>
      </c>
      <c r="J5216">
        <v>2</v>
      </c>
      <c r="K5216">
        <v>5</v>
      </c>
    </row>
    <row r="5217" spans="1:11">
      <c r="A5217">
        <v>90</v>
      </c>
      <c r="B5217" t="b">
        <v>0</v>
      </c>
      <c r="C5217" t="s">
        <v>43273</v>
      </c>
      <c r="D5217">
        <v>1037022454355</v>
      </c>
      <c r="E5217">
        <v>1</v>
      </c>
      <c r="F5217">
        <v>6141389672</v>
      </c>
      <c r="G5217">
        <v>7238000</v>
      </c>
      <c r="H5217" t="s">
        <v>40293</v>
      </c>
      <c r="I5217">
        <v>33475</v>
      </c>
      <c r="J5217">
        <v>1</v>
      </c>
      <c r="K5217">
        <v>5</v>
      </c>
    </row>
    <row r="5218" spans="1:11">
      <c r="A5218">
        <v>90</v>
      </c>
      <c r="B5218" t="b">
        <v>0</v>
      </c>
      <c r="C5218" t="s">
        <v>43705</v>
      </c>
      <c r="D5218">
        <v>1037022454355</v>
      </c>
      <c r="E5218">
        <v>1</v>
      </c>
      <c r="F5218">
        <v>6142845015</v>
      </c>
      <c r="G5218">
        <v>7200000</v>
      </c>
      <c r="H5218" t="s">
        <v>40293</v>
      </c>
      <c r="I5218">
        <v>33475</v>
      </c>
      <c r="J5218">
        <v>3</v>
      </c>
      <c r="K5218">
        <v>48</v>
      </c>
    </row>
    <row r="5219" spans="1:11">
      <c r="A5219">
        <v>90</v>
      </c>
      <c r="B5219" t="b">
        <v>0</v>
      </c>
      <c r="C5219" t="s">
        <v>45156</v>
      </c>
      <c r="D5219">
        <v>1037022454355</v>
      </c>
      <c r="E5219">
        <v>1</v>
      </c>
      <c r="F5219">
        <v>6151551514</v>
      </c>
      <c r="G5219">
        <v>7198000</v>
      </c>
      <c r="H5219" t="s">
        <v>40293</v>
      </c>
      <c r="I5219">
        <v>33475</v>
      </c>
      <c r="J5219">
        <v>20</v>
      </c>
      <c r="K5219">
        <v>25</v>
      </c>
    </row>
    <row r="5220" spans="1:11">
      <c r="A5220">
        <v>90</v>
      </c>
      <c r="B5220" t="b">
        <v>0</v>
      </c>
      <c r="C5220" t="s">
        <v>44132</v>
      </c>
      <c r="D5220">
        <v>1037022454355</v>
      </c>
      <c r="E5220">
        <v>1</v>
      </c>
      <c r="F5220">
        <v>6091998385</v>
      </c>
      <c r="G5220">
        <v>7196000</v>
      </c>
      <c r="H5220" t="s">
        <v>40293</v>
      </c>
      <c r="I5220">
        <v>33475</v>
      </c>
      <c r="J5220">
        <v>12</v>
      </c>
      <c r="K5220">
        <v>15</v>
      </c>
    </row>
    <row r="5221" spans="1:11">
      <c r="A5221">
        <v>90</v>
      </c>
      <c r="B5221" t="b">
        <v>0</v>
      </c>
      <c r="C5221" t="s">
        <v>44381</v>
      </c>
      <c r="D5221">
        <v>1037022454355</v>
      </c>
      <c r="E5221">
        <v>1</v>
      </c>
      <c r="F5221">
        <v>6155408119</v>
      </c>
      <c r="G5221">
        <v>7195000</v>
      </c>
      <c r="H5221" t="s">
        <v>40293</v>
      </c>
      <c r="I5221">
        <v>33475</v>
      </c>
      <c r="J5221">
        <v>5</v>
      </c>
      <c r="K5221">
        <v>5</v>
      </c>
    </row>
    <row r="5222" spans="1:11">
      <c r="A5222">
        <v>90</v>
      </c>
      <c r="B5222" t="b">
        <v>0</v>
      </c>
      <c r="C5222" t="s">
        <v>44145</v>
      </c>
      <c r="D5222">
        <v>1037022454355</v>
      </c>
      <c r="E5222">
        <v>1</v>
      </c>
      <c r="F5222">
        <v>6149670309</v>
      </c>
      <c r="G5222">
        <v>7194000</v>
      </c>
      <c r="H5222" t="s">
        <v>40293</v>
      </c>
      <c r="I5222">
        <v>33475</v>
      </c>
      <c r="J5222">
        <v>8</v>
      </c>
      <c r="K5222">
        <v>9</v>
      </c>
    </row>
    <row r="5223" spans="1:11">
      <c r="A5223">
        <v>90</v>
      </c>
      <c r="B5223" t="b">
        <v>0</v>
      </c>
      <c r="C5223" t="s">
        <v>44378</v>
      </c>
      <c r="D5223">
        <v>1037022454355</v>
      </c>
      <c r="E5223">
        <v>1</v>
      </c>
      <c r="F5223">
        <v>6156292810</v>
      </c>
      <c r="G5223">
        <v>7194000</v>
      </c>
      <c r="H5223" t="s">
        <v>40293</v>
      </c>
      <c r="I5223">
        <v>33475</v>
      </c>
      <c r="J5223">
        <v>6</v>
      </c>
      <c r="K5223">
        <v>10</v>
      </c>
    </row>
    <row r="5224" spans="1:11">
      <c r="A5224">
        <v>90</v>
      </c>
      <c r="B5224" t="b">
        <v>0</v>
      </c>
      <c r="C5224" t="s">
        <v>45323</v>
      </c>
      <c r="D5224">
        <v>1037022454355</v>
      </c>
      <c r="E5224">
        <v>1</v>
      </c>
      <c r="F5224">
        <v>6156698424</v>
      </c>
      <c r="G5224">
        <v>7193000</v>
      </c>
      <c r="H5224" t="s">
        <v>40293</v>
      </c>
      <c r="I5224">
        <v>33475</v>
      </c>
      <c r="J5224">
        <v>1</v>
      </c>
      <c r="K5224">
        <v>2</v>
      </c>
    </row>
    <row r="5225" spans="1:11">
      <c r="A5225">
        <v>90</v>
      </c>
      <c r="B5225" t="b">
        <v>0</v>
      </c>
      <c r="C5225" t="s">
        <v>40327</v>
      </c>
      <c r="D5225">
        <v>1037022454355</v>
      </c>
      <c r="E5225">
        <v>1</v>
      </c>
      <c r="F5225">
        <v>6101533665</v>
      </c>
      <c r="G5225">
        <v>54010000</v>
      </c>
      <c r="H5225" t="s">
        <v>40293</v>
      </c>
      <c r="I5225">
        <v>33476</v>
      </c>
      <c r="J5225">
        <v>1</v>
      </c>
      <c r="K5225">
        <v>14</v>
      </c>
    </row>
    <row r="5226" spans="1:11">
      <c r="A5226">
        <v>90</v>
      </c>
      <c r="B5226" t="b">
        <v>0</v>
      </c>
      <c r="C5226" t="s">
        <v>41052</v>
      </c>
      <c r="D5226">
        <v>1037022454355</v>
      </c>
      <c r="E5226">
        <v>1</v>
      </c>
      <c r="F5226">
        <v>6121243439</v>
      </c>
      <c r="G5226">
        <v>53000000</v>
      </c>
      <c r="H5226" t="s">
        <v>40293</v>
      </c>
      <c r="I5226">
        <v>33476</v>
      </c>
      <c r="J5226">
        <v>1</v>
      </c>
      <c r="K5226">
        <v>1</v>
      </c>
    </row>
    <row r="5227" spans="1:11">
      <c r="A5227">
        <v>90</v>
      </c>
      <c r="B5227" t="b">
        <v>0</v>
      </c>
      <c r="C5227" t="s">
        <v>41837</v>
      </c>
      <c r="D5227">
        <v>1037022454355</v>
      </c>
      <c r="E5227">
        <v>1</v>
      </c>
      <c r="F5227">
        <v>6127723000</v>
      </c>
      <c r="G5227">
        <v>52500000</v>
      </c>
      <c r="H5227" t="s">
        <v>40293</v>
      </c>
      <c r="I5227">
        <v>33476</v>
      </c>
      <c r="J5227">
        <v>1</v>
      </c>
      <c r="K5227">
        <v>1</v>
      </c>
    </row>
    <row r="5228" spans="1:11">
      <c r="A5228">
        <v>90</v>
      </c>
      <c r="B5228" t="b">
        <v>0</v>
      </c>
      <c r="C5228" t="s">
        <v>45451</v>
      </c>
      <c r="D5228">
        <v>1037022454355</v>
      </c>
      <c r="E5228">
        <v>1</v>
      </c>
      <c r="F5228">
        <v>6154143988</v>
      </c>
      <c r="G5228">
        <v>52450000</v>
      </c>
      <c r="H5228" t="s">
        <v>40293</v>
      </c>
      <c r="I5228">
        <v>33476</v>
      </c>
      <c r="J5228">
        <v>1</v>
      </c>
      <c r="K5228">
        <v>1</v>
      </c>
    </row>
    <row r="5229" spans="1:11">
      <c r="A5229">
        <v>90</v>
      </c>
      <c r="B5229" t="b">
        <v>0</v>
      </c>
      <c r="C5229" t="s">
        <v>44046</v>
      </c>
      <c r="D5229">
        <v>1037022454355</v>
      </c>
      <c r="E5229">
        <v>1</v>
      </c>
      <c r="F5229">
        <v>6152945854</v>
      </c>
      <c r="G5229">
        <v>52440000</v>
      </c>
      <c r="H5229" t="s">
        <v>40293</v>
      </c>
      <c r="I5229">
        <v>33476</v>
      </c>
      <c r="J5229">
        <v>3</v>
      </c>
      <c r="K5229">
        <v>5</v>
      </c>
    </row>
    <row r="5230" spans="1:11">
      <c r="A5230">
        <v>90</v>
      </c>
      <c r="B5230" t="b">
        <v>0</v>
      </c>
      <c r="C5230" t="s">
        <v>41815</v>
      </c>
      <c r="D5230">
        <v>1037022454355</v>
      </c>
      <c r="E5230">
        <v>1</v>
      </c>
      <c r="F5230">
        <v>6100686257</v>
      </c>
      <c r="G5230">
        <v>8897000</v>
      </c>
      <c r="H5230" t="s">
        <v>40293</v>
      </c>
      <c r="I5230">
        <v>33520</v>
      </c>
      <c r="J5230">
        <v>2</v>
      </c>
      <c r="K5230">
        <v>2</v>
      </c>
    </row>
    <row r="5231" spans="1:11">
      <c r="A5231">
        <v>30</v>
      </c>
      <c r="B5231" t="b">
        <v>0</v>
      </c>
      <c r="C5231" t="s">
        <v>43969</v>
      </c>
      <c r="D5231">
        <v>1037022454355</v>
      </c>
      <c r="E5231">
        <v>1</v>
      </c>
      <c r="F5231">
        <v>6144655018</v>
      </c>
      <c r="G5231">
        <v>6665000</v>
      </c>
      <c r="H5231" t="s">
        <v>40293</v>
      </c>
      <c r="I5231">
        <v>33520</v>
      </c>
      <c r="J5231">
        <v>3</v>
      </c>
      <c r="K5231">
        <v>3</v>
      </c>
    </row>
    <row r="5232" spans="1:11">
      <c r="A5232">
        <v>90</v>
      </c>
      <c r="B5232" t="b">
        <v>0</v>
      </c>
      <c r="C5232" t="s">
        <v>44264</v>
      </c>
      <c r="D5232">
        <v>1037022454355</v>
      </c>
      <c r="E5232">
        <v>1</v>
      </c>
      <c r="F5232">
        <v>6153898883</v>
      </c>
      <c r="G5232">
        <v>3250000</v>
      </c>
      <c r="H5232" t="s">
        <v>40293</v>
      </c>
      <c r="I5232">
        <v>33520</v>
      </c>
      <c r="J5232">
        <v>1</v>
      </c>
      <c r="K5232">
        <v>1</v>
      </c>
    </row>
    <row r="5233" spans="1:11">
      <c r="A5233">
        <v>90</v>
      </c>
      <c r="B5233" t="b">
        <v>0</v>
      </c>
      <c r="C5233" t="s">
        <v>44680</v>
      </c>
      <c r="D5233">
        <v>1037022454355</v>
      </c>
      <c r="E5233">
        <v>1</v>
      </c>
      <c r="F5233">
        <v>6150759073</v>
      </c>
      <c r="G5233">
        <v>3225000</v>
      </c>
      <c r="H5233" t="s">
        <v>40293</v>
      </c>
      <c r="I5233">
        <v>33520</v>
      </c>
      <c r="J5233">
        <v>1</v>
      </c>
      <c r="K5233">
        <v>1</v>
      </c>
    </row>
    <row r="5234" spans="1:11">
      <c r="A5234">
        <v>90</v>
      </c>
      <c r="B5234" t="b">
        <v>0</v>
      </c>
      <c r="C5234" t="s">
        <v>45365</v>
      </c>
      <c r="D5234">
        <v>1037022454355</v>
      </c>
      <c r="E5234">
        <v>1</v>
      </c>
      <c r="F5234">
        <v>6154896604</v>
      </c>
      <c r="G5234">
        <v>3224000</v>
      </c>
      <c r="H5234" t="s">
        <v>40293</v>
      </c>
      <c r="I5234">
        <v>33520</v>
      </c>
      <c r="J5234">
        <v>1</v>
      </c>
      <c r="K5234">
        <v>1</v>
      </c>
    </row>
    <row r="5235" spans="1:11">
      <c r="A5235">
        <v>90</v>
      </c>
      <c r="B5235" t="b">
        <v>0</v>
      </c>
      <c r="C5235" t="s">
        <v>44167</v>
      </c>
      <c r="D5235">
        <v>1037022454355</v>
      </c>
      <c r="E5235">
        <v>1</v>
      </c>
      <c r="F5235">
        <v>6151767802</v>
      </c>
      <c r="G5235">
        <v>3223000</v>
      </c>
      <c r="H5235" t="s">
        <v>40293</v>
      </c>
      <c r="I5235">
        <v>33520</v>
      </c>
      <c r="J5235">
        <v>21</v>
      </c>
      <c r="K5235">
        <v>21</v>
      </c>
    </row>
    <row r="5236" spans="1:11">
      <c r="A5236">
        <v>30</v>
      </c>
      <c r="B5236" t="b">
        <v>0</v>
      </c>
      <c r="C5236" t="s">
        <v>43330</v>
      </c>
      <c r="D5236">
        <v>1037022454355</v>
      </c>
      <c r="E5236">
        <v>1</v>
      </c>
      <c r="F5236">
        <v>6144733509</v>
      </c>
      <c r="G5236">
        <v>100000</v>
      </c>
      <c r="H5236" t="s">
        <v>40293</v>
      </c>
      <c r="I5236">
        <v>33571</v>
      </c>
      <c r="J5236">
        <v>100</v>
      </c>
      <c r="K5236">
        <v>100</v>
      </c>
    </row>
    <row r="5237" spans="1:11">
      <c r="A5237">
        <v>30</v>
      </c>
      <c r="B5237" t="b">
        <v>0</v>
      </c>
      <c r="C5237" t="s">
        <v>43330</v>
      </c>
      <c r="D5237">
        <v>1037022454355</v>
      </c>
      <c r="E5237">
        <v>1</v>
      </c>
      <c r="F5237">
        <v>6144733504</v>
      </c>
      <c r="G5237">
        <v>100000</v>
      </c>
      <c r="H5237" t="s">
        <v>40293</v>
      </c>
      <c r="I5237">
        <v>33572</v>
      </c>
      <c r="J5237">
        <v>100</v>
      </c>
      <c r="K5237">
        <v>150</v>
      </c>
    </row>
    <row r="5238" spans="1:11">
      <c r="A5238">
        <v>30</v>
      </c>
      <c r="B5238" t="b">
        <v>0</v>
      </c>
      <c r="C5238" t="s">
        <v>43330</v>
      </c>
      <c r="D5238">
        <v>1037022454355</v>
      </c>
      <c r="E5238">
        <v>1</v>
      </c>
      <c r="F5238">
        <v>6144733505</v>
      </c>
      <c r="G5238">
        <v>100000</v>
      </c>
      <c r="H5238" t="s">
        <v>40293</v>
      </c>
      <c r="I5238">
        <v>33573</v>
      </c>
      <c r="J5238">
        <v>150</v>
      </c>
      <c r="K5238">
        <v>150</v>
      </c>
    </row>
    <row r="5239" spans="1:11">
      <c r="A5239">
        <v>90</v>
      </c>
      <c r="B5239" t="b">
        <v>0</v>
      </c>
      <c r="C5239" t="s">
        <v>43324</v>
      </c>
      <c r="D5239">
        <v>1037022454355</v>
      </c>
      <c r="E5239">
        <v>1</v>
      </c>
      <c r="F5239">
        <v>6142505086</v>
      </c>
      <c r="G5239">
        <v>649900</v>
      </c>
      <c r="H5239" t="s">
        <v>40293</v>
      </c>
      <c r="I5239">
        <v>33577</v>
      </c>
      <c r="J5239">
        <v>49</v>
      </c>
      <c r="K5239">
        <v>49</v>
      </c>
    </row>
    <row r="5240" spans="1:11">
      <c r="A5240">
        <v>90</v>
      </c>
      <c r="B5240" t="b">
        <v>0</v>
      </c>
      <c r="C5240" t="s">
        <v>44109</v>
      </c>
      <c r="D5240">
        <v>1037022454355</v>
      </c>
      <c r="E5240">
        <v>1</v>
      </c>
      <c r="F5240">
        <v>6147670928</v>
      </c>
      <c r="G5240">
        <v>640000</v>
      </c>
      <c r="H5240" t="s">
        <v>40293</v>
      </c>
      <c r="I5240">
        <v>33577</v>
      </c>
      <c r="J5240">
        <v>63</v>
      </c>
      <c r="K5240">
        <v>63</v>
      </c>
    </row>
    <row r="5241" spans="1:11">
      <c r="A5241">
        <v>30</v>
      </c>
      <c r="B5241" t="b">
        <v>0</v>
      </c>
      <c r="C5241" t="s">
        <v>44282</v>
      </c>
      <c r="D5241">
        <v>1037022454355</v>
      </c>
      <c r="E5241">
        <v>1</v>
      </c>
      <c r="F5241">
        <v>6157274409</v>
      </c>
      <c r="G5241">
        <v>620000</v>
      </c>
      <c r="H5241" t="s">
        <v>40293</v>
      </c>
      <c r="I5241">
        <v>33577</v>
      </c>
      <c r="J5241">
        <v>28</v>
      </c>
      <c r="K5241">
        <v>28</v>
      </c>
    </row>
    <row r="5242" spans="1:11">
      <c r="A5242">
        <v>90</v>
      </c>
      <c r="B5242" t="b">
        <v>0</v>
      </c>
      <c r="C5242" t="s">
        <v>41516</v>
      </c>
      <c r="D5242">
        <v>1037022454355</v>
      </c>
      <c r="E5242">
        <v>1</v>
      </c>
      <c r="F5242">
        <v>6099724615</v>
      </c>
      <c r="G5242">
        <v>4000000</v>
      </c>
      <c r="H5242" t="s">
        <v>40293</v>
      </c>
      <c r="I5242">
        <v>33591</v>
      </c>
      <c r="J5242">
        <v>31</v>
      </c>
      <c r="K5242">
        <v>43</v>
      </c>
    </row>
    <row r="5243" spans="1:11">
      <c r="A5243">
        <v>90</v>
      </c>
      <c r="B5243" t="b">
        <v>0</v>
      </c>
      <c r="C5243" t="s">
        <v>45496</v>
      </c>
      <c r="D5243">
        <v>1037022454355</v>
      </c>
      <c r="E5243">
        <v>1</v>
      </c>
      <c r="F5243">
        <v>6153058088</v>
      </c>
      <c r="G5243">
        <v>3999000</v>
      </c>
      <c r="H5243" t="s">
        <v>40293</v>
      </c>
      <c r="I5243">
        <v>33591</v>
      </c>
      <c r="J5243">
        <v>10</v>
      </c>
      <c r="K5243">
        <v>10</v>
      </c>
    </row>
    <row r="5244" spans="1:11">
      <c r="A5244">
        <v>90</v>
      </c>
      <c r="B5244" t="b">
        <v>0</v>
      </c>
      <c r="C5244" t="s">
        <v>44605</v>
      </c>
      <c r="D5244">
        <v>1037022454355</v>
      </c>
      <c r="E5244">
        <v>1</v>
      </c>
      <c r="F5244">
        <v>6150070045</v>
      </c>
      <c r="G5244">
        <v>46600000</v>
      </c>
      <c r="H5244" t="s">
        <v>40293</v>
      </c>
      <c r="I5244">
        <v>33618</v>
      </c>
      <c r="J5244">
        <v>1</v>
      </c>
      <c r="K5244">
        <v>1</v>
      </c>
    </row>
    <row r="5245" spans="1:11">
      <c r="A5245">
        <v>90</v>
      </c>
      <c r="B5245" t="b">
        <v>0</v>
      </c>
      <c r="C5245" t="s">
        <v>41377</v>
      </c>
      <c r="D5245">
        <v>1037022454355</v>
      </c>
      <c r="E5245">
        <v>1</v>
      </c>
      <c r="F5245">
        <v>6101392269</v>
      </c>
      <c r="G5245">
        <v>40000000</v>
      </c>
      <c r="H5245" t="s">
        <v>40293</v>
      </c>
      <c r="I5245">
        <v>33619</v>
      </c>
      <c r="J5245">
        <v>1</v>
      </c>
      <c r="K5245">
        <v>1</v>
      </c>
    </row>
    <row r="5246" spans="1:11">
      <c r="A5246">
        <v>90</v>
      </c>
      <c r="B5246" t="b">
        <v>0</v>
      </c>
      <c r="C5246" t="s">
        <v>41640</v>
      </c>
      <c r="D5246">
        <v>1037022454355</v>
      </c>
      <c r="E5246">
        <v>1</v>
      </c>
      <c r="F5246">
        <v>6117189855</v>
      </c>
      <c r="G5246">
        <v>36000000</v>
      </c>
      <c r="H5246" t="s">
        <v>40293</v>
      </c>
      <c r="I5246">
        <v>33619</v>
      </c>
      <c r="J5246">
        <v>1</v>
      </c>
      <c r="K5246">
        <v>1</v>
      </c>
    </row>
    <row r="5247" spans="1:11">
      <c r="A5247">
        <v>90</v>
      </c>
      <c r="B5247" t="b">
        <v>0</v>
      </c>
      <c r="C5247" t="s">
        <v>40755</v>
      </c>
      <c r="D5247">
        <v>1037022454355</v>
      </c>
      <c r="E5247">
        <v>1</v>
      </c>
      <c r="F5247">
        <v>6097479843</v>
      </c>
      <c r="G5247">
        <v>60000000</v>
      </c>
      <c r="H5247" t="s">
        <v>40293</v>
      </c>
      <c r="I5247">
        <v>33620</v>
      </c>
      <c r="J5247">
        <v>1</v>
      </c>
      <c r="K5247">
        <v>1</v>
      </c>
    </row>
    <row r="5248" spans="1:11">
      <c r="A5248">
        <v>90</v>
      </c>
      <c r="B5248" t="b">
        <v>0</v>
      </c>
      <c r="C5248" t="s">
        <v>41907</v>
      </c>
      <c r="D5248">
        <v>1037022454355</v>
      </c>
      <c r="E5248">
        <v>1</v>
      </c>
      <c r="F5248">
        <v>6126771953</v>
      </c>
      <c r="G5248">
        <v>45170000</v>
      </c>
      <c r="H5248" t="s">
        <v>40293</v>
      </c>
      <c r="I5248">
        <v>33620</v>
      </c>
      <c r="J5248">
        <v>1</v>
      </c>
      <c r="K5248">
        <v>1</v>
      </c>
    </row>
    <row r="5249" spans="1:11">
      <c r="A5249">
        <v>90</v>
      </c>
      <c r="B5249" t="b">
        <v>0</v>
      </c>
      <c r="C5249" t="s">
        <v>42650</v>
      </c>
      <c r="D5249">
        <v>1037022454355</v>
      </c>
      <c r="E5249">
        <v>1</v>
      </c>
      <c r="F5249">
        <v>6134747062</v>
      </c>
      <c r="G5249">
        <v>45160000</v>
      </c>
      <c r="H5249" t="s">
        <v>40293</v>
      </c>
      <c r="I5249">
        <v>33620</v>
      </c>
      <c r="J5249">
        <v>1</v>
      </c>
      <c r="K5249">
        <v>1</v>
      </c>
    </row>
    <row r="5250" spans="1:11">
      <c r="A5250">
        <v>90</v>
      </c>
      <c r="B5250" t="b">
        <v>0</v>
      </c>
      <c r="C5250" t="s">
        <v>43157</v>
      </c>
      <c r="D5250">
        <v>1037022454355</v>
      </c>
      <c r="E5250">
        <v>1</v>
      </c>
      <c r="F5250">
        <v>6102130435</v>
      </c>
      <c r="G5250">
        <v>44000000</v>
      </c>
      <c r="H5250" t="s">
        <v>40293</v>
      </c>
      <c r="I5250">
        <v>33620</v>
      </c>
      <c r="J5250">
        <v>1</v>
      </c>
      <c r="K5250">
        <v>1</v>
      </c>
    </row>
    <row r="5251" spans="1:11">
      <c r="A5251">
        <v>90</v>
      </c>
      <c r="B5251" t="b">
        <v>0</v>
      </c>
      <c r="C5251" t="s">
        <v>43251</v>
      </c>
      <c r="D5251">
        <v>1037022454355</v>
      </c>
      <c r="E5251">
        <v>1</v>
      </c>
      <c r="F5251">
        <v>6143814071</v>
      </c>
      <c r="G5251">
        <v>300000</v>
      </c>
      <c r="H5251" t="s">
        <v>40293</v>
      </c>
      <c r="I5251">
        <v>33671</v>
      </c>
      <c r="J5251">
        <v>5</v>
      </c>
      <c r="K5251">
        <v>5</v>
      </c>
    </row>
    <row r="5252" spans="1:11">
      <c r="A5252">
        <v>90</v>
      </c>
      <c r="B5252" t="b">
        <v>0</v>
      </c>
      <c r="C5252" t="s">
        <v>44315</v>
      </c>
      <c r="D5252">
        <v>1037022454355</v>
      </c>
      <c r="E5252">
        <v>1</v>
      </c>
      <c r="F5252">
        <v>6154129225</v>
      </c>
      <c r="G5252">
        <v>120000000</v>
      </c>
      <c r="H5252" t="s">
        <v>40293</v>
      </c>
      <c r="I5252">
        <v>33681</v>
      </c>
      <c r="J5252">
        <v>7</v>
      </c>
      <c r="K5252">
        <v>10</v>
      </c>
    </row>
    <row r="5253" spans="1:11">
      <c r="A5253">
        <v>90</v>
      </c>
      <c r="B5253" t="b">
        <v>0</v>
      </c>
      <c r="C5253" t="s">
        <v>40763</v>
      </c>
      <c r="D5253">
        <v>1037022454355</v>
      </c>
      <c r="E5253">
        <v>1</v>
      </c>
      <c r="F5253">
        <v>6067431828</v>
      </c>
      <c r="G5253">
        <v>37930000</v>
      </c>
      <c r="H5253" t="s">
        <v>40293</v>
      </c>
      <c r="I5253">
        <v>33697</v>
      </c>
      <c r="J5253">
        <v>17</v>
      </c>
      <c r="K5253">
        <v>20</v>
      </c>
    </row>
    <row r="5254" spans="1:11">
      <c r="A5254">
        <v>90</v>
      </c>
      <c r="B5254" t="b">
        <v>0</v>
      </c>
      <c r="C5254" t="s">
        <v>43761</v>
      </c>
      <c r="D5254">
        <v>1037022454355</v>
      </c>
      <c r="E5254">
        <v>1</v>
      </c>
      <c r="F5254">
        <v>6101395356</v>
      </c>
      <c r="G5254">
        <v>37190000</v>
      </c>
      <c r="H5254" t="s">
        <v>40293</v>
      </c>
      <c r="I5254">
        <v>33697</v>
      </c>
      <c r="J5254">
        <v>2</v>
      </c>
      <c r="K5254">
        <v>3</v>
      </c>
    </row>
    <row r="5255" spans="1:11">
      <c r="A5255">
        <v>90</v>
      </c>
      <c r="B5255" t="b">
        <v>0</v>
      </c>
      <c r="C5255" t="s">
        <v>43338</v>
      </c>
      <c r="D5255">
        <v>1037022454355</v>
      </c>
      <c r="E5255">
        <v>1</v>
      </c>
      <c r="F5255">
        <v>6091485679</v>
      </c>
      <c r="G5255">
        <v>37180000</v>
      </c>
      <c r="H5255" t="s">
        <v>40293</v>
      </c>
      <c r="I5255">
        <v>33697</v>
      </c>
      <c r="J5255">
        <v>8</v>
      </c>
      <c r="K5255">
        <v>15</v>
      </c>
    </row>
    <row r="5256" spans="1:11">
      <c r="A5256">
        <v>90</v>
      </c>
      <c r="B5256" t="b">
        <v>0</v>
      </c>
      <c r="C5256" t="s">
        <v>45252</v>
      </c>
      <c r="D5256">
        <v>1037022454355</v>
      </c>
      <c r="E5256">
        <v>1</v>
      </c>
      <c r="F5256">
        <v>6154436459</v>
      </c>
      <c r="G5256">
        <v>37170000</v>
      </c>
      <c r="H5256" t="s">
        <v>40293</v>
      </c>
      <c r="I5256">
        <v>33697</v>
      </c>
      <c r="J5256">
        <v>3</v>
      </c>
      <c r="K5256">
        <v>3</v>
      </c>
    </row>
    <row r="5257" spans="1:11">
      <c r="A5257">
        <v>90</v>
      </c>
      <c r="B5257" t="b">
        <v>0</v>
      </c>
      <c r="C5257" t="s">
        <v>44509</v>
      </c>
      <c r="D5257">
        <v>1037022454355</v>
      </c>
      <c r="E5257">
        <v>1</v>
      </c>
      <c r="F5257">
        <v>6154590719</v>
      </c>
      <c r="G5257">
        <v>35000000</v>
      </c>
      <c r="H5257" t="s">
        <v>40293</v>
      </c>
      <c r="I5257">
        <v>33697</v>
      </c>
      <c r="J5257">
        <v>1</v>
      </c>
      <c r="K5257">
        <v>2</v>
      </c>
    </row>
    <row r="5258" spans="1:11">
      <c r="A5258">
        <v>90</v>
      </c>
      <c r="B5258" t="b">
        <v>0</v>
      </c>
      <c r="C5258" t="s">
        <v>41695</v>
      </c>
      <c r="D5258">
        <v>1037022454355</v>
      </c>
      <c r="E5258">
        <v>1</v>
      </c>
      <c r="F5258">
        <v>6123616939</v>
      </c>
      <c r="G5258">
        <v>35000000</v>
      </c>
      <c r="H5258" t="s">
        <v>40293</v>
      </c>
      <c r="I5258">
        <v>33700</v>
      </c>
      <c r="J5258">
        <v>2</v>
      </c>
      <c r="K5258">
        <v>2</v>
      </c>
    </row>
    <row r="5259" spans="1:11">
      <c r="A5259">
        <v>90</v>
      </c>
      <c r="B5259" t="b">
        <v>0</v>
      </c>
      <c r="C5259" t="s">
        <v>43465</v>
      </c>
      <c r="D5259">
        <v>1037022454355</v>
      </c>
      <c r="E5259">
        <v>1</v>
      </c>
      <c r="F5259">
        <v>6128385756</v>
      </c>
      <c r="G5259">
        <v>33750000</v>
      </c>
      <c r="H5259" t="s">
        <v>40293</v>
      </c>
      <c r="I5259">
        <v>33700</v>
      </c>
      <c r="J5259">
        <v>4</v>
      </c>
      <c r="K5259">
        <v>5</v>
      </c>
    </row>
    <row r="5260" spans="1:11">
      <c r="A5260">
        <v>90</v>
      </c>
      <c r="B5260" t="b">
        <v>0</v>
      </c>
      <c r="C5260" t="s">
        <v>43850</v>
      </c>
      <c r="D5260">
        <v>1037022454355</v>
      </c>
      <c r="E5260">
        <v>1</v>
      </c>
      <c r="F5260">
        <v>6109131191</v>
      </c>
      <c r="G5260">
        <v>33730000</v>
      </c>
      <c r="H5260" t="s">
        <v>40293</v>
      </c>
      <c r="I5260">
        <v>33700</v>
      </c>
      <c r="J5260">
        <v>3</v>
      </c>
      <c r="K5260">
        <v>10</v>
      </c>
    </row>
    <row r="5261" spans="1:11">
      <c r="A5261">
        <v>14</v>
      </c>
      <c r="B5261" t="b">
        <v>0</v>
      </c>
      <c r="C5261" t="s">
        <v>45651</v>
      </c>
      <c r="D5261">
        <v>1037022454355</v>
      </c>
      <c r="E5261">
        <v>1</v>
      </c>
      <c r="F5261">
        <v>6157161075</v>
      </c>
      <c r="G5261">
        <v>33710000</v>
      </c>
      <c r="H5261" t="s">
        <v>40293</v>
      </c>
      <c r="I5261">
        <v>33700</v>
      </c>
      <c r="J5261">
        <v>1</v>
      </c>
      <c r="K5261">
        <v>1</v>
      </c>
    </row>
    <row r="5262" spans="1:11">
      <c r="A5262">
        <v>14</v>
      </c>
      <c r="B5262" t="b">
        <v>0</v>
      </c>
      <c r="C5262" t="s">
        <v>46384</v>
      </c>
      <c r="D5262">
        <v>1037022454355</v>
      </c>
      <c r="E5262">
        <v>1</v>
      </c>
      <c r="F5262">
        <v>6154385343</v>
      </c>
      <c r="G5262">
        <v>295100000</v>
      </c>
      <c r="H5262" t="s">
        <v>40293</v>
      </c>
      <c r="I5262">
        <v>33702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44352</v>
      </c>
      <c r="D5263">
        <v>1037022454355</v>
      </c>
      <c r="E5263">
        <v>1</v>
      </c>
      <c r="F5263">
        <v>6156292411</v>
      </c>
      <c r="G5263">
        <v>295000000</v>
      </c>
      <c r="H5263" t="s">
        <v>40293</v>
      </c>
      <c r="I5263">
        <v>33702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45692</v>
      </c>
      <c r="D5264">
        <v>1037022454355</v>
      </c>
      <c r="E5264">
        <v>1</v>
      </c>
      <c r="F5264">
        <v>6146958200</v>
      </c>
      <c r="G5264">
        <v>294900000</v>
      </c>
      <c r="H5264" t="s">
        <v>40293</v>
      </c>
      <c r="I5264">
        <v>33702</v>
      </c>
      <c r="J5264">
        <v>1</v>
      </c>
      <c r="K5264">
        <v>1</v>
      </c>
    </row>
    <row r="5265" spans="1:11">
      <c r="A5265">
        <v>90</v>
      </c>
      <c r="B5265" t="b">
        <v>0</v>
      </c>
      <c r="C5265" t="s">
        <v>43196</v>
      </c>
      <c r="D5265">
        <v>1037022454355</v>
      </c>
      <c r="E5265">
        <v>1</v>
      </c>
      <c r="F5265">
        <v>6144828326</v>
      </c>
      <c r="G5265">
        <v>15130</v>
      </c>
      <c r="H5265" t="s">
        <v>40293</v>
      </c>
      <c r="I5265">
        <v>33706</v>
      </c>
      <c r="J5265">
        <v>3</v>
      </c>
      <c r="K5265">
        <v>5</v>
      </c>
    </row>
    <row r="5266" spans="1:11">
      <c r="A5266">
        <v>90</v>
      </c>
      <c r="B5266" t="b">
        <v>0</v>
      </c>
      <c r="C5266" t="s">
        <v>45675</v>
      </c>
      <c r="D5266">
        <v>1037022454355</v>
      </c>
      <c r="E5266">
        <v>1</v>
      </c>
      <c r="F5266">
        <v>6089626616</v>
      </c>
      <c r="G5266">
        <v>15110</v>
      </c>
      <c r="H5266" t="s">
        <v>40293</v>
      </c>
      <c r="I5266">
        <v>33706</v>
      </c>
      <c r="J5266">
        <v>1</v>
      </c>
      <c r="K5266">
        <v>6</v>
      </c>
    </row>
    <row r="5267" spans="1:11">
      <c r="A5267">
        <v>90</v>
      </c>
      <c r="B5267" t="b">
        <v>0</v>
      </c>
      <c r="C5267" t="s">
        <v>44853</v>
      </c>
      <c r="D5267">
        <v>1037022454355</v>
      </c>
      <c r="E5267">
        <v>1</v>
      </c>
      <c r="F5267">
        <v>6148434611</v>
      </c>
      <c r="G5267">
        <v>15100</v>
      </c>
      <c r="H5267" t="s">
        <v>40293</v>
      </c>
      <c r="I5267">
        <v>33706</v>
      </c>
      <c r="J5267">
        <v>17</v>
      </c>
      <c r="K5267">
        <v>25</v>
      </c>
    </row>
    <row r="5268" spans="1:11">
      <c r="A5268">
        <v>90</v>
      </c>
      <c r="B5268" t="b">
        <v>0</v>
      </c>
      <c r="C5268" t="s">
        <v>42844</v>
      </c>
      <c r="D5268">
        <v>1037022454355</v>
      </c>
      <c r="E5268">
        <v>1</v>
      </c>
      <c r="F5268">
        <v>6135806885</v>
      </c>
      <c r="G5268">
        <v>100000000</v>
      </c>
      <c r="H5268" t="s">
        <v>40293</v>
      </c>
      <c r="I5268">
        <v>33816</v>
      </c>
      <c r="J5268">
        <v>2</v>
      </c>
      <c r="K5268">
        <v>5</v>
      </c>
    </row>
    <row r="5269" spans="1:11">
      <c r="A5269">
        <v>90</v>
      </c>
      <c r="B5269" t="b">
        <v>0</v>
      </c>
      <c r="C5269" t="s">
        <v>45827</v>
      </c>
      <c r="D5269">
        <v>1037022454355</v>
      </c>
      <c r="E5269">
        <v>1</v>
      </c>
      <c r="F5269">
        <v>6154017432</v>
      </c>
      <c r="G5269">
        <v>99990000</v>
      </c>
      <c r="H5269" t="s">
        <v>40293</v>
      </c>
      <c r="I5269">
        <v>33816</v>
      </c>
      <c r="J5269">
        <v>2</v>
      </c>
      <c r="K5269">
        <v>2</v>
      </c>
    </row>
    <row r="5270" spans="1:11">
      <c r="A5270">
        <v>90</v>
      </c>
      <c r="B5270" t="b">
        <v>0</v>
      </c>
      <c r="C5270" t="s">
        <v>42780</v>
      </c>
      <c r="D5270">
        <v>1037022454355</v>
      </c>
      <c r="E5270">
        <v>1</v>
      </c>
      <c r="F5270">
        <v>6132952264</v>
      </c>
      <c r="G5270">
        <v>468500000</v>
      </c>
      <c r="H5270" t="s">
        <v>40293</v>
      </c>
      <c r="I5270">
        <v>33818</v>
      </c>
      <c r="J5270">
        <v>1</v>
      </c>
      <c r="K5270">
        <v>1</v>
      </c>
    </row>
    <row r="5271" spans="1:11">
      <c r="A5271">
        <v>90</v>
      </c>
      <c r="B5271" t="b">
        <v>0</v>
      </c>
      <c r="C5271" t="s">
        <v>43715</v>
      </c>
      <c r="D5271">
        <v>1037022454355</v>
      </c>
      <c r="E5271">
        <v>1</v>
      </c>
      <c r="F5271">
        <v>6124429711</v>
      </c>
      <c r="G5271">
        <v>465000000</v>
      </c>
      <c r="H5271" t="s">
        <v>40293</v>
      </c>
      <c r="I5271">
        <v>33818</v>
      </c>
      <c r="J5271">
        <v>8</v>
      </c>
      <c r="K5271">
        <v>11</v>
      </c>
    </row>
    <row r="5272" spans="1:11">
      <c r="A5272">
        <v>90</v>
      </c>
      <c r="B5272" t="b">
        <v>0</v>
      </c>
      <c r="C5272" t="s">
        <v>43964</v>
      </c>
      <c r="D5272">
        <v>1037022454355</v>
      </c>
      <c r="E5272">
        <v>1</v>
      </c>
      <c r="F5272">
        <v>6101630522</v>
      </c>
      <c r="G5272">
        <v>464000000</v>
      </c>
      <c r="H5272" t="s">
        <v>40293</v>
      </c>
      <c r="I5272">
        <v>33818</v>
      </c>
      <c r="J5272">
        <v>2</v>
      </c>
      <c r="K5272">
        <v>2</v>
      </c>
    </row>
    <row r="5273" spans="1:11">
      <c r="A5273">
        <v>90</v>
      </c>
      <c r="B5273" t="b">
        <v>0</v>
      </c>
      <c r="C5273" t="s">
        <v>45300</v>
      </c>
      <c r="D5273">
        <v>1037022454355</v>
      </c>
      <c r="E5273">
        <v>1</v>
      </c>
      <c r="F5273">
        <v>6153388534</v>
      </c>
      <c r="G5273">
        <v>463500000</v>
      </c>
      <c r="H5273" t="s">
        <v>40293</v>
      </c>
      <c r="I5273">
        <v>33818</v>
      </c>
      <c r="J5273">
        <v>1</v>
      </c>
      <c r="K5273">
        <v>1</v>
      </c>
    </row>
    <row r="5274" spans="1:11">
      <c r="A5274">
        <v>90</v>
      </c>
      <c r="B5274" t="b">
        <v>0</v>
      </c>
      <c r="C5274" t="s">
        <v>40483</v>
      </c>
      <c r="D5274">
        <v>1037022454355</v>
      </c>
      <c r="E5274">
        <v>1</v>
      </c>
      <c r="F5274">
        <v>6097768837</v>
      </c>
      <c r="G5274">
        <v>1403000</v>
      </c>
      <c r="H5274" t="s">
        <v>40293</v>
      </c>
      <c r="I5274">
        <v>33824</v>
      </c>
      <c r="J5274">
        <v>18</v>
      </c>
      <c r="K5274">
        <v>20</v>
      </c>
    </row>
    <row r="5275" spans="1:11">
      <c r="A5275">
        <v>90</v>
      </c>
      <c r="B5275" t="b">
        <v>0</v>
      </c>
      <c r="C5275" t="s">
        <v>40502</v>
      </c>
      <c r="D5275">
        <v>1037022454355</v>
      </c>
      <c r="E5275">
        <v>1</v>
      </c>
      <c r="F5275">
        <v>6075126626</v>
      </c>
      <c r="G5275">
        <v>1399000</v>
      </c>
      <c r="H5275" t="s">
        <v>40293</v>
      </c>
      <c r="I5275">
        <v>33824</v>
      </c>
      <c r="J5275">
        <v>22</v>
      </c>
      <c r="K5275">
        <v>30</v>
      </c>
    </row>
    <row r="5276" spans="1:11">
      <c r="A5276">
        <v>90</v>
      </c>
      <c r="B5276" t="b">
        <v>0</v>
      </c>
      <c r="C5276" t="s">
        <v>42280</v>
      </c>
      <c r="D5276">
        <v>1037022454355</v>
      </c>
      <c r="E5276">
        <v>1</v>
      </c>
      <c r="F5276">
        <v>6129417859</v>
      </c>
      <c r="G5276">
        <v>1393000</v>
      </c>
      <c r="H5276" t="s">
        <v>40293</v>
      </c>
      <c r="I5276">
        <v>33824</v>
      </c>
      <c r="J5276">
        <v>43</v>
      </c>
      <c r="K5276">
        <v>50</v>
      </c>
    </row>
    <row r="5277" spans="1:11">
      <c r="A5277">
        <v>90</v>
      </c>
      <c r="B5277" t="b">
        <v>0</v>
      </c>
      <c r="C5277" t="s">
        <v>42655</v>
      </c>
      <c r="D5277">
        <v>1037022454355</v>
      </c>
      <c r="E5277">
        <v>1</v>
      </c>
      <c r="F5277">
        <v>6118068341</v>
      </c>
      <c r="G5277">
        <v>1391000</v>
      </c>
      <c r="H5277" t="s">
        <v>40293</v>
      </c>
      <c r="I5277">
        <v>33824</v>
      </c>
      <c r="J5277">
        <v>96</v>
      </c>
      <c r="K5277">
        <v>100</v>
      </c>
    </row>
    <row r="5278" spans="1:11">
      <c r="A5278">
        <v>90</v>
      </c>
      <c r="B5278" t="b">
        <v>0</v>
      </c>
      <c r="C5278" t="s">
        <v>45030</v>
      </c>
      <c r="D5278">
        <v>1037022454355</v>
      </c>
      <c r="E5278">
        <v>1</v>
      </c>
      <c r="F5278">
        <v>6152401718</v>
      </c>
      <c r="G5278">
        <v>1390000</v>
      </c>
      <c r="H5278" t="s">
        <v>40293</v>
      </c>
      <c r="I5278">
        <v>33824</v>
      </c>
      <c r="J5278">
        <v>1</v>
      </c>
      <c r="K5278">
        <v>1</v>
      </c>
    </row>
    <row r="5279" spans="1:11">
      <c r="A5279">
        <v>90</v>
      </c>
      <c r="B5279" t="b">
        <v>0</v>
      </c>
      <c r="C5279" t="s">
        <v>45824</v>
      </c>
      <c r="D5279">
        <v>1037022454355</v>
      </c>
      <c r="E5279">
        <v>1</v>
      </c>
      <c r="F5279">
        <v>6154902140</v>
      </c>
      <c r="G5279">
        <v>1386000</v>
      </c>
      <c r="H5279" t="s">
        <v>40293</v>
      </c>
      <c r="I5279">
        <v>33824</v>
      </c>
      <c r="J5279">
        <v>1</v>
      </c>
      <c r="K5279">
        <v>1</v>
      </c>
    </row>
    <row r="5280" spans="1:11">
      <c r="A5280">
        <v>30</v>
      </c>
      <c r="B5280" t="b">
        <v>0</v>
      </c>
      <c r="C5280" t="s">
        <v>45829</v>
      </c>
      <c r="D5280">
        <v>1037022454355</v>
      </c>
      <c r="E5280">
        <v>1</v>
      </c>
      <c r="F5280">
        <v>6154312352</v>
      </c>
      <c r="G5280">
        <v>1385000</v>
      </c>
      <c r="H5280" t="s">
        <v>40293</v>
      </c>
      <c r="I5280">
        <v>33824</v>
      </c>
      <c r="J5280">
        <v>8</v>
      </c>
      <c r="K5280">
        <v>12</v>
      </c>
    </row>
    <row r="5281" spans="1:11">
      <c r="A5281">
        <v>90</v>
      </c>
      <c r="B5281" t="b">
        <v>0</v>
      </c>
      <c r="C5281" t="s">
        <v>45256</v>
      </c>
      <c r="D5281">
        <v>1037022454355</v>
      </c>
      <c r="E5281">
        <v>1</v>
      </c>
      <c r="F5281">
        <v>6156634777</v>
      </c>
      <c r="G5281">
        <v>26400000</v>
      </c>
      <c r="H5281" t="s">
        <v>40293</v>
      </c>
      <c r="I5281">
        <v>33826</v>
      </c>
      <c r="J5281">
        <v>6</v>
      </c>
      <c r="K5281">
        <v>9</v>
      </c>
    </row>
    <row r="5282" spans="1:11">
      <c r="A5282">
        <v>90</v>
      </c>
      <c r="B5282" t="b">
        <v>0</v>
      </c>
      <c r="C5282" t="s">
        <v>41996</v>
      </c>
      <c r="D5282">
        <v>1037022454355</v>
      </c>
      <c r="E5282">
        <v>1</v>
      </c>
      <c r="F5282">
        <v>6131581245</v>
      </c>
      <c r="G5282">
        <v>5400000</v>
      </c>
      <c r="H5282" t="s">
        <v>40293</v>
      </c>
      <c r="I5282">
        <v>33828</v>
      </c>
      <c r="J5282">
        <v>39</v>
      </c>
      <c r="K5282">
        <v>42</v>
      </c>
    </row>
    <row r="5283" spans="1:11">
      <c r="A5283">
        <v>90</v>
      </c>
      <c r="B5283" t="b">
        <v>0</v>
      </c>
      <c r="C5283" t="s">
        <v>43029</v>
      </c>
      <c r="D5283">
        <v>1037022454355</v>
      </c>
      <c r="E5283">
        <v>1</v>
      </c>
      <c r="F5283">
        <v>6143152799</v>
      </c>
      <c r="G5283">
        <v>5000000</v>
      </c>
      <c r="H5283" t="s">
        <v>40293</v>
      </c>
      <c r="I5283">
        <v>33828</v>
      </c>
      <c r="J5283">
        <v>1</v>
      </c>
      <c r="K5283">
        <v>4</v>
      </c>
    </row>
    <row r="5284" spans="1:11">
      <c r="A5284">
        <v>90</v>
      </c>
      <c r="B5284" t="b">
        <v>0</v>
      </c>
      <c r="C5284" t="s">
        <v>43458</v>
      </c>
      <c r="D5284">
        <v>1037022454355</v>
      </c>
      <c r="E5284">
        <v>1</v>
      </c>
      <c r="F5284">
        <v>6142424338</v>
      </c>
      <c r="G5284">
        <v>134200000</v>
      </c>
      <c r="H5284" t="s">
        <v>40293</v>
      </c>
      <c r="I5284">
        <v>33842</v>
      </c>
      <c r="J5284">
        <v>12</v>
      </c>
      <c r="K5284">
        <v>12</v>
      </c>
    </row>
    <row r="5285" spans="1:11">
      <c r="A5285">
        <v>90</v>
      </c>
      <c r="B5285" t="b">
        <v>0</v>
      </c>
      <c r="C5285" t="s">
        <v>41019</v>
      </c>
      <c r="D5285">
        <v>1037022454355</v>
      </c>
      <c r="E5285">
        <v>1</v>
      </c>
      <c r="F5285">
        <v>6106038438</v>
      </c>
      <c r="G5285">
        <v>39600000</v>
      </c>
      <c r="H5285" t="s">
        <v>40293</v>
      </c>
      <c r="I5285">
        <v>33852</v>
      </c>
      <c r="J5285">
        <v>7</v>
      </c>
      <c r="K5285">
        <v>9</v>
      </c>
    </row>
    <row r="5286" spans="1:11">
      <c r="A5286">
        <v>90</v>
      </c>
      <c r="B5286" t="b">
        <v>0</v>
      </c>
      <c r="C5286" t="s">
        <v>40786</v>
      </c>
      <c r="D5286">
        <v>1037022454355</v>
      </c>
      <c r="E5286">
        <v>1</v>
      </c>
      <c r="F5286">
        <v>6122482507</v>
      </c>
      <c r="G5286">
        <v>37900000</v>
      </c>
      <c r="H5286" t="s">
        <v>40293</v>
      </c>
      <c r="I5286">
        <v>33852</v>
      </c>
      <c r="J5286">
        <v>1</v>
      </c>
      <c r="K5286">
        <v>1</v>
      </c>
    </row>
    <row r="5287" spans="1:11">
      <c r="A5287">
        <v>90</v>
      </c>
      <c r="B5287" t="b">
        <v>0</v>
      </c>
      <c r="C5287" t="s">
        <v>41710</v>
      </c>
      <c r="D5287">
        <v>1037022454355</v>
      </c>
      <c r="E5287">
        <v>1</v>
      </c>
      <c r="F5287">
        <v>6124844762</v>
      </c>
      <c r="G5287">
        <v>37800000</v>
      </c>
      <c r="H5287" t="s">
        <v>40293</v>
      </c>
      <c r="I5287">
        <v>33852</v>
      </c>
      <c r="J5287">
        <v>2</v>
      </c>
      <c r="K5287">
        <v>3</v>
      </c>
    </row>
    <row r="5288" spans="1:11">
      <c r="A5288">
        <v>90</v>
      </c>
      <c r="B5288" t="b">
        <v>0</v>
      </c>
      <c r="C5288" t="s">
        <v>42279</v>
      </c>
      <c r="D5288">
        <v>1037022454355</v>
      </c>
      <c r="E5288">
        <v>1</v>
      </c>
      <c r="F5288">
        <v>6119254627</v>
      </c>
      <c r="G5288">
        <v>37500000</v>
      </c>
      <c r="H5288" t="s">
        <v>40293</v>
      </c>
      <c r="I5288">
        <v>33852</v>
      </c>
      <c r="J5288">
        <v>1</v>
      </c>
      <c r="K5288">
        <v>1</v>
      </c>
    </row>
    <row r="5289" spans="1:11">
      <c r="A5289">
        <v>90</v>
      </c>
      <c r="B5289" t="b">
        <v>0</v>
      </c>
      <c r="C5289" t="s">
        <v>44999</v>
      </c>
      <c r="D5289">
        <v>1037022454355</v>
      </c>
      <c r="E5289">
        <v>1</v>
      </c>
      <c r="F5289">
        <v>6148764050</v>
      </c>
      <c r="G5289">
        <v>35690000</v>
      </c>
      <c r="H5289" t="s">
        <v>40293</v>
      </c>
      <c r="I5289">
        <v>33852</v>
      </c>
      <c r="J5289">
        <v>1</v>
      </c>
      <c r="K5289">
        <v>1</v>
      </c>
    </row>
    <row r="5290" spans="1:11">
      <c r="A5290">
        <v>90</v>
      </c>
      <c r="B5290" t="b">
        <v>0</v>
      </c>
      <c r="C5290" t="s">
        <v>45866</v>
      </c>
      <c r="D5290">
        <v>1037022454355</v>
      </c>
      <c r="E5290">
        <v>1</v>
      </c>
      <c r="F5290">
        <v>6153427966</v>
      </c>
      <c r="G5290">
        <v>35500000</v>
      </c>
      <c r="H5290" t="s">
        <v>40293</v>
      </c>
      <c r="I5290">
        <v>33852</v>
      </c>
      <c r="J5290">
        <v>2</v>
      </c>
      <c r="K5290">
        <v>2</v>
      </c>
    </row>
    <row r="5291" spans="1:11">
      <c r="A5291">
        <v>90</v>
      </c>
      <c r="B5291" t="b">
        <v>0</v>
      </c>
      <c r="C5291" t="s">
        <v>44052</v>
      </c>
      <c r="D5291">
        <v>1037022454355</v>
      </c>
      <c r="E5291">
        <v>1</v>
      </c>
      <c r="F5291">
        <v>6137998042</v>
      </c>
      <c r="G5291">
        <v>350000</v>
      </c>
      <c r="H5291" t="s">
        <v>40293</v>
      </c>
      <c r="I5291">
        <v>33890</v>
      </c>
      <c r="J5291">
        <v>10</v>
      </c>
      <c r="K5291">
        <v>19</v>
      </c>
    </row>
    <row r="5292" spans="1:11">
      <c r="A5292">
        <v>14</v>
      </c>
      <c r="B5292" t="b">
        <v>0</v>
      </c>
      <c r="C5292" t="s">
        <v>44639</v>
      </c>
      <c r="D5292">
        <v>1037022454355</v>
      </c>
      <c r="E5292">
        <v>1</v>
      </c>
      <c r="F5292">
        <v>6127952063</v>
      </c>
      <c r="G5292">
        <v>349900</v>
      </c>
      <c r="H5292" t="s">
        <v>40293</v>
      </c>
      <c r="I5292">
        <v>33890</v>
      </c>
      <c r="J5292">
        <v>25</v>
      </c>
      <c r="K5292">
        <v>30</v>
      </c>
    </row>
    <row r="5293" spans="1:11">
      <c r="A5293">
        <v>90</v>
      </c>
      <c r="B5293" t="b">
        <v>0</v>
      </c>
      <c r="C5293" t="s">
        <v>43116</v>
      </c>
      <c r="D5293">
        <v>1037022454355</v>
      </c>
      <c r="E5293">
        <v>1</v>
      </c>
      <c r="F5293">
        <v>6138244901</v>
      </c>
      <c r="G5293">
        <v>3900000</v>
      </c>
      <c r="H5293" t="s">
        <v>40293</v>
      </c>
      <c r="I5293">
        <v>33892</v>
      </c>
      <c r="J5293">
        <v>22</v>
      </c>
      <c r="K5293">
        <v>53</v>
      </c>
    </row>
    <row r="5294" spans="1:11">
      <c r="A5294">
        <v>30</v>
      </c>
      <c r="B5294" t="b">
        <v>0</v>
      </c>
      <c r="C5294" t="s">
        <v>44293</v>
      </c>
      <c r="D5294">
        <v>1037022454355</v>
      </c>
      <c r="E5294">
        <v>1</v>
      </c>
      <c r="F5294">
        <v>6156619246</v>
      </c>
      <c r="G5294">
        <v>3899000</v>
      </c>
      <c r="H5294" t="s">
        <v>40293</v>
      </c>
      <c r="I5294">
        <v>33892</v>
      </c>
      <c r="J5294">
        <v>12</v>
      </c>
      <c r="K5294">
        <v>12</v>
      </c>
    </row>
    <row r="5295" spans="1:11">
      <c r="A5295">
        <v>90</v>
      </c>
      <c r="B5295" t="b">
        <v>0</v>
      </c>
      <c r="C5295" t="s">
        <v>42540</v>
      </c>
      <c r="D5295">
        <v>1037022454355</v>
      </c>
      <c r="E5295">
        <v>1</v>
      </c>
      <c r="F5295">
        <v>6135266339</v>
      </c>
      <c r="G5295">
        <v>2501000</v>
      </c>
      <c r="H5295" t="s">
        <v>40293</v>
      </c>
      <c r="I5295">
        <v>33894</v>
      </c>
      <c r="J5295">
        <v>40</v>
      </c>
      <c r="K5295">
        <v>40</v>
      </c>
    </row>
    <row r="5296" spans="1:11">
      <c r="A5296">
        <v>90</v>
      </c>
      <c r="B5296" t="b">
        <v>0</v>
      </c>
      <c r="C5296" t="s">
        <v>43091</v>
      </c>
      <c r="D5296">
        <v>1037022454355</v>
      </c>
      <c r="E5296">
        <v>1</v>
      </c>
      <c r="F5296">
        <v>6142728483</v>
      </c>
      <c r="G5296">
        <v>2500000</v>
      </c>
      <c r="H5296" t="s">
        <v>40293</v>
      </c>
      <c r="I5296">
        <v>33894</v>
      </c>
      <c r="J5296">
        <v>22</v>
      </c>
      <c r="K5296">
        <v>40</v>
      </c>
    </row>
    <row r="5297" spans="1:11">
      <c r="A5297">
        <v>30</v>
      </c>
      <c r="B5297" t="b">
        <v>0</v>
      </c>
      <c r="C5297" t="s">
        <v>45587</v>
      </c>
      <c r="D5297">
        <v>1037022454355</v>
      </c>
      <c r="E5297">
        <v>1</v>
      </c>
      <c r="F5297">
        <v>6155816762</v>
      </c>
      <c r="G5297">
        <v>2500000</v>
      </c>
      <c r="H5297" t="s">
        <v>40293</v>
      </c>
      <c r="I5297">
        <v>33894</v>
      </c>
      <c r="J5297">
        <v>40</v>
      </c>
      <c r="K5297">
        <v>40</v>
      </c>
    </row>
    <row r="5298" spans="1:11">
      <c r="A5298">
        <v>90</v>
      </c>
      <c r="B5298" t="b">
        <v>0</v>
      </c>
      <c r="C5298" t="s">
        <v>41422</v>
      </c>
      <c r="D5298">
        <v>1037022454355</v>
      </c>
      <c r="E5298">
        <v>1</v>
      </c>
      <c r="F5298">
        <v>6124887981</v>
      </c>
      <c r="G5298">
        <v>18750000</v>
      </c>
      <c r="H5298" t="s">
        <v>40293</v>
      </c>
      <c r="I5298">
        <v>33896</v>
      </c>
      <c r="J5298">
        <v>27</v>
      </c>
      <c r="K5298">
        <v>27</v>
      </c>
    </row>
    <row r="5299" spans="1:11">
      <c r="A5299">
        <v>90</v>
      </c>
      <c r="B5299" t="b">
        <v>0</v>
      </c>
      <c r="C5299" t="s">
        <v>41131</v>
      </c>
      <c r="D5299">
        <v>1037022454355</v>
      </c>
      <c r="E5299">
        <v>1</v>
      </c>
      <c r="F5299">
        <v>6124882345</v>
      </c>
      <c r="G5299">
        <v>18500000</v>
      </c>
      <c r="H5299" t="s">
        <v>40293</v>
      </c>
      <c r="I5299">
        <v>33896</v>
      </c>
      <c r="J5299">
        <v>1</v>
      </c>
      <c r="K5299">
        <v>1</v>
      </c>
    </row>
    <row r="5300" spans="1:11">
      <c r="A5300">
        <v>90</v>
      </c>
      <c r="B5300" t="b">
        <v>0</v>
      </c>
      <c r="C5300" t="s">
        <v>41603</v>
      </c>
      <c r="D5300">
        <v>1037022454355</v>
      </c>
      <c r="E5300">
        <v>1</v>
      </c>
      <c r="F5300">
        <v>6122533245</v>
      </c>
      <c r="G5300">
        <v>18490000</v>
      </c>
      <c r="H5300" t="s">
        <v>40293</v>
      </c>
      <c r="I5300">
        <v>33896</v>
      </c>
      <c r="J5300">
        <v>6</v>
      </c>
      <c r="K5300">
        <v>6</v>
      </c>
    </row>
    <row r="5301" spans="1:11">
      <c r="A5301">
        <v>90</v>
      </c>
      <c r="B5301" t="b">
        <v>0</v>
      </c>
      <c r="C5301" t="s">
        <v>41607</v>
      </c>
      <c r="D5301">
        <v>1037022454355</v>
      </c>
      <c r="E5301">
        <v>1</v>
      </c>
      <c r="F5301">
        <v>6122533284</v>
      </c>
      <c r="G5301">
        <v>18490000</v>
      </c>
      <c r="H5301" t="s">
        <v>40293</v>
      </c>
      <c r="I5301">
        <v>33896</v>
      </c>
      <c r="J5301">
        <v>5</v>
      </c>
      <c r="K5301">
        <v>5</v>
      </c>
    </row>
    <row r="5302" spans="1:11">
      <c r="A5302">
        <v>90</v>
      </c>
      <c r="B5302" t="b">
        <v>0</v>
      </c>
      <c r="C5302" t="s">
        <v>43296</v>
      </c>
      <c r="D5302">
        <v>1037022454355</v>
      </c>
      <c r="E5302">
        <v>1</v>
      </c>
      <c r="F5302">
        <v>6145912341</v>
      </c>
      <c r="G5302">
        <v>18470000</v>
      </c>
      <c r="H5302" t="s">
        <v>40293</v>
      </c>
      <c r="I5302">
        <v>33896</v>
      </c>
      <c r="J5302">
        <v>2</v>
      </c>
      <c r="K5302">
        <v>2</v>
      </c>
    </row>
    <row r="5303" spans="1:11">
      <c r="A5303">
        <v>90</v>
      </c>
      <c r="B5303" t="b">
        <v>0</v>
      </c>
      <c r="C5303" t="s">
        <v>41872</v>
      </c>
      <c r="D5303">
        <v>1037022454355</v>
      </c>
      <c r="E5303">
        <v>1</v>
      </c>
      <c r="F5303">
        <v>6127631911</v>
      </c>
      <c r="G5303">
        <v>18470000</v>
      </c>
      <c r="H5303" t="s">
        <v>40293</v>
      </c>
      <c r="I5303">
        <v>33896</v>
      </c>
      <c r="J5303">
        <v>6</v>
      </c>
      <c r="K5303">
        <v>9</v>
      </c>
    </row>
    <row r="5304" spans="1:11">
      <c r="A5304">
        <v>90</v>
      </c>
      <c r="B5304" t="b">
        <v>0</v>
      </c>
      <c r="C5304" t="s">
        <v>41882</v>
      </c>
      <c r="D5304">
        <v>1037022454355</v>
      </c>
      <c r="E5304">
        <v>1</v>
      </c>
      <c r="F5304">
        <v>6127731307</v>
      </c>
      <c r="G5304">
        <v>18470000</v>
      </c>
      <c r="H5304" t="s">
        <v>40293</v>
      </c>
      <c r="I5304">
        <v>33896</v>
      </c>
      <c r="J5304">
        <v>12</v>
      </c>
      <c r="K5304">
        <v>12</v>
      </c>
    </row>
    <row r="5305" spans="1:11">
      <c r="A5305">
        <v>30</v>
      </c>
      <c r="B5305" t="b">
        <v>0</v>
      </c>
      <c r="C5305" t="s">
        <v>43102</v>
      </c>
      <c r="D5305">
        <v>1037022454355</v>
      </c>
      <c r="E5305">
        <v>1</v>
      </c>
      <c r="F5305">
        <v>6144563728</v>
      </c>
      <c r="G5305">
        <v>18460000</v>
      </c>
      <c r="H5305" t="s">
        <v>40293</v>
      </c>
      <c r="I5305">
        <v>33896</v>
      </c>
      <c r="J5305">
        <v>5</v>
      </c>
      <c r="K5305">
        <v>20</v>
      </c>
    </row>
    <row r="5306" spans="1:11">
      <c r="A5306">
        <v>90</v>
      </c>
      <c r="B5306" t="b">
        <v>0</v>
      </c>
      <c r="C5306" t="s">
        <v>42287</v>
      </c>
      <c r="D5306">
        <v>1037022454355</v>
      </c>
      <c r="E5306">
        <v>1</v>
      </c>
      <c r="F5306">
        <v>6132793532</v>
      </c>
      <c r="G5306">
        <v>23000000</v>
      </c>
      <c r="H5306" t="s">
        <v>40293</v>
      </c>
      <c r="I5306">
        <v>33898</v>
      </c>
      <c r="J5306">
        <v>6</v>
      </c>
      <c r="K5306">
        <v>6</v>
      </c>
    </row>
    <row r="5307" spans="1:11">
      <c r="A5307">
        <v>30</v>
      </c>
      <c r="B5307" t="b">
        <v>0</v>
      </c>
      <c r="C5307" t="s">
        <v>45893</v>
      </c>
      <c r="D5307">
        <v>1037022454355</v>
      </c>
      <c r="E5307">
        <v>1</v>
      </c>
      <c r="F5307">
        <v>6149514450</v>
      </c>
      <c r="G5307">
        <v>16870000</v>
      </c>
      <c r="H5307" t="s">
        <v>40293</v>
      </c>
      <c r="I5307">
        <v>33898</v>
      </c>
      <c r="J5307">
        <v>9</v>
      </c>
      <c r="K5307">
        <v>10</v>
      </c>
    </row>
    <row r="5308" spans="1:11">
      <c r="A5308">
        <v>30</v>
      </c>
      <c r="B5308" t="b">
        <v>0</v>
      </c>
      <c r="C5308" t="s">
        <v>46300</v>
      </c>
      <c r="D5308">
        <v>1037022454355</v>
      </c>
      <c r="E5308">
        <v>1</v>
      </c>
      <c r="F5308">
        <v>6156612236</v>
      </c>
      <c r="G5308">
        <v>49900000</v>
      </c>
      <c r="H5308" t="s">
        <v>40293</v>
      </c>
      <c r="I5308">
        <v>33900</v>
      </c>
      <c r="J5308">
        <v>4</v>
      </c>
      <c r="K5308">
        <v>5</v>
      </c>
    </row>
    <row r="5309" spans="1:11">
      <c r="A5309">
        <v>90</v>
      </c>
      <c r="B5309" t="b">
        <v>0</v>
      </c>
      <c r="C5309" t="s">
        <v>41668</v>
      </c>
      <c r="D5309">
        <v>1037022454355</v>
      </c>
      <c r="E5309">
        <v>1</v>
      </c>
      <c r="F5309">
        <v>6116734765</v>
      </c>
      <c r="G5309">
        <v>893000</v>
      </c>
      <c r="H5309" t="s">
        <v>40293</v>
      </c>
      <c r="I5309">
        <v>33915</v>
      </c>
      <c r="J5309">
        <v>1</v>
      </c>
      <c r="K5309">
        <v>2</v>
      </c>
    </row>
    <row r="5310" spans="1:11">
      <c r="A5310">
        <v>90</v>
      </c>
      <c r="B5310" t="b">
        <v>0</v>
      </c>
      <c r="C5310" t="s">
        <v>42029</v>
      </c>
      <c r="D5310">
        <v>1037022454355</v>
      </c>
      <c r="E5310">
        <v>1</v>
      </c>
      <c r="F5310">
        <v>6130994702</v>
      </c>
      <c r="G5310">
        <v>892900</v>
      </c>
      <c r="H5310" t="s">
        <v>40293</v>
      </c>
      <c r="I5310">
        <v>33915</v>
      </c>
      <c r="J5310">
        <v>25</v>
      </c>
      <c r="K5310">
        <v>25</v>
      </c>
    </row>
    <row r="5311" spans="1:11">
      <c r="A5311">
        <v>90</v>
      </c>
      <c r="B5311" t="b">
        <v>0</v>
      </c>
      <c r="C5311" t="s">
        <v>43256</v>
      </c>
      <c r="D5311">
        <v>1037022454355</v>
      </c>
      <c r="E5311">
        <v>1</v>
      </c>
      <c r="F5311">
        <v>6138185471</v>
      </c>
      <c r="G5311">
        <v>30000000</v>
      </c>
      <c r="H5311" t="s">
        <v>40293</v>
      </c>
      <c r="I5311">
        <v>33983</v>
      </c>
      <c r="J5311">
        <v>1</v>
      </c>
      <c r="K5311">
        <v>4</v>
      </c>
    </row>
    <row r="5312" spans="1:11">
      <c r="A5312">
        <v>90</v>
      </c>
      <c r="B5312" t="b">
        <v>0</v>
      </c>
      <c r="C5312" t="s">
        <v>44631</v>
      </c>
      <c r="D5312">
        <v>1037022454355</v>
      </c>
      <c r="E5312">
        <v>1</v>
      </c>
      <c r="F5312">
        <v>6153395588</v>
      </c>
      <c r="G5312">
        <v>29990000</v>
      </c>
      <c r="H5312" t="s">
        <v>40293</v>
      </c>
      <c r="I5312">
        <v>33983</v>
      </c>
      <c r="J5312">
        <v>1</v>
      </c>
      <c r="K5312">
        <v>2</v>
      </c>
    </row>
    <row r="5313" spans="1:11">
      <c r="A5313">
        <v>90</v>
      </c>
      <c r="B5313" t="b">
        <v>0</v>
      </c>
      <c r="C5313" t="s">
        <v>42855</v>
      </c>
      <c r="D5313">
        <v>1037022454355</v>
      </c>
      <c r="E5313">
        <v>1</v>
      </c>
      <c r="F5313">
        <v>6113655979</v>
      </c>
      <c r="G5313">
        <v>39970000</v>
      </c>
      <c r="H5313" t="s">
        <v>40293</v>
      </c>
      <c r="I5313">
        <v>34124</v>
      </c>
      <c r="J5313">
        <v>1</v>
      </c>
      <c r="K5313">
        <v>3</v>
      </c>
    </row>
    <row r="5314" spans="1:11">
      <c r="A5314">
        <v>14</v>
      </c>
      <c r="B5314" t="b">
        <v>0</v>
      </c>
      <c r="C5314" t="s">
        <v>44500</v>
      </c>
      <c r="D5314">
        <v>1037022454355</v>
      </c>
      <c r="E5314">
        <v>1</v>
      </c>
      <c r="F5314">
        <v>6153640304</v>
      </c>
      <c r="G5314">
        <v>250000</v>
      </c>
      <c r="H5314" t="s">
        <v>40293</v>
      </c>
      <c r="I5314">
        <v>34201</v>
      </c>
      <c r="J5314">
        <v>1</v>
      </c>
      <c r="K5314">
        <v>1</v>
      </c>
    </row>
    <row r="5315" spans="1:11">
      <c r="A5315">
        <v>90</v>
      </c>
      <c r="B5315" t="b">
        <v>0</v>
      </c>
      <c r="C5315" t="s">
        <v>44883</v>
      </c>
      <c r="D5315">
        <v>1037022454355</v>
      </c>
      <c r="E5315">
        <v>1</v>
      </c>
      <c r="F5315">
        <v>6148402205</v>
      </c>
      <c r="G5315">
        <v>2000000</v>
      </c>
      <c r="H5315" t="s">
        <v>40293</v>
      </c>
      <c r="I5315">
        <v>34202</v>
      </c>
      <c r="J5315">
        <v>4</v>
      </c>
      <c r="K5315">
        <v>5</v>
      </c>
    </row>
    <row r="5316" spans="1:11">
      <c r="A5316">
        <v>30</v>
      </c>
      <c r="B5316" t="b">
        <v>0</v>
      </c>
      <c r="C5316" t="s">
        <v>45326</v>
      </c>
      <c r="D5316">
        <v>1037022454355</v>
      </c>
      <c r="E5316">
        <v>1</v>
      </c>
      <c r="F5316">
        <v>6151717717</v>
      </c>
      <c r="G5316">
        <v>550000</v>
      </c>
      <c r="H5316" t="s">
        <v>40293</v>
      </c>
      <c r="I5316">
        <v>34203</v>
      </c>
      <c r="J5316">
        <v>3</v>
      </c>
      <c r="K5316">
        <v>3</v>
      </c>
    </row>
    <row r="5317" spans="1:11">
      <c r="A5317">
        <v>90</v>
      </c>
      <c r="B5317" t="b">
        <v>0</v>
      </c>
      <c r="C5317" t="s">
        <v>44859</v>
      </c>
      <c r="D5317">
        <v>1037022454355</v>
      </c>
      <c r="E5317">
        <v>1</v>
      </c>
      <c r="F5317">
        <v>6148401934</v>
      </c>
      <c r="G5317">
        <v>100100</v>
      </c>
      <c r="H5317" t="s">
        <v>40293</v>
      </c>
      <c r="I5317">
        <v>34206</v>
      </c>
      <c r="J5317">
        <v>2</v>
      </c>
      <c r="K5317">
        <v>21</v>
      </c>
    </row>
    <row r="5318" spans="1:11">
      <c r="A5318">
        <v>30</v>
      </c>
      <c r="B5318" t="b">
        <v>0</v>
      </c>
      <c r="C5318" t="s">
        <v>42347</v>
      </c>
      <c r="D5318">
        <v>1037022454355</v>
      </c>
      <c r="E5318">
        <v>1</v>
      </c>
      <c r="F5318">
        <v>6137681936</v>
      </c>
      <c r="G5318">
        <v>155000</v>
      </c>
      <c r="H5318" t="s">
        <v>40293</v>
      </c>
      <c r="I5318">
        <v>34260</v>
      </c>
      <c r="J5318">
        <v>100</v>
      </c>
      <c r="K5318">
        <v>100</v>
      </c>
    </row>
    <row r="5319" spans="1:11">
      <c r="A5319">
        <v>90</v>
      </c>
      <c r="B5319" t="b">
        <v>0</v>
      </c>
      <c r="C5319" t="s">
        <v>44144</v>
      </c>
      <c r="D5319">
        <v>1037022454355</v>
      </c>
      <c r="E5319">
        <v>1</v>
      </c>
      <c r="F5319">
        <v>6152488328</v>
      </c>
      <c r="G5319">
        <v>2000000</v>
      </c>
      <c r="H5319" t="s">
        <v>40293</v>
      </c>
      <c r="I5319">
        <v>34264</v>
      </c>
      <c r="J5319">
        <v>20</v>
      </c>
      <c r="K5319">
        <v>20</v>
      </c>
    </row>
    <row r="5320" spans="1:11">
      <c r="A5320">
        <v>90</v>
      </c>
      <c r="B5320" t="b">
        <v>0</v>
      </c>
      <c r="C5320" t="s">
        <v>45728</v>
      </c>
      <c r="D5320">
        <v>1037022454355</v>
      </c>
      <c r="E5320">
        <v>1</v>
      </c>
      <c r="F5320">
        <v>6152738358</v>
      </c>
      <c r="G5320">
        <v>1901000</v>
      </c>
      <c r="H5320" t="s">
        <v>40293</v>
      </c>
      <c r="I5320">
        <v>34264</v>
      </c>
      <c r="J5320">
        <v>1</v>
      </c>
      <c r="K5320">
        <v>6</v>
      </c>
    </row>
    <row r="5321" spans="1:11">
      <c r="A5321">
        <v>90</v>
      </c>
      <c r="B5321" t="b">
        <v>0</v>
      </c>
      <c r="C5321" t="s">
        <v>45276</v>
      </c>
      <c r="D5321">
        <v>1037022454355</v>
      </c>
      <c r="E5321">
        <v>1</v>
      </c>
      <c r="F5321">
        <v>6141919427</v>
      </c>
      <c r="G5321">
        <v>1900000</v>
      </c>
      <c r="H5321" t="s">
        <v>40293</v>
      </c>
      <c r="I5321">
        <v>34264</v>
      </c>
      <c r="J5321">
        <v>3</v>
      </c>
      <c r="K5321">
        <v>7</v>
      </c>
    </row>
    <row r="5322" spans="1:11">
      <c r="A5322">
        <v>90</v>
      </c>
      <c r="B5322" t="b">
        <v>0</v>
      </c>
      <c r="C5322" t="s">
        <v>44466</v>
      </c>
      <c r="D5322">
        <v>1037022454355</v>
      </c>
      <c r="E5322">
        <v>1</v>
      </c>
      <c r="F5322">
        <v>6145906608</v>
      </c>
      <c r="G5322">
        <v>1899000</v>
      </c>
      <c r="H5322" t="s">
        <v>40293</v>
      </c>
      <c r="I5322">
        <v>34264</v>
      </c>
      <c r="J5322">
        <v>1</v>
      </c>
      <c r="K5322">
        <v>2</v>
      </c>
    </row>
    <row r="5323" spans="1:11">
      <c r="A5323">
        <v>90</v>
      </c>
      <c r="B5323" t="b">
        <v>0</v>
      </c>
      <c r="C5323" t="s">
        <v>41774</v>
      </c>
      <c r="D5323">
        <v>1037022454355</v>
      </c>
      <c r="E5323">
        <v>1</v>
      </c>
      <c r="F5323">
        <v>6127747396</v>
      </c>
      <c r="G5323">
        <v>1442000</v>
      </c>
      <c r="H5323" t="s">
        <v>40293</v>
      </c>
      <c r="I5323">
        <v>34268</v>
      </c>
      <c r="J5323">
        <v>14</v>
      </c>
      <c r="K5323">
        <v>14</v>
      </c>
    </row>
    <row r="5324" spans="1:11">
      <c r="A5324">
        <v>90</v>
      </c>
      <c r="B5324" t="b">
        <v>0</v>
      </c>
      <c r="C5324" t="s">
        <v>42674</v>
      </c>
      <c r="D5324">
        <v>1037022454355</v>
      </c>
      <c r="E5324">
        <v>1</v>
      </c>
      <c r="F5324">
        <v>6133732657</v>
      </c>
      <c r="G5324">
        <v>1441000</v>
      </c>
      <c r="H5324" t="s">
        <v>40293</v>
      </c>
      <c r="I5324">
        <v>34268</v>
      </c>
      <c r="J5324">
        <v>40</v>
      </c>
      <c r="K5324">
        <v>40</v>
      </c>
    </row>
    <row r="5325" spans="1:11">
      <c r="A5325">
        <v>90</v>
      </c>
      <c r="B5325" t="b">
        <v>0</v>
      </c>
      <c r="C5325" t="s">
        <v>41980</v>
      </c>
      <c r="D5325">
        <v>1037022454355</v>
      </c>
      <c r="E5325">
        <v>1</v>
      </c>
      <c r="F5325">
        <v>6067287070</v>
      </c>
      <c r="G5325">
        <v>1441000</v>
      </c>
      <c r="H5325" t="s">
        <v>40293</v>
      </c>
      <c r="I5325">
        <v>34268</v>
      </c>
      <c r="J5325">
        <v>56</v>
      </c>
      <c r="K5325">
        <v>90</v>
      </c>
    </row>
    <row r="5326" spans="1:11">
      <c r="A5326">
        <v>90</v>
      </c>
      <c r="B5326" t="b">
        <v>0</v>
      </c>
      <c r="C5326" t="s">
        <v>42746</v>
      </c>
      <c r="D5326">
        <v>1037022454355</v>
      </c>
      <c r="E5326">
        <v>1</v>
      </c>
      <c r="F5326">
        <v>6134654369</v>
      </c>
      <c r="G5326">
        <v>5500000</v>
      </c>
      <c r="H5326" t="s">
        <v>40293</v>
      </c>
      <c r="I5326">
        <v>34274</v>
      </c>
      <c r="J5326">
        <v>21</v>
      </c>
      <c r="K5326">
        <v>21</v>
      </c>
    </row>
    <row r="5327" spans="1:11">
      <c r="A5327">
        <v>90</v>
      </c>
      <c r="B5327" t="b">
        <v>0</v>
      </c>
      <c r="C5327" t="s">
        <v>42750</v>
      </c>
      <c r="D5327">
        <v>1037022454355</v>
      </c>
      <c r="E5327">
        <v>1</v>
      </c>
      <c r="F5327">
        <v>6134654619</v>
      </c>
      <c r="G5327">
        <v>16000000</v>
      </c>
      <c r="H5327" t="s">
        <v>40293</v>
      </c>
      <c r="I5327">
        <v>34276</v>
      </c>
      <c r="J5327">
        <v>25</v>
      </c>
      <c r="K5327">
        <v>25</v>
      </c>
    </row>
    <row r="5328" spans="1:11">
      <c r="A5328">
        <v>90</v>
      </c>
      <c r="B5328" t="b">
        <v>0</v>
      </c>
      <c r="C5328" t="s">
        <v>40412</v>
      </c>
      <c r="D5328">
        <v>1037022454355</v>
      </c>
      <c r="E5328">
        <v>1</v>
      </c>
      <c r="F5328">
        <v>6084660051</v>
      </c>
      <c r="G5328">
        <v>6800000</v>
      </c>
      <c r="H5328" t="s">
        <v>40293</v>
      </c>
      <c r="I5328">
        <v>34280</v>
      </c>
      <c r="J5328">
        <v>1</v>
      </c>
      <c r="K5328">
        <v>1</v>
      </c>
    </row>
    <row r="5329" spans="1:11">
      <c r="A5329">
        <v>90</v>
      </c>
      <c r="B5329" t="b">
        <v>0</v>
      </c>
      <c r="C5329" t="s">
        <v>41496</v>
      </c>
      <c r="D5329">
        <v>1037022454355</v>
      </c>
      <c r="E5329">
        <v>1</v>
      </c>
      <c r="F5329">
        <v>6117287769</v>
      </c>
      <c r="G5329">
        <v>5900000</v>
      </c>
      <c r="H5329" t="s">
        <v>40293</v>
      </c>
      <c r="I5329">
        <v>34280</v>
      </c>
      <c r="J5329">
        <v>1</v>
      </c>
      <c r="K5329">
        <v>1</v>
      </c>
    </row>
    <row r="5330" spans="1:11">
      <c r="A5330">
        <v>90</v>
      </c>
      <c r="B5330" t="b">
        <v>0</v>
      </c>
      <c r="C5330" t="s">
        <v>41649</v>
      </c>
      <c r="D5330">
        <v>1037022454355</v>
      </c>
      <c r="E5330">
        <v>1</v>
      </c>
      <c r="F5330">
        <v>6098613719</v>
      </c>
      <c r="G5330">
        <v>15500000</v>
      </c>
      <c r="H5330" t="s">
        <v>40293</v>
      </c>
      <c r="I5330">
        <v>34282</v>
      </c>
      <c r="J5330">
        <v>1</v>
      </c>
      <c r="K5330">
        <v>9</v>
      </c>
    </row>
    <row r="5331" spans="1:11">
      <c r="A5331">
        <v>90</v>
      </c>
      <c r="B5331" t="b">
        <v>0</v>
      </c>
      <c r="C5331" t="s">
        <v>45453</v>
      </c>
      <c r="D5331">
        <v>1037022454355</v>
      </c>
      <c r="E5331">
        <v>1</v>
      </c>
      <c r="F5331">
        <v>6153423136</v>
      </c>
      <c r="G5331">
        <v>15400000</v>
      </c>
      <c r="H5331" t="s">
        <v>40293</v>
      </c>
      <c r="I5331">
        <v>34282</v>
      </c>
      <c r="J5331">
        <v>8</v>
      </c>
      <c r="K5331">
        <v>8</v>
      </c>
    </row>
    <row r="5332" spans="1:11">
      <c r="A5332">
        <v>90</v>
      </c>
      <c r="B5332" t="b">
        <v>0</v>
      </c>
      <c r="C5332" t="s">
        <v>43843</v>
      </c>
      <c r="D5332">
        <v>1037022454355</v>
      </c>
      <c r="E5332">
        <v>1</v>
      </c>
      <c r="F5332">
        <v>6138982590</v>
      </c>
      <c r="G5332">
        <v>16990000</v>
      </c>
      <c r="H5332" t="s">
        <v>40293</v>
      </c>
      <c r="I5332">
        <v>34306</v>
      </c>
      <c r="J5332">
        <v>10</v>
      </c>
      <c r="K5332">
        <v>10</v>
      </c>
    </row>
    <row r="5333" spans="1:11">
      <c r="A5333">
        <v>90</v>
      </c>
      <c r="B5333" t="b">
        <v>0</v>
      </c>
      <c r="C5333" t="s">
        <v>42966</v>
      </c>
      <c r="D5333">
        <v>1037022454355</v>
      </c>
      <c r="E5333">
        <v>1</v>
      </c>
      <c r="F5333">
        <v>6143372362</v>
      </c>
      <c r="G5333">
        <v>10000000</v>
      </c>
      <c r="H5333" t="s">
        <v>40293</v>
      </c>
      <c r="I5333">
        <v>34306</v>
      </c>
      <c r="J5333">
        <v>2</v>
      </c>
      <c r="K5333">
        <v>2</v>
      </c>
    </row>
    <row r="5334" spans="1:11">
      <c r="A5334">
        <v>90</v>
      </c>
      <c r="B5334" t="b">
        <v>0</v>
      </c>
      <c r="C5334" t="s">
        <v>43682</v>
      </c>
      <c r="D5334">
        <v>1037022454355</v>
      </c>
      <c r="E5334">
        <v>1</v>
      </c>
      <c r="F5334">
        <v>6145891713</v>
      </c>
      <c r="G5334">
        <v>8500000</v>
      </c>
      <c r="H5334" t="s">
        <v>40293</v>
      </c>
      <c r="I5334">
        <v>34306</v>
      </c>
      <c r="J5334">
        <v>8</v>
      </c>
      <c r="K5334">
        <v>10</v>
      </c>
    </row>
    <row r="5335" spans="1:11">
      <c r="A5335">
        <v>90</v>
      </c>
      <c r="B5335" t="b">
        <v>0</v>
      </c>
      <c r="C5335" t="s">
        <v>42333</v>
      </c>
      <c r="D5335">
        <v>1037022454355</v>
      </c>
      <c r="E5335">
        <v>1</v>
      </c>
      <c r="F5335">
        <v>6132656299</v>
      </c>
      <c r="G5335">
        <v>62010000</v>
      </c>
      <c r="H5335" t="s">
        <v>40293</v>
      </c>
      <c r="I5335">
        <v>34317</v>
      </c>
      <c r="J5335">
        <v>1</v>
      </c>
      <c r="K5335">
        <v>1</v>
      </c>
    </row>
    <row r="5336" spans="1:11">
      <c r="A5336">
        <v>90</v>
      </c>
      <c r="B5336" t="b">
        <v>0</v>
      </c>
      <c r="C5336" t="s">
        <v>42017</v>
      </c>
      <c r="D5336">
        <v>1037022454355</v>
      </c>
      <c r="E5336">
        <v>1</v>
      </c>
      <c r="F5336">
        <v>6131452449</v>
      </c>
      <c r="G5336">
        <v>61990000</v>
      </c>
      <c r="H5336" t="s">
        <v>40293</v>
      </c>
      <c r="I5336">
        <v>34317</v>
      </c>
      <c r="J5336">
        <v>2</v>
      </c>
      <c r="K5336">
        <v>2</v>
      </c>
    </row>
    <row r="5337" spans="1:11">
      <c r="A5337">
        <v>90</v>
      </c>
      <c r="B5337" t="b">
        <v>0</v>
      </c>
      <c r="C5337" t="s">
        <v>43911</v>
      </c>
      <c r="D5337">
        <v>1037022454355</v>
      </c>
      <c r="E5337">
        <v>1</v>
      </c>
      <c r="F5337">
        <v>6131152812</v>
      </c>
      <c r="G5337">
        <v>59000000</v>
      </c>
      <c r="H5337" t="s">
        <v>40293</v>
      </c>
      <c r="I5337">
        <v>34317</v>
      </c>
      <c r="J5337">
        <v>3</v>
      </c>
      <c r="K5337">
        <v>3</v>
      </c>
    </row>
    <row r="5338" spans="1:11">
      <c r="A5338">
        <v>90</v>
      </c>
      <c r="B5338" t="b">
        <v>0</v>
      </c>
      <c r="C5338" t="s">
        <v>46467</v>
      </c>
      <c r="D5338">
        <v>1037022454355</v>
      </c>
      <c r="E5338">
        <v>1</v>
      </c>
      <c r="F5338">
        <v>6152322019</v>
      </c>
      <c r="G5338">
        <v>58260000</v>
      </c>
      <c r="H5338" t="s">
        <v>40293</v>
      </c>
      <c r="I5338">
        <v>34317</v>
      </c>
      <c r="J5338">
        <v>1</v>
      </c>
      <c r="K5338">
        <v>1</v>
      </c>
    </row>
    <row r="5339" spans="1:11">
      <c r="A5339">
        <v>90</v>
      </c>
      <c r="B5339" t="b">
        <v>0</v>
      </c>
      <c r="C5339" t="s">
        <v>45405</v>
      </c>
      <c r="D5339">
        <v>1037022454355</v>
      </c>
      <c r="E5339">
        <v>1</v>
      </c>
      <c r="F5339">
        <v>6153422573</v>
      </c>
      <c r="G5339">
        <v>95000000</v>
      </c>
      <c r="H5339" t="s">
        <v>40293</v>
      </c>
      <c r="I5339">
        <v>34483</v>
      </c>
      <c r="J5339">
        <v>3</v>
      </c>
      <c r="K5339">
        <v>3</v>
      </c>
    </row>
    <row r="5340" spans="1:11">
      <c r="A5340">
        <v>90</v>
      </c>
      <c r="B5340" t="b">
        <v>0</v>
      </c>
      <c r="C5340" t="s">
        <v>41444</v>
      </c>
      <c r="D5340">
        <v>1037022454355</v>
      </c>
      <c r="E5340">
        <v>1</v>
      </c>
      <c r="F5340">
        <v>6068658675</v>
      </c>
      <c r="G5340">
        <v>56160000</v>
      </c>
      <c r="H5340" t="s">
        <v>40293</v>
      </c>
      <c r="I5340">
        <v>34562</v>
      </c>
      <c r="J5340">
        <v>1</v>
      </c>
      <c r="K5340">
        <v>1</v>
      </c>
    </row>
    <row r="5341" spans="1:11">
      <c r="A5341">
        <v>90</v>
      </c>
      <c r="B5341" t="b">
        <v>0</v>
      </c>
      <c r="C5341" t="s">
        <v>43031</v>
      </c>
      <c r="D5341">
        <v>1037022454355</v>
      </c>
      <c r="E5341">
        <v>1</v>
      </c>
      <c r="F5341">
        <v>6141940475</v>
      </c>
      <c r="G5341">
        <v>51600000</v>
      </c>
      <c r="H5341" t="s">
        <v>40293</v>
      </c>
      <c r="I5341">
        <v>34562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43947</v>
      </c>
      <c r="D5342">
        <v>1037022454355</v>
      </c>
      <c r="E5342">
        <v>1</v>
      </c>
      <c r="F5342">
        <v>6142262376</v>
      </c>
      <c r="G5342">
        <v>51170000</v>
      </c>
      <c r="H5342" t="s">
        <v>40293</v>
      </c>
      <c r="I5342">
        <v>34562</v>
      </c>
      <c r="J5342">
        <v>7</v>
      </c>
      <c r="K5342">
        <v>8</v>
      </c>
    </row>
    <row r="5343" spans="1:11">
      <c r="A5343">
        <v>90</v>
      </c>
      <c r="B5343" t="b">
        <v>0</v>
      </c>
      <c r="C5343" t="s">
        <v>45644</v>
      </c>
      <c r="D5343">
        <v>1037022454355</v>
      </c>
      <c r="E5343">
        <v>1</v>
      </c>
      <c r="F5343">
        <v>6153392623</v>
      </c>
      <c r="G5343">
        <v>51140000</v>
      </c>
      <c r="H5343" t="s">
        <v>40293</v>
      </c>
      <c r="I5343">
        <v>34562</v>
      </c>
      <c r="J5343">
        <v>1</v>
      </c>
      <c r="K5343">
        <v>3</v>
      </c>
    </row>
    <row r="5344" spans="1:11">
      <c r="A5344">
        <v>30</v>
      </c>
      <c r="B5344" t="b">
        <v>0</v>
      </c>
      <c r="C5344" t="s">
        <v>43085</v>
      </c>
      <c r="D5344">
        <v>1037022454355</v>
      </c>
      <c r="E5344">
        <v>1</v>
      </c>
      <c r="F5344">
        <v>6144661846</v>
      </c>
      <c r="G5344">
        <v>4999000</v>
      </c>
      <c r="H5344" t="s">
        <v>40293</v>
      </c>
      <c r="I5344">
        <v>34575</v>
      </c>
      <c r="J5344">
        <v>3</v>
      </c>
      <c r="K5344">
        <v>3</v>
      </c>
    </row>
    <row r="5345" spans="1:11">
      <c r="A5345">
        <v>90</v>
      </c>
      <c r="B5345" t="b">
        <v>0</v>
      </c>
      <c r="C5345" t="s">
        <v>45394</v>
      </c>
      <c r="D5345">
        <v>1037022454355</v>
      </c>
      <c r="E5345">
        <v>1</v>
      </c>
      <c r="F5345">
        <v>6156797587</v>
      </c>
      <c r="G5345">
        <v>31500000</v>
      </c>
      <c r="H5345" t="s">
        <v>40293</v>
      </c>
      <c r="I5345">
        <v>34593</v>
      </c>
      <c r="J5345">
        <v>1</v>
      </c>
      <c r="K5345">
        <v>1</v>
      </c>
    </row>
    <row r="5346" spans="1:11">
      <c r="A5346">
        <v>90</v>
      </c>
      <c r="B5346" t="b">
        <v>0</v>
      </c>
      <c r="C5346" t="s">
        <v>40716</v>
      </c>
      <c r="D5346">
        <v>1037022454355</v>
      </c>
      <c r="E5346">
        <v>1</v>
      </c>
      <c r="F5346">
        <v>6067889281</v>
      </c>
      <c r="G5346">
        <v>187500000</v>
      </c>
      <c r="H5346" t="s">
        <v>40293</v>
      </c>
      <c r="I5346">
        <v>34595</v>
      </c>
      <c r="J5346">
        <v>1</v>
      </c>
      <c r="K5346">
        <v>1</v>
      </c>
    </row>
    <row r="5347" spans="1:11">
      <c r="A5347">
        <v>90</v>
      </c>
      <c r="B5347" t="b">
        <v>0</v>
      </c>
      <c r="C5347" t="s">
        <v>45547</v>
      </c>
      <c r="D5347">
        <v>1037022454355</v>
      </c>
      <c r="E5347">
        <v>1</v>
      </c>
      <c r="F5347">
        <v>6153633837</v>
      </c>
      <c r="G5347">
        <v>186900000</v>
      </c>
      <c r="H5347" t="s">
        <v>40293</v>
      </c>
      <c r="I5347">
        <v>34595</v>
      </c>
      <c r="J5347">
        <v>5</v>
      </c>
      <c r="K5347">
        <v>5</v>
      </c>
    </row>
    <row r="5348" spans="1:11">
      <c r="A5348">
        <v>90</v>
      </c>
      <c r="B5348" t="b">
        <v>0</v>
      </c>
      <c r="C5348" t="s">
        <v>45920</v>
      </c>
      <c r="D5348">
        <v>1037022454355</v>
      </c>
      <c r="E5348">
        <v>1</v>
      </c>
      <c r="F5348">
        <v>6145498654</v>
      </c>
      <c r="G5348">
        <v>186700000</v>
      </c>
      <c r="H5348" t="s">
        <v>40293</v>
      </c>
      <c r="I5348">
        <v>34595</v>
      </c>
      <c r="J5348">
        <v>1</v>
      </c>
      <c r="K5348">
        <v>2</v>
      </c>
    </row>
    <row r="5349" spans="1:11">
      <c r="A5349">
        <v>90</v>
      </c>
      <c r="B5349" t="b">
        <v>0</v>
      </c>
      <c r="C5349" t="s">
        <v>40443</v>
      </c>
      <c r="D5349">
        <v>1037022454355</v>
      </c>
      <c r="E5349">
        <v>1</v>
      </c>
      <c r="F5349">
        <v>6094687858</v>
      </c>
      <c r="G5349">
        <v>10000000</v>
      </c>
      <c r="H5349" t="s">
        <v>40293</v>
      </c>
      <c r="I5349">
        <v>34677</v>
      </c>
      <c r="J5349">
        <v>1</v>
      </c>
      <c r="K5349">
        <v>1</v>
      </c>
    </row>
    <row r="5350" spans="1:11">
      <c r="A5350">
        <v>30</v>
      </c>
      <c r="B5350" t="b">
        <v>0</v>
      </c>
      <c r="C5350" t="s">
        <v>44615</v>
      </c>
      <c r="D5350">
        <v>1037022454355</v>
      </c>
      <c r="E5350">
        <v>1</v>
      </c>
      <c r="F5350">
        <v>6148628366</v>
      </c>
      <c r="G5350">
        <v>60760000</v>
      </c>
      <c r="H5350" t="s">
        <v>40293</v>
      </c>
      <c r="I5350">
        <v>34828</v>
      </c>
      <c r="J5350">
        <v>1</v>
      </c>
      <c r="K5350">
        <v>1</v>
      </c>
    </row>
    <row r="5351" spans="1:11">
      <c r="A5351">
        <v>30</v>
      </c>
      <c r="B5351" t="b">
        <v>0</v>
      </c>
      <c r="C5351" t="s">
        <v>46047</v>
      </c>
      <c r="D5351">
        <v>1037022454355</v>
      </c>
      <c r="E5351">
        <v>1</v>
      </c>
      <c r="F5351">
        <v>6149104853</v>
      </c>
      <c r="G5351">
        <v>60760000</v>
      </c>
      <c r="H5351" t="s">
        <v>40293</v>
      </c>
      <c r="I5351">
        <v>34828</v>
      </c>
      <c r="J5351">
        <v>1</v>
      </c>
      <c r="K5351">
        <v>1</v>
      </c>
    </row>
    <row r="5352" spans="1:11">
      <c r="A5352">
        <v>90</v>
      </c>
      <c r="B5352" t="b">
        <v>0</v>
      </c>
      <c r="C5352" t="s">
        <v>44173</v>
      </c>
      <c r="D5352">
        <v>1037022454355</v>
      </c>
      <c r="E5352">
        <v>1</v>
      </c>
      <c r="F5352">
        <v>6149637948</v>
      </c>
      <c r="G5352">
        <v>55000000</v>
      </c>
      <c r="H5352" t="s">
        <v>40293</v>
      </c>
      <c r="I5352">
        <v>34828</v>
      </c>
      <c r="J5352">
        <v>3</v>
      </c>
      <c r="K5352">
        <v>3</v>
      </c>
    </row>
    <row r="5353" spans="1:11">
      <c r="A5353">
        <v>90</v>
      </c>
      <c r="B5353" t="b">
        <v>0</v>
      </c>
      <c r="C5353" t="s">
        <v>46143</v>
      </c>
      <c r="D5353">
        <v>1037022454355</v>
      </c>
      <c r="E5353">
        <v>1</v>
      </c>
      <c r="F5353">
        <v>6153169526</v>
      </c>
      <c r="G5353">
        <v>52990000</v>
      </c>
      <c r="H5353" t="s">
        <v>40293</v>
      </c>
      <c r="I5353">
        <v>34828</v>
      </c>
      <c r="J5353">
        <v>5</v>
      </c>
      <c r="K5353">
        <v>5</v>
      </c>
    </row>
    <row r="5354" spans="1:11">
      <c r="A5354">
        <v>90</v>
      </c>
      <c r="B5354" t="b">
        <v>0</v>
      </c>
      <c r="C5354" t="s">
        <v>40352</v>
      </c>
      <c r="D5354">
        <v>1037022454355</v>
      </c>
      <c r="E5354">
        <v>1</v>
      </c>
      <c r="F5354">
        <v>6109464016</v>
      </c>
      <c r="G5354">
        <v>349900</v>
      </c>
      <c r="H5354" t="s">
        <v>40293</v>
      </c>
      <c r="I5354">
        <v>35656</v>
      </c>
      <c r="J5354">
        <v>25</v>
      </c>
      <c r="K5354">
        <v>25</v>
      </c>
    </row>
    <row r="5355" spans="1:11">
      <c r="A5355">
        <v>90</v>
      </c>
      <c r="B5355" t="b">
        <v>0</v>
      </c>
      <c r="C5355" t="s">
        <v>41829</v>
      </c>
      <c r="D5355">
        <v>1037022454355</v>
      </c>
      <c r="E5355">
        <v>1</v>
      </c>
      <c r="F5355">
        <v>6128802409</v>
      </c>
      <c r="G5355">
        <v>50000</v>
      </c>
      <c r="H5355" t="s">
        <v>40293</v>
      </c>
      <c r="I5355">
        <v>35656</v>
      </c>
      <c r="J5355">
        <v>104</v>
      </c>
      <c r="K5355">
        <v>104</v>
      </c>
    </row>
    <row r="5356" spans="1:11">
      <c r="A5356">
        <v>7</v>
      </c>
      <c r="B5356" t="b">
        <v>0</v>
      </c>
      <c r="C5356" t="s">
        <v>45985</v>
      </c>
      <c r="D5356">
        <v>1037022454355</v>
      </c>
      <c r="E5356">
        <v>1</v>
      </c>
      <c r="F5356">
        <v>6152562520</v>
      </c>
      <c r="G5356">
        <v>50000</v>
      </c>
      <c r="H5356" t="s">
        <v>40293</v>
      </c>
      <c r="I5356">
        <v>35656</v>
      </c>
      <c r="J5356">
        <v>1</v>
      </c>
      <c r="K5356">
        <v>1</v>
      </c>
    </row>
    <row r="5357" spans="1:11">
      <c r="A5357">
        <v>7</v>
      </c>
      <c r="B5357" t="b">
        <v>0</v>
      </c>
      <c r="C5357" t="s">
        <v>44843</v>
      </c>
      <c r="D5357">
        <v>1037022454355</v>
      </c>
      <c r="E5357">
        <v>1</v>
      </c>
      <c r="F5357">
        <v>6152563226</v>
      </c>
      <c r="G5357">
        <v>50000</v>
      </c>
      <c r="H5357" t="s">
        <v>40293</v>
      </c>
      <c r="I5357">
        <v>35656</v>
      </c>
      <c r="J5357">
        <v>1</v>
      </c>
      <c r="K5357">
        <v>1</v>
      </c>
    </row>
    <row r="5358" spans="1:11">
      <c r="A5358">
        <v>90</v>
      </c>
      <c r="B5358" t="b">
        <v>0</v>
      </c>
      <c r="C5358" t="s">
        <v>40549</v>
      </c>
      <c r="D5358">
        <v>1037022454355</v>
      </c>
      <c r="E5358">
        <v>1</v>
      </c>
      <c r="F5358">
        <v>6067853158</v>
      </c>
      <c r="G5358">
        <v>49990</v>
      </c>
      <c r="H5358" t="s">
        <v>40293</v>
      </c>
      <c r="I5358">
        <v>35656</v>
      </c>
      <c r="J5358">
        <v>31</v>
      </c>
      <c r="K5358">
        <v>187</v>
      </c>
    </row>
    <row r="5359" spans="1:11">
      <c r="A5359">
        <v>30</v>
      </c>
      <c r="B5359" t="b">
        <v>0</v>
      </c>
      <c r="C5359" t="s">
        <v>46437</v>
      </c>
      <c r="D5359">
        <v>1037022454355</v>
      </c>
      <c r="E5359">
        <v>1</v>
      </c>
      <c r="F5359">
        <v>6151305874</v>
      </c>
      <c r="G5359">
        <v>49990</v>
      </c>
      <c r="H5359" t="s">
        <v>40293</v>
      </c>
      <c r="I5359">
        <v>35656</v>
      </c>
      <c r="J5359">
        <v>1</v>
      </c>
      <c r="K5359">
        <v>1</v>
      </c>
    </row>
    <row r="5360" spans="1:11">
      <c r="A5360">
        <v>90</v>
      </c>
      <c r="B5360" t="b">
        <v>0</v>
      </c>
      <c r="C5360" t="s">
        <v>40789</v>
      </c>
      <c r="D5360">
        <v>1037022454355</v>
      </c>
      <c r="E5360">
        <v>1</v>
      </c>
      <c r="F5360">
        <v>6099774401</v>
      </c>
      <c r="G5360">
        <v>799000</v>
      </c>
      <c r="H5360" t="s">
        <v>40293</v>
      </c>
      <c r="I5360">
        <v>35657</v>
      </c>
      <c r="J5360">
        <v>15</v>
      </c>
      <c r="K5360">
        <v>15</v>
      </c>
    </row>
    <row r="5361" spans="1:11">
      <c r="A5361">
        <v>90</v>
      </c>
      <c r="B5361" t="b">
        <v>0</v>
      </c>
      <c r="C5361" t="s">
        <v>41129</v>
      </c>
      <c r="D5361">
        <v>1037022454355</v>
      </c>
      <c r="E5361">
        <v>1</v>
      </c>
      <c r="F5361">
        <v>6093457816</v>
      </c>
      <c r="G5361">
        <v>798400</v>
      </c>
      <c r="H5361" t="s">
        <v>40293</v>
      </c>
      <c r="I5361">
        <v>35657</v>
      </c>
      <c r="J5361">
        <v>27</v>
      </c>
      <c r="K5361">
        <v>27</v>
      </c>
    </row>
    <row r="5362" spans="1:11">
      <c r="A5362">
        <v>90</v>
      </c>
      <c r="B5362" t="b">
        <v>0</v>
      </c>
      <c r="C5362" t="s">
        <v>40516</v>
      </c>
      <c r="D5362">
        <v>1037022454355</v>
      </c>
      <c r="E5362">
        <v>1</v>
      </c>
      <c r="F5362">
        <v>6094623889</v>
      </c>
      <c r="G5362">
        <v>699800</v>
      </c>
      <c r="H5362" t="s">
        <v>40293</v>
      </c>
      <c r="I5362">
        <v>35657</v>
      </c>
      <c r="J5362">
        <v>11</v>
      </c>
      <c r="K5362">
        <v>29</v>
      </c>
    </row>
    <row r="5363" spans="1:11">
      <c r="A5363">
        <v>90</v>
      </c>
      <c r="B5363" t="b">
        <v>0</v>
      </c>
      <c r="C5363" t="s">
        <v>40428</v>
      </c>
      <c r="D5363">
        <v>1037022454355</v>
      </c>
      <c r="E5363">
        <v>1</v>
      </c>
      <c r="F5363">
        <v>6115986759</v>
      </c>
      <c r="G5363">
        <v>699500</v>
      </c>
      <c r="H5363" t="s">
        <v>40293</v>
      </c>
      <c r="I5363">
        <v>35657</v>
      </c>
      <c r="J5363">
        <v>13</v>
      </c>
      <c r="K5363">
        <v>20</v>
      </c>
    </row>
    <row r="5364" spans="1:11">
      <c r="A5364">
        <v>90</v>
      </c>
      <c r="B5364" t="b">
        <v>0</v>
      </c>
      <c r="C5364" t="s">
        <v>41987</v>
      </c>
      <c r="D5364">
        <v>1037022454355</v>
      </c>
      <c r="E5364">
        <v>1</v>
      </c>
      <c r="F5364">
        <v>6116571859</v>
      </c>
      <c r="G5364">
        <v>345000</v>
      </c>
      <c r="H5364" t="s">
        <v>40293</v>
      </c>
      <c r="I5364">
        <v>35657</v>
      </c>
      <c r="J5364">
        <v>12</v>
      </c>
      <c r="K5364">
        <v>50</v>
      </c>
    </row>
    <row r="5365" spans="1:11">
      <c r="A5365">
        <v>90</v>
      </c>
      <c r="B5365" t="b">
        <v>0</v>
      </c>
      <c r="C5365" t="s">
        <v>41795</v>
      </c>
      <c r="D5365">
        <v>1037022454355</v>
      </c>
      <c r="E5365">
        <v>1</v>
      </c>
      <c r="F5365">
        <v>6128801675</v>
      </c>
      <c r="G5365">
        <v>210000</v>
      </c>
      <c r="H5365" t="s">
        <v>40293</v>
      </c>
      <c r="I5365">
        <v>35657</v>
      </c>
      <c r="J5365">
        <v>71</v>
      </c>
      <c r="K5365">
        <v>114</v>
      </c>
    </row>
    <row r="5366" spans="1:11">
      <c r="A5366">
        <v>90</v>
      </c>
      <c r="B5366" t="b">
        <v>0</v>
      </c>
      <c r="C5366" t="s">
        <v>40692</v>
      </c>
      <c r="D5366">
        <v>1037022454355</v>
      </c>
      <c r="E5366">
        <v>1</v>
      </c>
      <c r="F5366">
        <v>6095643275</v>
      </c>
      <c r="G5366">
        <v>400000</v>
      </c>
      <c r="H5366" t="s">
        <v>40293</v>
      </c>
      <c r="I5366">
        <v>35658</v>
      </c>
      <c r="J5366">
        <v>1</v>
      </c>
      <c r="K5366">
        <v>1</v>
      </c>
    </row>
    <row r="5367" spans="1:11">
      <c r="A5367">
        <v>90</v>
      </c>
      <c r="B5367" t="b">
        <v>0</v>
      </c>
      <c r="C5367" t="s">
        <v>41802</v>
      </c>
      <c r="D5367">
        <v>1037022454355</v>
      </c>
      <c r="E5367">
        <v>1</v>
      </c>
      <c r="F5367">
        <v>6128799769</v>
      </c>
      <c r="G5367">
        <v>90000</v>
      </c>
      <c r="H5367" t="s">
        <v>40293</v>
      </c>
      <c r="I5367">
        <v>35658</v>
      </c>
      <c r="J5367">
        <v>72</v>
      </c>
      <c r="K5367">
        <v>150</v>
      </c>
    </row>
    <row r="5368" spans="1:11">
      <c r="A5368">
        <v>90</v>
      </c>
      <c r="B5368" t="b">
        <v>0</v>
      </c>
      <c r="C5368" t="s">
        <v>41138</v>
      </c>
      <c r="D5368">
        <v>1037022454355</v>
      </c>
      <c r="E5368">
        <v>1</v>
      </c>
      <c r="F5368">
        <v>6098690469</v>
      </c>
      <c r="G5368">
        <v>299900</v>
      </c>
      <c r="H5368" t="s">
        <v>40293</v>
      </c>
      <c r="I5368">
        <v>35659</v>
      </c>
      <c r="J5368">
        <v>10</v>
      </c>
      <c r="K5368">
        <v>20</v>
      </c>
    </row>
    <row r="5369" spans="1:11">
      <c r="A5369">
        <v>90</v>
      </c>
      <c r="B5369" t="b">
        <v>0</v>
      </c>
      <c r="C5369" t="s">
        <v>40383</v>
      </c>
      <c r="D5369">
        <v>1037022454355</v>
      </c>
      <c r="E5369">
        <v>1</v>
      </c>
      <c r="F5369">
        <v>6108514475</v>
      </c>
      <c r="G5369">
        <v>100000</v>
      </c>
      <c r="H5369" t="s">
        <v>40293</v>
      </c>
      <c r="I5369">
        <v>35659</v>
      </c>
      <c r="J5369">
        <v>217</v>
      </c>
      <c r="K5369">
        <v>328</v>
      </c>
    </row>
    <row r="5370" spans="1:11">
      <c r="A5370">
        <v>90</v>
      </c>
      <c r="B5370" t="b">
        <v>0</v>
      </c>
      <c r="C5370" t="s">
        <v>40387</v>
      </c>
      <c r="D5370">
        <v>1037022454355</v>
      </c>
      <c r="E5370">
        <v>1</v>
      </c>
      <c r="F5370">
        <v>6067849509</v>
      </c>
      <c r="G5370">
        <v>99990</v>
      </c>
      <c r="H5370" t="s">
        <v>40293</v>
      </c>
      <c r="I5370">
        <v>35659</v>
      </c>
      <c r="J5370">
        <v>49</v>
      </c>
      <c r="K5370">
        <v>220</v>
      </c>
    </row>
    <row r="5371" spans="1:11">
      <c r="A5371">
        <v>90</v>
      </c>
      <c r="B5371" t="b">
        <v>0</v>
      </c>
      <c r="C5371" t="s">
        <v>45492</v>
      </c>
      <c r="D5371">
        <v>1037022454355</v>
      </c>
      <c r="E5371">
        <v>1</v>
      </c>
      <c r="F5371">
        <v>6151981789</v>
      </c>
      <c r="G5371">
        <v>90000</v>
      </c>
      <c r="H5371" t="s">
        <v>40293</v>
      </c>
      <c r="I5371">
        <v>35659</v>
      </c>
      <c r="J5371">
        <v>180</v>
      </c>
      <c r="K5371">
        <v>257</v>
      </c>
    </row>
    <row r="5372" spans="1:11">
      <c r="A5372">
        <v>90</v>
      </c>
      <c r="B5372" t="b">
        <v>0</v>
      </c>
      <c r="C5372" t="s">
        <v>41747</v>
      </c>
      <c r="D5372">
        <v>1037022454355</v>
      </c>
      <c r="E5372">
        <v>1</v>
      </c>
      <c r="F5372">
        <v>6100385394</v>
      </c>
      <c r="G5372">
        <v>127400</v>
      </c>
      <c r="H5372" t="s">
        <v>40293</v>
      </c>
      <c r="I5372">
        <v>35660</v>
      </c>
      <c r="J5372">
        <v>9</v>
      </c>
      <c r="K5372">
        <v>25</v>
      </c>
    </row>
    <row r="5373" spans="1:11">
      <c r="A5373">
        <v>90</v>
      </c>
      <c r="B5373" t="b">
        <v>0</v>
      </c>
      <c r="C5373" t="s">
        <v>40533</v>
      </c>
      <c r="D5373">
        <v>1037022454355</v>
      </c>
      <c r="E5373">
        <v>1</v>
      </c>
      <c r="F5373">
        <v>6110713438</v>
      </c>
      <c r="G5373">
        <v>100000</v>
      </c>
      <c r="H5373" t="s">
        <v>40293</v>
      </c>
      <c r="I5373">
        <v>35660</v>
      </c>
      <c r="J5373">
        <v>1</v>
      </c>
      <c r="K5373">
        <v>1</v>
      </c>
    </row>
    <row r="5374" spans="1:11">
      <c r="A5374">
        <v>90</v>
      </c>
      <c r="B5374" t="b">
        <v>0</v>
      </c>
      <c r="C5374" t="s">
        <v>40371</v>
      </c>
      <c r="D5374">
        <v>1037022454355</v>
      </c>
      <c r="E5374">
        <v>1</v>
      </c>
      <c r="F5374">
        <v>6108514202</v>
      </c>
      <c r="G5374">
        <v>50000</v>
      </c>
      <c r="H5374" t="s">
        <v>40293</v>
      </c>
      <c r="I5374">
        <v>35660</v>
      </c>
      <c r="J5374">
        <v>19</v>
      </c>
      <c r="K5374">
        <v>305</v>
      </c>
    </row>
    <row r="5375" spans="1:11">
      <c r="A5375">
        <v>90</v>
      </c>
      <c r="B5375" t="b">
        <v>0</v>
      </c>
      <c r="C5375" t="s">
        <v>44278</v>
      </c>
      <c r="D5375">
        <v>1037022454355</v>
      </c>
      <c r="E5375">
        <v>1</v>
      </c>
      <c r="F5375">
        <v>6153366740</v>
      </c>
      <c r="G5375">
        <v>50000</v>
      </c>
      <c r="H5375" t="s">
        <v>40293</v>
      </c>
      <c r="I5375">
        <v>35660</v>
      </c>
      <c r="J5375">
        <v>1</v>
      </c>
      <c r="K5375">
        <v>1</v>
      </c>
    </row>
    <row r="5376" spans="1:11">
      <c r="A5376">
        <v>90</v>
      </c>
      <c r="B5376" t="b">
        <v>0</v>
      </c>
      <c r="C5376" t="s">
        <v>40358</v>
      </c>
      <c r="D5376">
        <v>1037022454355</v>
      </c>
      <c r="E5376">
        <v>1</v>
      </c>
      <c r="F5376">
        <v>6077797985</v>
      </c>
      <c r="G5376">
        <v>7335000</v>
      </c>
      <c r="H5376" t="s">
        <v>40293</v>
      </c>
      <c r="I5376">
        <v>35661</v>
      </c>
      <c r="J5376">
        <v>1</v>
      </c>
      <c r="K5376">
        <v>1</v>
      </c>
    </row>
    <row r="5377" spans="1:11">
      <c r="A5377">
        <v>90</v>
      </c>
      <c r="B5377" t="b">
        <v>0</v>
      </c>
      <c r="C5377" t="s">
        <v>40460</v>
      </c>
      <c r="D5377">
        <v>1037022454355</v>
      </c>
      <c r="E5377">
        <v>1</v>
      </c>
      <c r="F5377">
        <v>6094622436</v>
      </c>
      <c r="G5377">
        <v>779600</v>
      </c>
      <c r="H5377" t="s">
        <v>40293</v>
      </c>
      <c r="I5377">
        <v>35661</v>
      </c>
      <c r="J5377">
        <v>18</v>
      </c>
      <c r="K5377">
        <v>18</v>
      </c>
    </row>
    <row r="5378" spans="1:11">
      <c r="A5378">
        <v>90</v>
      </c>
      <c r="B5378" t="b">
        <v>0</v>
      </c>
      <c r="C5378" t="s">
        <v>41449</v>
      </c>
      <c r="D5378">
        <v>1037022454355</v>
      </c>
      <c r="E5378">
        <v>1</v>
      </c>
      <c r="F5378">
        <v>6117563441</v>
      </c>
      <c r="G5378">
        <v>735000</v>
      </c>
      <c r="H5378" t="s">
        <v>40293</v>
      </c>
      <c r="I5378">
        <v>35661</v>
      </c>
      <c r="J5378">
        <v>1</v>
      </c>
      <c r="K5378">
        <v>1</v>
      </c>
    </row>
    <row r="5379" spans="1:11">
      <c r="A5379">
        <v>90</v>
      </c>
      <c r="B5379" t="b">
        <v>0</v>
      </c>
      <c r="C5379" t="s">
        <v>40751</v>
      </c>
      <c r="D5379">
        <v>1037022454355</v>
      </c>
      <c r="E5379">
        <v>1</v>
      </c>
      <c r="F5379">
        <v>6121367575</v>
      </c>
      <c r="G5379">
        <v>733800</v>
      </c>
      <c r="H5379" t="s">
        <v>40293</v>
      </c>
      <c r="I5379">
        <v>35661</v>
      </c>
      <c r="J5379">
        <v>2</v>
      </c>
      <c r="K5379">
        <v>2</v>
      </c>
    </row>
    <row r="5380" spans="1:11">
      <c r="A5380">
        <v>90</v>
      </c>
      <c r="B5380" t="b">
        <v>0</v>
      </c>
      <c r="C5380" t="s">
        <v>42657</v>
      </c>
      <c r="D5380">
        <v>1037022454355</v>
      </c>
      <c r="E5380">
        <v>1</v>
      </c>
      <c r="F5380">
        <v>6126063889</v>
      </c>
      <c r="G5380">
        <v>723900</v>
      </c>
      <c r="H5380" t="s">
        <v>40293</v>
      </c>
      <c r="I5380">
        <v>35661</v>
      </c>
      <c r="J5380">
        <v>16</v>
      </c>
      <c r="K5380">
        <v>20</v>
      </c>
    </row>
    <row r="5381" spans="1:11">
      <c r="A5381">
        <v>90</v>
      </c>
      <c r="B5381" t="b">
        <v>0</v>
      </c>
      <c r="C5381" t="s">
        <v>43124</v>
      </c>
      <c r="D5381">
        <v>1037022454355</v>
      </c>
      <c r="E5381">
        <v>1</v>
      </c>
      <c r="F5381">
        <v>6137060287</v>
      </c>
      <c r="G5381">
        <v>722600</v>
      </c>
      <c r="H5381" t="s">
        <v>40293</v>
      </c>
      <c r="I5381">
        <v>35661</v>
      </c>
      <c r="J5381">
        <v>3</v>
      </c>
      <c r="K5381">
        <v>3</v>
      </c>
    </row>
    <row r="5382" spans="1:11">
      <c r="A5382">
        <v>90</v>
      </c>
      <c r="B5382" t="b">
        <v>0</v>
      </c>
      <c r="C5382" t="s">
        <v>42935</v>
      </c>
      <c r="D5382">
        <v>1037022454355</v>
      </c>
      <c r="E5382">
        <v>1</v>
      </c>
      <c r="F5382">
        <v>6076204399</v>
      </c>
      <c r="G5382">
        <v>720700</v>
      </c>
      <c r="H5382" t="s">
        <v>40293</v>
      </c>
      <c r="I5382">
        <v>35661</v>
      </c>
      <c r="J5382">
        <v>18</v>
      </c>
      <c r="K5382">
        <v>25</v>
      </c>
    </row>
    <row r="5383" spans="1:11">
      <c r="A5383">
        <v>90</v>
      </c>
      <c r="B5383" t="b">
        <v>0</v>
      </c>
      <c r="C5383" t="s">
        <v>43631</v>
      </c>
      <c r="D5383">
        <v>1037022454355</v>
      </c>
      <c r="E5383">
        <v>1</v>
      </c>
      <c r="F5383">
        <v>6077568377</v>
      </c>
      <c r="G5383">
        <v>720500</v>
      </c>
      <c r="H5383" t="s">
        <v>40293</v>
      </c>
      <c r="I5383">
        <v>35661</v>
      </c>
      <c r="J5383">
        <v>11</v>
      </c>
      <c r="K5383">
        <v>14</v>
      </c>
    </row>
    <row r="5384" spans="1:11">
      <c r="A5384">
        <v>90</v>
      </c>
      <c r="B5384" t="b">
        <v>0</v>
      </c>
      <c r="C5384" t="s">
        <v>44981</v>
      </c>
      <c r="D5384">
        <v>1037022454355</v>
      </c>
      <c r="E5384">
        <v>1</v>
      </c>
      <c r="F5384">
        <v>6156005564</v>
      </c>
      <c r="G5384">
        <v>720400</v>
      </c>
      <c r="H5384" t="s">
        <v>40293</v>
      </c>
      <c r="I5384">
        <v>35661</v>
      </c>
      <c r="J5384">
        <v>1</v>
      </c>
      <c r="K5384">
        <v>2</v>
      </c>
    </row>
    <row r="5385" spans="1:11">
      <c r="A5385">
        <v>90</v>
      </c>
      <c r="B5385" t="b">
        <v>0</v>
      </c>
      <c r="C5385" t="s">
        <v>40475</v>
      </c>
      <c r="D5385">
        <v>1037022454355</v>
      </c>
      <c r="E5385">
        <v>1</v>
      </c>
      <c r="F5385">
        <v>6094622864</v>
      </c>
      <c r="G5385">
        <v>774400</v>
      </c>
      <c r="H5385" t="s">
        <v>40293</v>
      </c>
      <c r="I5385">
        <v>35662</v>
      </c>
      <c r="J5385">
        <v>11</v>
      </c>
      <c r="K5385">
        <v>11</v>
      </c>
    </row>
    <row r="5386" spans="1:11">
      <c r="A5386">
        <v>90</v>
      </c>
      <c r="B5386" t="b">
        <v>0</v>
      </c>
      <c r="C5386" t="s">
        <v>40686</v>
      </c>
      <c r="D5386">
        <v>1037022454355</v>
      </c>
      <c r="E5386">
        <v>1</v>
      </c>
      <c r="F5386">
        <v>6070215146</v>
      </c>
      <c r="G5386">
        <v>748700</v>
      </c>
      <c r="H5386" t="s">
        <v>40293</v>
      </c>
      <c r="I5386">
        <v>35662</v>
      </c>
      <c r="J5386">
        <v>49</v>
      </c>
      <c r="K5386">
        <v>56</v>
      </c>
    </row>
    <row r="5387" spans="1:11">
      <c r="A5387">
        <v>90</v>
      </c>
      <c r="B5387" t="b">
        <v>0</v>
      </c>
      <c r="C5387" t="s">
        <v>45470</v>
      </c>
      <c r="D5387">
        <v>1037022454355</v>
      </c>
      <c r="E5387">
        <v>1</v>
      </c>
      <c r="F5387">
        <v>6150343205</v>
      </c>
      <c r="G5387">
        <v>704700</v>
      </c>
      <c r="H5387" t="s">
        <v>40293</v>
      </c>
      <c r="I5387">
        <v>35662</v>
      </c>
      <c r="J5387">
        <v>1</v>
      </c>
      <c r="K5387">
        <v>1</v>
      </c>
    </row>
    <row r="5388" spans="1:11">
      <c r="A5388">
        <v>90</v>
      </c>
      <c r="B5388" t="b">
        <v>0</v>
      </c>
      <c r="C5388" t="s">
        <v>43010</v>
      </c>
      <c r="D5388">
        <v>1037022454355</v>
      </c>
      <c r="E5388">
        <v>1</v>
      </c>
      <c r="F5388">
        <v>6138302674</v>
      </c>
      <c r="G5388">
        <v>700000</v>
      </c>
      <c r="H5388" t="s">
        <v>40293</v>
      </c>
      <c r="I5388">
        <v>35662</v>
      </c>
      <c r="J5388">
        <v>36</v>
      </c>
      <c r="K5388">
        <v>36</v>
      </c>
    </row>
    <row r="5389" spans="1:11">
      <c r="A5389">
        <v>90</v>
      </c>
      <c r="B5389" t="b">
        <v>0</v>
      </c>
      <c r="C5389" t="s">
        <v>45662</v>
      </c>
      <c r="D5389">
        <v>1037022454355</v>
      </c>
      <c r="E5389">
        <v>1</v>
      </c>
      <c r="F5389">
        <v>6152868660</v>
      </c>
      <c r="G5389">
        <v>699600</v>
      </c>
      <c r="H5389" t="s">
        <v>40293</v>
      </c>
      <c r="I5389">
        <v>35662</v>
      </c>
      <c r="J5389">
        <v>8</v>
      </c>
      <c r="K5389">
        <v>20</v>
      </c>
    </row>
    <row r="5390" spans="1:11">
      <c r="A5390">
        <v>90</v>
      </c>
      <c r="B5390" t="b">
        <v>0</v>
      </c>
      <c r="C5390" t="s">
        <v>45869</v>
      </c>
      <c r="D5390">
        <v>1037022454355</v>
      </c>
      <c r="E5390">
        <v>1</v>
      </c>
      <c r="F5390">
        <v>6150642748</v>
      </c>
      <c r="G5390">
        <v>76490000</v>
      </c>
      <c r="H5390" t="s">
        <v>40293</v>
      </c>
      <c r="I5390">
        <v>35683</v>
      </c>
      <c r="J5390">
        <v>2</v>
      </c>
      <c r="K5390">
        <v>2</v>
      </c>
    </row>
    <row r="5391" spans="1:11">
      <c r="A5391">
        <v>30</v>
      </c>
      <c r="B5391" t="b">
        <v>0</v>
      </c>
      <c r="C5391" t="s">
        <v>46322</v>
      </c>
      <c r="D5391">
        <v>1037022454355</v>
      </c>
      <c r="E5391">
        <v>1</v>
      </c>
      <c r="F5391">
        <v>6151435129</v>
      </c>
      <c r="G5391">
        <v>76470000</v>
      </c>
      <c r="H5391" t="s">
        <v>40293</v>
      </c>
      <c r="I5391">
        <v>35683</v>
      </c>
      <c r="J5391">
        <v>10</v>
      </c>
      <c r="K5391">
        <v>10</v>
      </c>
    </row>
    <row r="5392" spans="1:11">
      <c r="A5392">
        <v>90</v>
      </c>
      <c r="B5392" t="b">
        <v>0</v>
      </c>
      <c r="C5392" t="s">
        <v>45634</v>
      </c>
      <c r="D5392">
        <v>1037022454355</v>
      </c>
      <c r="E5392">
        <v>1</v>
      </c>
      <c r="F5392">
        <v>6153392495</v>
      </c>
      <c r="G5392">
        <v>75000000</v>
      </c>
      <c r="H5392" t="s">
        <v>40293</v>
      </c>
      <c r="I5392">
        <v>35683</v>
      </c>
      <c r="J5392">
        <v>2</v>
      </c>
      <c r="K5392">
        <v>3</v>
      </c>
    </row>
    <row r="5393" spans="1:11">
      <c r="A5393">
        <v>90</v>
      </c>
      <c r="B5393" t="b">
        <v>0</v>
      </c>
      <c r="C5393" t="s">
        <v>45584</v>
      </c>
      <c r="D5393">
        <v>1037022454355</v>
      </c>
      <c r="E5393">
        <v>1</v>
      </c>
      <c r="F5393">
        <v>6156312576</v>
      </c>
      <c r="G5393">
        <v>72000000</v>
      </c>
      <c r="H5393" t="s">
        <v>40293</v>
      </c>
      <c r="I5393">
        <v>35683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46375</v>
      </c>
      <c r="D5394">
        <v>1037022454355</v>
      </c>
      <c r="E5394">
        <v>1</v>
      </c>
      <c r="F5394">
        <v>6144423731</v>
      </c>
      <c r="G5394">
        <v>71960000</v>
      </c>
      <c r="H5394" t="s">
        <v>40293</v>
      </c>
      <c r="I5394">
        <v>35683</v>
      </c>
      <c r="J5394">
        <v>1</v>
      </c>
      <c r="K5394">
        <v>6</v>
      </c>
    </row>
    <row r="5395" spans="1:11">
      <c r="A5395">
        <v>30</v>
      </c>
      <c r="B5395" t="b">
        <v>0</v>
      </c>
      <c r="C5395" t="s">
        <v>46223</v>
      </c>
      <c r="D5395">
        <v>1037022454355</v>
      </c>
      <c r="E5395">
        <v>1</v>
      </c>
      <c r="F5395">
        <v>6146617050</v>
      </c>
      <c r="G5395">
        <v>71950000</v>
      </c>
      <c r="H5395" t="s">
        <v>40293</v>
      </c>
      <c r="I5395">
        <v>35683</v>
      </c>
      <c r="J5395">
        <v>2</v>
      </c>
      <c r="K5395">
        <v>10</v>
      </c>
    </row>
    <row r="5396" spans="1:11">
      <c r="A5396">
        <v>90</v>
      </c>
      <c r="B5396" t="b">
        <v>0</v>
      </c>
      <c r="C5396" t="s">
        <v>41101</v>
      </c>
      <c r="D5396">
        <v>1037022454355</v>
      </c>
      <c r="E5396">
        <v>1</v>
      </c>
      <c r="F5396">
        <v>6121342782</v>
      </c>
      <c r="G5396">
        <v>1000000</v>
      </c>
      <c r="H5396" t="s">
        <v>40293</v>
      </c>
      <c r="I5396">
        <v>35770</v>
      </c>
      <c r="J5396">
        <v>13</v>
      </c>
      <c r="K5396">
        <v>13</v>
      </c>
    </row>
    <row r="5397" spans="1:11">
      <c r="A5397">
        <v>90</v>
      </c>
      <c r="B5397" t="b">
        <v>0</v>
      </c>
      <c r="C5397" t="s">
        <v>41356</v>
      </c>
      <c r="D5397">
        <v>1037022454355</v>
      </c>
      <c r="E5397">
        <v>1</v>
      </c>
      <c r="F5397">
        <v>6124009756</v>
      </c>
      <c r="G5397">
        <v>500000</v>
      </c>
      <c r="H5397" t="s">
        <v>40293</v>
      </c>
      <c r="I5397">
        <v>35770</v>
      </c>
      <c r="J5397">
        <v>6</v>
      </c>
      <c r="K5397">
        <v>6</v>
      </c>
    </row>
    <row r="5398" spans="1:11">
      <c r="A5398">
        <v>90</v>
      </c>
      <c r="B5398" t="b">
        <v>0</v>
      </c>
      <c r="C5398" t="s">
        <v>43302</v>
      </c>
      <c r="D5398">
        <v>1037022454355</v>
      </c>
      <c r="E5398">
        <v>1</v>
      </c>
      <c r="F5398">
        <v>6145912452</v>
      </c>
      <c r="G5398">
        <v>400000</v>
      </c>
      <c r="H5398" t="s">
        <v>40293</v>
      </c>
      <c r="I5398">
        <v>35770</v>
      </c>
      <c r="J5398">
        <v>30</v>
      </c>
      <c r="K5398">
        <v>30</v>
      </c>
    </row>
    <row r="5399" spans="1:11">
      <c r="A5399">
        <v>90</v>
      </c>
      <c r="B5399" t="b">
        <v>0</v>
      </c>
      <c r="C5399" t="s">
        <v>44476</v>
      </c>
      <c r="D5399">
        <v>1037022454355</v>
      </c>
      <c r="E5399">
        <v>1</v>
      </c>
      <c r="F5399">
        <v>6124312614</v>
      </c>
      <c r="G5399">
        <v>399900</v>
      </c>
      <c r="H5399" t="s">
        <v>40293</v>
      </c>
      <c r="I5399">
        <v>35770</v>
      </c>
      <c r="J5399">
        <v>5</v>
      </c>
      <c r="K5399">
        <v>10</v>
      </c>
    </row>
    <row r="5400" spans="1:11">
      <c r="A5400">
        <v>90</v>
      </c>
      <c r="B5400" t="b">
        <v>0</v>
      </c>
      <c r="C5400" t="s">
        <v>43013</v>
      </c>
      <c r="D5400">
        <v>1037022454355</v>
      </c>
      <c r="E5400">
        <v>1</v>
      </c>
      <c r="F5400">
        <v>6141060230</v>
      </c>
      <c r="G5400">
        <v>1750000</v>
      </c>
      <c r="H5400" t="s">
        <v>40293</v>
      </c>
      <c r="I5400">
        <v>35771</v>
      </c>
      <c r="J5400">
        <v>2</v>
      </c>
      <c r="K5400">
        <v>35</v>
      </c>
    </row>
    <row r="5401" spans="1:11">
      <c r="A5401">
        <v>90</v>
      </c>
      <c r="B5401" t="b">
        <v>0</v>
      </c>
      <c r="C5401" t="s">
        <v>46193</v>
      </c>
      <c r="D5401">
        <v>1037022454355</v>
      </c>
      <c r="E5401">
        <v>1</v>
      </c>
      <c r="F5401">
        <v>6148549929</v>
      </c>
      <c r="G5401">
        <v>400000</v>
      </c>
      <c r="H5401" t="s">
        <v>40293</v>
      </c>
      <c r="I5401">
        <v>35772</v>
      </c>
      <c r="J5401">
        <v>4</v>
      </c>
      <c r="K5401">
        <v>4</v>
      </c>
    </row>
    <row r="5402" spans="1:11">
      <c r="A5402">
        <v>90</v>
      </c>
      <c r="B5402" t="b">
        <v>0</v>
      </c>
      <c r="C5402" t="s">
        <v>43242</v>
      </c>
      <c r="D5402">
        <v>1037022454355</v>
      </c>
      <c r="E5402">
        <v>1</v>
      </c>
      <c r="F5402">
        <v>6073854275</v>
      </c>
      <c r="G5402">
        <v>300100</v>
      </c>
      <c r="H5402" t="s">
        <v>40293</v>
      </c>
      <c r="I5402">
        <v>35774</v>
      </c>
      <c r="J5402">
        <v>27</v>
      </c>
      <c r="K5402">
        <v>56</v>
      </c>
    </row>
    <row r="5403" spans="1:11">
      <c r="A5403">
        <v>90</v>
      </c>
      <c r="B5403" t="b">
        <v>0</v>
      </c>
      <c r="C5403" t="s">
        <v>42050</v>
      </c>
      <c r="D5403">
        <v>1037022454355</v>
      </c>
      <c r="E5403">
        <v>1</v>
      </c>
      <c r="F5403">
        <v>6130767374</v>
      </c>
      <c r="G5403">
        <v>290000</v>
      </c>
      <c r="H5403" t="s">
        <v>40293</v>
      </c>
      <c r="I5403">
        <v>35774</v>
      </c>
      <c r="J5403">
        <v>141</v>
      </c>
      <c r="K5403">
        <v>141</v>
      </c>
    </row>
    <row r="5404" spans="1:11">
      <c r="A5404">
        <v>90</v>
      </c>
      <c r="B5404" t="b">
        <v>0</v>
      </c>
      <c r="C5404" t="s">
        <v>42354</v>
      </c>
      <c r="D5404">
        <v>1037022454355</v>
      </c>
      <c r="E5404">
        <v>1</v>
      </c>
      <c r="F5404">
        <v>6128702178</v>
      </c>
      <c r="G5404">
        <v>289900</v>
      </c>
      <c r="H5404" t="s">
        <v>40293</v>
      </c>
      <c r="I5404">
        <v>35774</v>
      </c>
      <c r="J5404">
        <v>1</v>
      </c>
      <c r="K5404">
        <v>6</v>
      </c>
    </row>
    <row r="5405" spans="1:11">
      <c r="A5405">
        <v>90</v>
      </c>
      <c r="B5405" t="b">
        <v>0</v>
      </c>
      <c r="C5405" t="s">
        <v>43217</v>
      </c>
      <c r="D5405">
        <v>1037022454355</v>
      </c>
      <c r="E5405">
        <v>1</v>
      </c>
      <c r="F5405">
        <v>6143911687</v>
      </c>
      <c r="G5405">
        <v>244500</v>
      </c>
      <c r="H5405" t="s">
        <v>40293</v>
      </c>
      <c r="I5405">
        <v>35774</v>
      </c>
      <c r="J5405">
        <v>4</v>
      </c>
      <c r="K5405">
        <v>4</v>
      </c>
    </row>
    <row r="5406" spans="1:11">
      <c r="A5406">
        <v>90</v>
      </c>
      <c r="B5406" t="b">
        <v>0</v>
      </c>
      <c r="C5406" t="s">
        <v>45222</v>
      </c>
      <c r="D5406">
        <v>1037022454355</v>
      </c>
      <c r="E5406">
        <v>1</v>
      </c>
      <c r="F5406">
        <v>6153420134</v>
      </c>
      <c r="G5406">
        <v>244000</v>
      </c>
      <c r="H5406" t="s">
        <v>40293</v>
      </c>
      <c r="I5406">
        <v>35774</v>
      </c>
      <c r="J5406">
        <v>1</v>
      </c>
      <c r="K5406">
        <v>2</v>
      </c>
    </row>
    <row r="5407" spans="1:11">
      <c r="A5407">
        <v>90</v>
      </c>
      <c r="B5407" t="b">
        <v>0</v>
      </c>
      <c r="C5407" t="s">
        <v>42925</v>
      </c>
      <c r="D5407">
        <v>1037022454355</v>
      </c>
      <c r="E5407">
        <v>1</v>
      </c>
      <c r="F5407">
        <v>6143476962</v>
      </c>
      <c r="G5407">
        <v>100000</v>
      </c>
      <c r="H5407" t="s">
        <v>40293</v>
      </c>
      <c r="I5407">
        <v>35788</v>
      </c>
      <c r="J5407">
        <v>99</v>
      </c>
      <c r="K5407">
        <v>100</v>
      </c>
    </row>
    <row r="5408" spans="1:11">
      <c r="A5408">
        <v>90</v>
      </c>
      <c r="B5408" t="b">
        <v>0</v>
      </c>
      <c r="C5408" t="s">
        <v>43062</v>
      </c>
      <c r="D5408">
        <v>1037022454355</v>
      </c>
      <c r="E5408">
        <v>1</v>
      </c>
      <c r="F5408">
        <v>6142974191</v>
      </c>
      <c r="G5408">
        <v>99990</v>
      </c>
      <c r="H5408" t="s">
        <v>40293</v>
      </c>
      <c r="I5408">
        <v>35788</v>
      </c>
      <c r="J5408">
        <v>17</v>
      </c>
      <c r="K5408">
        <v>23</v>
      </c>
    </row>
    <row r="5409" spans="1:11">
      <c r="A5409">
        <v>90</v>
      </c>
      <c r="B5409" t="b">
        <v>0</v>
      </c>
      <c r="C5409" t="s">
        <v>42262</v>
      </c>
      <c r="D5409">
        <v>1037022454355</v>
      </c>
      <c r="E5409">
        <v>1</v>
      </c>
      <c r="F5409">
        <v>6130071707</v>
      </c>
      <c r="G5409">
        <v>8500000</v>
      </c>
      <c r="H5409" t="s">
        <v>40293</v>
      </c>
      <c r="I5409">
        <v>35789</v>
      </c>
      <c r="J5409">
        <v>5</v>
      </c>
      <c r="K5409">
        <v>6</v>
      </c>
    </row>
    <row r="5410" spans="1:11">
      <c r="A5410">
        <v>7</v>
      </c>
      <c r="B5410" t="b">
        <v>0</v>
      </c>
      <c r="C5410" t="s">
        <v>45985</v>
      </c>
      <c r="D5410">
        <v>1037022454355</v>
      </c>
      <c r="E5410">
        <v>1</v>
      </c>
      <c r="F5410">
        <v>6152562518</v>
      </c>
      <c r="G5410">
        <v>2860000</v>
      </c>
      <c r="H5410" t="s">
        <v>40293</v>
      </c>
      <c r="I5410">
        <v>35790</v>
      </c>
      <c r="J5410">
        <v>1</v>
      </c>
      <c r="K5410">
        <v>1</v>
      </c>
    </row>
    <row r="5411" spans="1:11">
      <c r="A5411">
        <v>30</v>
      </c>
      <c r="B5411" t="b">
        <v>0</v>
      </c>
      <c r="C5411" t="s">
        <v>45283</v>
      </c>
      <c r="D5411">
        <v>1037022454355</v>
      </c>
      <c r="E5411">
        <v>1</v>
      </c>
      <c r="F5411">
        <v>6151291157</v>
      </c>
      <c r="G5411">
        <v>2855000</v>
      </c>
      <c r="H5411" t="s">
        <v>40293</v>
      </c>
      <c r="I5411">
        <v>35790</v>
      </c>
      <c r="J5411">
        <v>3</v>
      </c>
      <c r="K5411">
        <v>5</v>
      </c>
    </row>
    <row r="5412" spans="1:11">
      <c r="A5412">
        <v>14</v>
      </c>
      <c r="B5412" t="b">
        <v>0</v>
      </c>
      <c r="C5412" t="s">
        <v>45005</v>
      </c>
      <c r="D5412">
        <v>1037022454355</v>
      </c>
      <c r="E5412">
        <v>1</v>
      </c>
      <c r="F5412">
        <v>6156109887</v>
      </c>
      <c r="G5412">
        <v>2849000</v>
      </c>
      <c r="H5412" t="s">
        <v>40293</v>
      </c>
      <c r="I5412">
        <v>35790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46442</v>
      </c>
      <c r="D5413">
        <v>1037022454355</v>
      </c>
      <c r="E5413">
        <v>1</v>
      </c>
      <c r="F5413">
        <v>6152944327</v>
      </c>
      <c r="G5413">
        <v>2648000</v>
      </c>
      <c r="H5413" t="s">
        <v>40293</v>
      </c>
      <c r="I5413">
        <v>35790</v>
      </c>
      <c r="J5413">
        <v>17</v>
      </c>
      <c r="K5413">
        <v>25</v>
      </c>
    </row>
    <row r="5414" spans="1:11">
      <c r="A5414">
        <v>90</v>
      </c>
      <c r="B5414" t="b">
        <v>0</v>
      </c>
      <c r="C5414" t="s">
        <v>45241</v>
      </c>
      <c r="D5414">
        <v>1037022454355</v>
      </c>
      <c r="E5414">
        <v>1</v>
      </c>
      <c r="F5414">
        <v>6149750351</v>
      </c>
      <c r="G5414">
        <v>2647000</v>
      </c>
      <c r="H5414" t="s">
        <v>40293</v>
      </c>
      <c r="I5414">
        <v>35790</v>
      </c>
      <c r="J5414">
        <v>4</v>
      </c>
      <c r="K5414">
        <v>24</v>
      </c>
    </row>
    <row r="5415" spans="1:11">
      <c r="A5415">
        <v>90</v>
      </c>
      <c r="B5415" t="b">
        <v>0</v>
      </c>
      <c r="C5415" t="s">
        <v>46193</v>
      </c>
      <c r="D5415">
        <v>1037022454355</v>
      </c>
      <c r="E5415">
        <v>1</v>
      </c>
      <c r="F5415">
        <v>6148549928</v>
      </c>
      <c r="G5415">
        <v>400000</v>
      </c>
      <c r="H5415" t="s">
        <v>40293</v>
      </c>
      <c r="I5415">
        <v>35791</v>
      </c>
      <c r="J5415">
        <v>4</v>
      </c>
      <c r="K5415">
        <v>4</v>
      </c>
    </row>
    <row r="5416" spans="1:11">
      <c r="A5416">
        <v>90</v>
      </c>
      <c r="B5416" t="b">
        <v>0</v>
      </c>
      <c r="C5416" t="s">
        <v>41029</v>
      </c>
      <c r="D5416">
        <v>1037022454355</v>
      </c>
      <c r="E5416">
        <v>1</v>
      </c>
      <c r="F5416">
        <v>6067863918</v>
      </c>
      <c r="G5416">
        <v>39980</v>
      </c>
      <c r="H5416" t="s">
        <v>40293</v>
      </c>
      <c r="I5416">
        <v>35794</v>
      </c>
      <c r="J5416">
        <v>109</v>
      </c>
      <c r="K5416">
        <v>500</v>
      </c>
    </row>
    <row r="5417" spans="1:11">
      <c r="A5417">
        <v>90</v>
      </c>
      <c r="B5417" t="b">
        <v>0</v>
      </c>
      <c r="C5417" t="s">
        <v>45978</v>
      </c>
      <c r="D5417">
        <v>1037022454355</v>
      </c>
      <c r="E5417">
        <v>1</v>
      </c>
      <c r="F5417">
        <v>6153101583</v>
      </c>
      <c r="G5417">
        <v>39000</v>
      </c>
      <c r="H5417" t="s">
        <v>40293</v>
      </c>
      <c r="I5417">
        <v>35794</v>
      </c>
      <c r="J5417">
        <v>25</v>
      </c>
      <c r="K5417">
        <v>25</v>
      </c>
    </row>
    <row r="5418" spans="1:11">
      <c r="A5418">
        <v>7</v>
      </c>
      <c r="B5418" t="b">
        <v>0</v>
      </c>
      <c r="C5418" t="s">
        <v>44934</v>
      </c>
      <c r="D5418">
        <v>1037022454355</v>
      </c>
      <c r="E5418">
        <v>1</v>
      </c>
      <c r="F5418">
        <v>6153055931</v>
      </c>
      <c r="G5418">
        <v>27000</v>
      </c>
      <c r="H5418" t="s">
        <v>40293</v>
      </c>
      <c r="I5418">
        <v>35794</v>
      </c>
      <c r="J5418">
        <v>13</v>
      </c>
      <c r="K5418">
        <v>49</v>
      </c>
    </row>
    <row r="5419" spans="1:11">
      <c r="A5419">
        <v>90</v>
      </c>
      <c r="B5419" t="b">
        <v>0</v>
      </c>
      <c r="C5419" t="s">
        <v>40504</v>
      </c>
      <c r="D5419">
        <v>1037022454355</v>
      </c>
      <c r="E5419">
        <v>1</v>
      </c>
      <c r="F5419">
        <v>6089380741</v>
      </c>
      <c r="G5419">
        <v>193600</v>
      </c>
      <c r="H5419" t="s">
        <v>40293</v>
      </c>
      <c r="I5419">
        <v>35795</v>
      </c>
      <c r="J5419">
        <v>1</v>
      </c>
      <c r="K5419">
        <v>1</v>
      </c>
    </row>
    <row r="5420" spans="1:11">
      <c r="A5420">
        <v>90</v>
      </c>
      <c r="B5420" t="b">
        <v>0</v>
      </c>
      <c r="C5420" t="s">
        <v>41032</v>
      </c>
      <c r="D5420">
        <v>1037022454355</v>
      </c>
      <c r="E5420">
        <v>1</v>
      </c>
      <c r="F5420">
        <v>6067863965</v>
      </c>
      <c r="G5420">
        <v>180700</v>
      </c>
      <c r="H5420" t="s">
        <v>40293</v>
      </c>
      <c r="I5420">
        <v>35795</v>
      </c>
      <c r="J5420">
        <v>347</v>
      </c>
      <c r="K5420">
        <v>464</v>
      </c>
    </row>
    <row r="5421" spans="1:11">
      <c r="A5421">
        <v>90</v>
      </c>
      <c r="B5421" t="b">
        <v>0</v>
      </c>
      <c r="C5421" t="s">
        <v>43132</v>
      </c>
      <c r="D5421">
        <v>1037022454355</v>
      </c>
      <c r="E5421">
        <v>1</v>
      </c>
      <c r="F5421">
        <v>6138305708</v>
      </c>
      <c r="G5421">
        <v>150000</v>
      </c>
      <c r="H5421" t="s">
        <v>40293</v>
      </c>
      <c r="I5421">
        <v>35795</v>
      </c>
      <c r="J5421">
        <v>998</v>
      </c>
      <c r="K5421">
        <v>998</v>
      </c>
    </row>
    <row r="5422" spans="1:11">
      <c r="A5422">
        <v>30</v>
      </c>
      <c r="B5422" t="b">
        <v>0</v>
      </c>
      <c r="C5422" t="s">
        <v>44988</v>
      </c>
      <c r="D5422">
        <v>1037022454355</v>
      </c>
      <c r="E5422">
        <v>1</v>
      </c>
      <c r="F5422">
        <v>6134477070</v>
      </c>
      <c r="G5422">
        <v>132500</v>
      </c>
      <c r="H5422" t="s">
        <v>40293</v>
      </c>
      <c r="I5422">
        <v>35795</v>
      </c>
      <c r="J5422">
        <v>48</v>
      </c>
      <c r="K5422">
        <v>80</v>
      </c>
    </row>
    <row r="5423" spans="1:11">
      <c r="A5423">
        <v>90</v>
      </c>
      <c r="B5423" t="b">
        <v>0</v>
      </c>
      <c r="C5423" t="s">
        <v>45965</v>
      </c>
      <c r="D5423">
        <v>1037022454355</v>
      </c>
      <c r="E5423">
        <v>1</v>
      </c>
      <c r="F5423">
        <v>6153101433</v>
      </c>
      <c r="G5423">
        <v>132400</v>
      </c>
      <c r="H5423" t="s">
        <v>40293</v>
      </c>
      <c r="I5423">
        <v>35795</v>
      </c>
      <c r="J5423">
        <v>19</v>
      </c>
      <c r="K5423">
        <v>49</v>
      </c>
    </row>
    <row r="5424" spans="1:11">
      <c r="A5424">
        <v>90</v>
      </c>
      <c r="B5424" t="b">
        <v>0</v>
      </c>
      <c r="C5424" t="s">
        <v>41681</v>
      </c>
      <c r="D5424">
        <v>1037022454355</v>
      </c>
      <c r="E5424">
        <v>1</v>
      </c>
      <c r="F5424">
        <v>6091044916</v>
      </c>
      <c r="G5424">
        <v>499900000</v>
      </c>
      <c r="H5424" t="s">
        <v>40293</v>
      </c>
      <c r="I5424">
        <v>35825</v>
      </c>
      <c r="J5424">
        <v>1</v>
      </c>
      <c r="K5424">
        <v>1</v>
      </c>
    </row>
    <row r="5425" spans="1:11">
      <c r="A5425">
        <v>90</v>
      </c>
      <c r="B5425" t="b">
        <v>0</v>
      </c>
      <c r="C5425" t="s">
        <v>46216</v>
      </c>
      <c r="D5425">
        <v>1037022454355</v>
      </c>
      <c r="E5425">
        <v>1</v>
      </c>
      <c r="F5425">
        <v>6148288137</v>
      </c>
      <c r="G5425">
        <v>600000000</v>
      </c>
      <c r="H5425" t="s">
        <v>40293</v>
      </c>
      <c r="I5425">
        <v>35835</v>
      </c>
      <c r="J5425">
        <v>11</v>
      </c>
      <c r="K5425">
        <v>11</v>
      </c>
    </row>
    <row r="5426" spans="1:11">
      <c r="A5426">
        <v>90</v>
      </c>
      <c r="B5426" t="b">
        <v>0</v>
      </c>
      <c r="C5426" t="s">
        <v>42237</v>
      </c>
      <c r="D5426">
        <v>1037022454355</v>
      </c>
      <c r="E5426">
        <v>1</v>
      </c>
      <c r="F5426">
        <v>6069055851</v>
      </c>
      <c r="G5426">
        <v>132000000</v>
      </c>
      <c r="H5426" t="s">
        <v>40293</v>
      </c>
      <c r="I5426">
        <v>35923</v>
      </c>
      <c r="J5426">
        <v>1</v>
      </c>
      <c r="K5426">
        <v>1</v>
      </c>
    </row>
    <row r="5427" spans="1:11">
      <c r="A5427">
        <v>90</v>
      </c>
      <c r="B5427" t="b">
        <v>0</v>
      </c>
      <c r="C5427" t="s">
        <v>40589</v>
      </c>
      <c r="D5427">
        <v>1037022454355</v>
      </c>
      <c r="E5427">
        <v>1</v>
      </c>
      <c r="F5427">
        <v>6080731753</v>
      </c>
      <c r="G5427">
        <v>22890000</v>
      </c>
      <c r="H5427" t="s">
        <v>40293</v>
      </c>
      <c r="I5427">
        <v>35940</v>
      </c>
      <c r="J5427">
        <v>2</v>
      </c>
      <c r="K5427">
        <v>2</v>
      </c>
    </row>
    <row r="5428" spans="1:11">
      <c r="A5428">
        <v>90</v>
      </c>
      <c r="B5428" t="b">
        <v>0</v>
      </c>
      <c r="C5428" t="s">
        <v>40617</v>
      </c>
      <c r="D5428">
        <v>1037022454355</v>
      </c>
      <c r="E5428">
        <v>1</v>
      </c>
      <c r="F5428">
        <v>6069755045</v>
      </c>
      <c r="G5428">
        <v>22700000</v>
      </c>
      <c r="H5428" t="s">
        <v>40293</v>
      </c>
      <c r="I5428">
        <v>35940</v>
      </c>
      <c r="J5428">
        <v>1</v>
      </c>
      <c r="K5428">
        <v>1</v>
      </c>
    </row>
    <row r="5429" spans="1:11">
      <c r="A5429">
        <v>90</v>
      </c>
      <c r="B5429" t="b">
        <v>0</v>
      </c>
      <c r="C5429" t="s">
        <v>43395</v>
      </c>
      <c r="D5429">
        <v>1037022454355</v>
      </c>
      <c r="E5429">
        <v>1</v>
      </c>
      <c r="F5429">
        <v>6139241648</v>
      </c>
      <c r="G5429">
        <v>130000000</v>
      </c>
      <c r="H5429" t="s">
        <v>40293</v>
      </c>
      <c r="I5429">
        <v>35944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41372</v>
      </c>
      <c r="D5430">
        <v>1037022454355</v>
      </c>
      <c r="E5430">
        <v>1</v>
      </c>
      <c r="F5430">
        <v>6072064761</v>
      </c>
      <c r="G5430">
        <v>28990000</v>
      </c>
      <c r="H5430" t="s">
        <v>40293</v>
      </c>
      <c r="I5430">
        <v>35959</v>
      </c>
      <c r="J5430">
        <v>5</v>
      </c>
      <c r="K5430">
        <v>5</v>
      </c>
    </row>
    <row r="5431" spans="1:11">
      <c r="A5431">
        <v>90</v>
      </c>
      <c r="B5431" t="b">
        <v>0</v>
      </c>
      <c r="C5431" t="s">
        <v>43750</v>
      </c>
      <c r="D5431">
        <v>1037022454355</v>
      </c>
      <c r="E5431">
        <v>1</v>
      </c>
      <c r="F5431">
        <v>6139241856</v>
      </c>
      <c r="G5431">
        <v>20000000</v>
      </c>
      <c r="H5431" t="s">
        <v>40293</v>
      </c>
      <c r="I5431">
        <v>35963</v>
      </c>
      <c r="J5431">
        <v>2</v>
      </c>
      <c r="K5431">
        <v>2</v>
      </c>
    </row>
    <row r="5432" spans="1:11">
      <c r="A5432">
        <v>90</v>
      </c>
      <c r="B5432" t="b">
        <v>0</v>
      </c>
      <c r="C5432" t="s">
        <v>41393</v>
      </c>
      <c r="D5432">
        <v>1037022454355</v>
      </c>
      <c r="E5432">
        <v>1</v>
      </c>
      <c r="F5432">
        <v>6094688104</v>
      </c>
      <c r="G5432">
        <v>30000000</v>
      </c>
      <c r="H5432" t="s">
        <v>40293</v>
      </c>
      <c r="I5432">
        <v>36358</v>
      </c>
      <c r="J5432">
        <v>1</v>
      </c>
      <c r="K5432">
        <v>1</v>
      </c>
    </row>
    <row r="5433" spans="1:11">
      <c r="A5433">
        <v>90</v>
      </c>
      <c r="B5433" t="b">
        <v>0</v>
      </c>
      <c r="C5433" t="s">
        <v>41830</v>
      </c>
      <c r="D5433">
        <v>1037022454355</v>
      </c>
      <c r="E5433">
        <v>1</v>
      </c>
      <c r="F5433">
        <v>6127460009</v>
      </c>
      <c r="G5433">
        <v>27290000</v>
      </c>
      <c r="H5433" t="s">
        <v>40293</v>
      </c>
      <c r="I5433">
        <v>36908</v>
      </c>
      <c r="J5433">
        <v>2</v>
      </c>
      <c r="K5433">
        <v>4</v>
      </c>
    </row>
    <row r="5434" spans="1:11">
      <c r="A5434">
        <v>90</v>
      </c>
      <c r="B5434" t="b">
        <v>0</v>
      </c>
      <c r="C5434" t="s">
        <v>41955</v>
      </c>
      <c r="D5434">
        <v>1037022454355</v>
      </c>
      <c r="E5434">
        <v>1</v>
      </c>
      <c r="F5434">
        <v>6127314912</v>
      </c>
      <c r="G5434">
        <v>37900000</v>
      </c>
      <c r="H5434" t="s">
        <v>40293</v>
      </c>
      <c r="I5434">
        <v>36910</v>
      </c>
      <c r="J5434">
        <v>1</v>
      </c>
      <c r="K5434">
        <v>4</v>
      </c>
    </row>
    <row r="5435" spans="1:11">
      <c r="A5435">
        <v>30</v>
      </c>
      <c r="B5435" t="b">
        <v>0</v>
      </c>
      <c r="C5435" t="s">
        <v>44525</v>
      </c>
      <c r="D5435">
        <v>1037022454355</v>
      </c>
      <c r="E5435">
        <v>1</v>
      </c>
      <c r="F5435">
        <v>6156398373</v>
      </c>
      <c r="G5435">
        <v>29990000</v>
      </c>
      <c r="H5435" t="s">
        <v>40293</v>
      </c>
      <c r="I5435">
        <v>37135</v>
      </c>
      <c r="J5435">
        <v>2</v>
      </c>
      <c r="K5435">
        <v>2</v>
      </c>
    </row>
    <row r="5436" spans="1:11">
      <c r="A5436">
        <v>90</v>
      </c>
      <c r="B5436" t="b">
        <v>0</v>
      </c>
      <c r="C5436" t="s">
        <v>40765</v>
      </c>
      <c r="D5436">
        <v>1037022454355</v>
      </c>
      <c r="E5436">
        <v>1</v>
      </c>
      <c r="F5436">
        <v>6088534438</v>
      </c>
      <c r="G5436">
        <v>29990000</v>
      </c>
      <c r="H5436" t="s">
        <v>40293</v>
      </c>
      <c r="I5436">
        <v>37135</v>
      </c>
      <c r="J5436">
        <v>10</v>
      </c>
      <c r="K5436">
        <v>22</v>
      </c>
    </row>
    <row r="5437" spans="1:11">
      <c r="A5437">
        <v>90</v>
      </c>
      <c r="B5437" t="b">
        <v>0</v>
      </c>
      <c r="C5437" t="s">
        <v>44573</v>
      </c>
      <c r="D5437">
        <v>1037022454355</v>
      </c>
      <c r="E5437">
        <v>1</v>
      </c>
      <c r="F5437">
        <v>6104063321</v>
      </c>
      <c r="G5437">
        <v>55000000</v>
      </c>
      <c r="H5437" t="s">
        <v>40293</v>
      </c>
      <c r="I5437">
        <v>37291</v>
      </c>
      <c r="J5437">
        <v>3</v>
      </c>
      <c r="K5437">
        <v>3</v>
      </c>
    </row>
    <row r="5438" spans="1:11">
      <c r="A5438">
        <v>30</v>
      </c>
      <c r="B5438" t="b">
        <v>0</v>
      </c>
      <c r="C5438" t="s">
        <v>45469</v>
      </c>
      <c r="D5438">
        <v>1037022454355</v>
      </c>
      <c r="E5438">
        <v>1</v>
      </c>
      <c r="F5438">
        <v>6148508195</v>
      </c>
      <c r="G5438">
        <v>340400000</v>
      </c>
      <c r="H5438" t="s">
        <v>40293</v>
      </c>
      <c r="I5438">
        <v>37292</v>
      </c>
      <c r="J5438">
        <v>5</v>
      </c>
      <c r="K5438">
        <v>5</v>
      </c>
    </row>
    <row r="5439" spans="1:11">
      <c r="A5439">
        <v>90</v>
      </c>
      <c r="B5439" t="b">
        <v>0</v>
      </c>
      <c r="C5439" t="s">
        <v>40926</v>
      </c>
      <c r="D5439">
        <v>1037022454355</v>
      </c>
      <c r="E5439">
        <v>1</v>
      </c>
      <c r="F5439">
        <v>6090045587</v>
      </c>
      <c r="G5439">
        <v>310000000</v>
      </c>
      <c r="H5439" t="s">
        <v>40293</v>
      </c>
      <c r="I5439">
        <v>37294</v>
      </c>
      <c r="J5439">
        <v>5</v>
      </c>
      <c r="K5439">
        <v>8</v>
      </c>
    </row>
    <row r="5440" spans="1:11">
      <c r="A5440">
        <v>90</v>
      </c>
      <c r="B5440" t="b">
        <v>0</v>
      </c>
      <c r="C5440" t="s">
        <v>44148</v>
      </c>
      <c r="D5440">
        <v>1037022454355</v>
      </c>
      <c r="E5440">
        <v>1</v>
      </c>
      <c r="F5440">
        <v>6153864629</v>
      </c>
      <c r="G5440">
        <v>353100000</v>
      </c>
      <c r="H5440" t="s">
        <v>40293</v>
      </c>
      <c r="I5440">
        <v>37296</v>
      </c>
      <c r="J5440">
        <v>3</v>
      </c>
      <c r="K5440">
        <v>3</v>
      </c>
    </row>
    <row r="5441" spans="1:11">
      <c r="A5441">
        <v>30</v>
      </c>
      <c r="B5441" t="b">
        <v>0</v>
      </c>
      <c r="C5441" t="s">
        <v>44212</v>
      </c>
      <c r="D5441">
        <v>1037022454355</v>
      </c>
      <c r="E5441">
        <v>1</v>
      </c>
      <c r="F5441">
        <v>6148458827</v>
      </c>
      <c r="G5441">
        <v>388500000</v>
      </c>
      <c r="H5441" t="s">
        <v>40293</v>
      </c>
      <c r="I5441">
        <v>37298</v>
      </c>
      <c r="J5441">
        <v>5</v>
      </c>
      <c r="K5441">
        <v>5</v>
      </c>
    </row>
    <row r="5442" spans="1:11">
      <c r="A5442">
        <v>90</v>
      </c>
      <c r="B5442" t="b">
        <v>0</v>
      </c>
      <c r="C5442" t="s">
        <v>40948</v>
      </c>
      <c r="D5442">
        <v>1037022454355</v>
      </c>
      <c r="E5442">
        <v>1</v>
      </c>
      <c r="F5442">
        <v>6077954799</v>
      </c>
      <c r="G5442">
        <v>330000000</v>
      </c>
      <c r="H5442" t="s">
        <v>40293</v>
      </c>
      <c r="I5442">
        <v>37299</v>
      </c>
      <c r="J5442">
        <v>3</v>
      </c>
      <c r="K5442">
        <v>3</v>
      </c>
    </row>
    <row r="5443" spans="1:11">
      <c r="A5443">
        <v>90</v>
      </c>
      <c r="B5443" t="b">
        <v>0</v>
      </c>
      <c r="C5443" t="s">
        <v>43938</v>
      </c>
      <c r="D5443">
        <v>1037022454355</v>
      </c>
      <c r="E5443">
        <v>1</v>
      </c>
      <c r="F5443">
        <v>6146882311</v>
      </c>
      <c r="G5443">
        <v>329000000</v>
      </c>
      <c r="H5443" t="s">
        <v>40293</v>
      </c>
      <c r="I5443">
        <v>37299</v>
      </c>
      <c r="J5443">
        <v>9</v>
      </c>
      <c r="K5443">
        <v>9</v>
      </c>
    </row>
    <row r="5444" spans="1:11">
      <c r="A5444">
        <v>90</v>
      </c>
      <c r="B5444" t="b">
        <v>0</v>
      </c>
      <c r="C5444" t="s">
        <v>44148</v>
      </c>
      <c r="D5444">
        <v>1037022454355</v>
      </c>
      <c r="E5444">
        <v>1</v>
      </c>
      <c r="F5444">
        <v>6153864627</v>
      </c>
      <c r="G5444">
        <v>328000000</v>
      </c>
      <c r="H5444" t="s">
        <v>40293</v>
      </c>
      <c r="I5444">
        <v>37299</v>
      </c>
      <c r="J5444">
        <v>3</v>
      </c>
      <c r="K5444">
        <v>3</v>
      </c>
    </row>
    <row r="5445" spans="1:11">
      <c r="A5445">
        <v>90</v>
      </c>
      <c r="B5445" t="b">
        <v>0</v>
      </c>
      <c r="C5445" t="s">
        <v>44584</v>
      </c>
      <c r="D5445">
        <v>1037022454355</v>
      </c>
      <c r="E5445">
        <v>1</v>
      </c>
      <c r="F5445">
        <v>6104063522</v>
      </c>
      <c r="G5445">
        <v>254700000</v>
      </c>
      <c r="H5445" t="s">
        <v>40293</v>
      </c>
      <c r="I5445">
        <v>37300</v>
      </c>
      <c r="J5445">
        <v>3</v>
      </c>
      <c r="K5445">
        <v>6</v>
      </c>
    </row>
    <row r="5446" spans="1:11">
      <c r="A5446">
        <v>90</v>
      </c>
      <c r="B5446" t="b">
        <v>0</v>
      </c>
      <c r="C5446" t="s">
        <v>41985</v>
      </c>
      <c r="D5446">
        <v>1037022454355</v>
      </c>
      <c r="E5446">
        <v>1</v>
      </c>
      <c r="F5446">
        <v>6128793766</v>
      </c>
      <c r="G5446">
        <v>250000000</v>
      </c>
      <c r="H5446" t="s">
        <v>40293</v>
      </c>
      <c r="I5446">
        <v>37302</v>
      </c>
      <c r="J5446">
        <v>2</v>
      </c>
      <c r="K5446">
        <v>2</v>
      </c>
    </row>
    <row r="5447" spans="1:11">
      <c r="A5447">
        <v>90</v>
      </c>
      <c r="B5447" t="b">
        <v>0</v>
      </c>
      <c r="C5447" t="s">
        <v>42677</v>
      </c>
      <c r="D5447">
        <v>1037022454355</v>
      </c>
      <c r="E5447">
        <v>1</v>
      </c>
      <c r="F5447">
        <v>6068623264</v>
      </c>
      <c r="G5447">
        <v>396800000</v>
      </c>
      <c r="H5447" t="s">
        <v>40293</v>
      </c>
      <c r="I5447">
        <v>37304</v>
      </c>
      <c r="J5447">
        <v>5</v>
      </c>
      <c r="K5447">
        <v>6</v>
      </c>
    </row>
    <row r="5448" spans="1:11">
      <c r="A5448">
        <v>90</v>
      </c>
      <c r="B5448" t="b">
        <v>0</v>
      </c>
      <c r="C5448" t="s">
        <v>45687</v>
      </c>
      <c r="D5448">
        <v>1037022454355</v>
      </c>
      <c r="E5448">
        <v>1</v>
      </c>
      <c r="F5448">
        <v>6149592235</v>
      </c>
      <c r="G5448">
        <v>395900000</v>
      </c>
      <c r="H5448" t="s">
        <v>40293</v>
      </c>
      <c r="I5448">
        <v>37304</v>
      </c>
      <c r="J5448">
        <v>2</v>
      </c>
      <c r="K5448">
        <v>3</v>
      </c>
    </row>
    <row r="5449" spans="1:11">
      <c r="A5449">
        <v>90</v>
      </c>
      <c r="B5449" t="b">
        <v>0</v>
      </c>
      <c r="C5449" t="s">
        <v>46553</v>
      </c>
      <c r="D5449">
        <v>1037022454355</v>
      </c>
      <c r="E5449">
        <v>1</v>
      </c>
      <c r="F5449">
        <v>6156123934</v>
      </c>
      <c r="G5449">
        <v>395800000</v>
      </c>
      <c r="H5449" t="s">
        <v>40293</v>
      </c>
      <c r="I5449">
        <v>37304</v>
      </c>
      <c r="J5449">
        <v>6</v>
      </c>
      <c r="K5449">
        <v>6</v>
      </c>
    </row>
    <row r="5450" spans="1:11">
      <c r="A5450">
        <v>90</v>
      </c>
      <c r="B5450" t="b">
        <v>0</v>
      </c>
      <c r="C5450" t="s">
        <v>42752</v>
      </c>
      <c r="D5450">
        <v>1037022454355</v>
      </c>
      <c r="E5450">
        <v>1</v>
      </c>
      <c r="F5450">
        <v>6136653616</v>
      </c>
      <c r="G5450">
        <v>395000000</v>
      </c>
      <c r="H5450" t="s">
        <v>40293</v>
      </c>
      <c r="I5450">
        <v>37306</v>
      </c>
      <c r="J5450">
        <v>3</v>
      </c>
      <c r="K5450">
        <v>3</v>
      </c>
    </row>
    <row r="5451" spans="1:11">
      <c r="A5451">
        <v>90</v>
      </c>
      <c r="B5451" t="b">
        <v>0</v>
      </c>
      <c r="C5451" t="s">
        <v>46553</v>
      </c>
      <c r="D5451">
        <v>1037022454355</v>
      </c>
      <c r="E5451">
        <v>1</v>
      </c>
      <c r="F5451">
        <v>6156123933</v>
      </c>
      <c r="G5451">
        <v>394900000</v>
      </c>
      <c r="H5451" t="s">
        <v>40293</v>
      </c>
      <c r="I5451">
        <v>37306</v>
      </c>
      <c r="J5451">
        <v>6</v>
      </c>
      <c r="K5451">
        <v>6</v>
      </c>
    </row>
    <row r="5452" spans="1:11">
      <c r="A5452">
        <v>90</v>
      </c>
      <c r="B5452" t="b">
        <v>0</v>
      </c>
      <c r="C5452" t="s">
        <v>42760</v>
      </c>
      <c r="D5452">
        <v>1037022454355</v>
      </c>
      <c r="E5452">
        <v>1</v>
      </c>
      <c r="F5452">
        <v>6136653941</v>
      </c>
      <c r="G5452">
        <v>368700000</v>
      </c>
      <c r="H5452" t="s">
        <v>40293</v>
      </c>
      <c r="I5452">
        <v>37307</v>
      </c>
      <c r="J5452">
        <v>3</v>
      </c>
      <c r="K5452">
        <v>3</v>
      </c>
    </row>
    <row r="5453" spans="1:11">
      <c r="A5453">
        <v>90</v>
      </c>
      <c r="B5453" t="b">
        <v>0</v>
      </c>
      <c r="C5453" t="s">
        <v>43559</v>
      </c>
      <c r="D5453">
        <v>1037022454355</v>
      </c>
      <c r="E5453">
        <v>1</v>
      </c>
      <c r="F5453">
        <v>6070946879</v>
      </c>
      <c r="G5453">
        <v>368600000</v>
      </c>
      <c r="H5453" t="s">
        <v>40293</v>
      </c>
      <c r="I5453">
        <v>37307</v>
      </c>
      <c r="J5453">
        <v>3</v>
      </c>
      <c r="K5453">
        <v>6</v>
      </c>
    </row>
    <row r="5454" spans="1:11">
      <c r="A5454">
        <v>30</v>
      </c>
      <c r="B5454" t="b">
        <v>0</v>
      </c>
      <c r="C5454" t="s">
        <v>44998</v>
      </c>
      <c r="D5454">
        <v>1037022454355</v>
      </c>
      <c r="E5454">
        <v>1</v>
      </c>
      <c r="F5454">
        <v>6149452169</v>
      </c>
      <c r="G5454">
        <v>360000000</v>
      </c>
      <c r="H5454" t="s">
        <v>40293</v>
      </c>
      <c r="I5454">
        <v>37307</v>
      </c>
      <c r="J5454">
        <v>3</v>
      </c>
      <c r="K5454">
        <v>3</v>
      </c>
    </row>
    <row r="5455" spans="1:11">
      <c r="A5455">
        <v>90</v>
      </c>
      <c r="B5455" t="b">
        <v>0</v>
      </c>
      <c r="C5455" t="s">
        <v>41203</v>
      </c>
      <c r="D5455">
        <v>1037022454355</v>
      </c>
      <c r="E5455">
        <v>1</v>
      </c>
      <c r="F5455">
        <v>6090215156</v>
      </c>
      <c r="G5455">
        <v>2800000</v>
      </c>
      <c r="H5455" t="s">
        <v>40293</v>
      </c>
      <c r="I5455">
        <v>37451</v>
      </c>
      <c r="J5455">
        <v>2</v>
      </c>
      <c r="K5455">
        <v>3</v>
      </c>
    </row>
    <row r="5456" spans="1:11">
      <c r="A5456">
        <v>90</v>
      </c>
      <c r="B5456" t="b">
        <v>0</v>
      </c>
      <c r="C5456" t="s">
        <v>41097</v>
      </c>
      <c r="D5456">
        <v>1037022454355</v>
      </c>
      <c r="E5456">
        <v>1</v>
      </c>
      <c r="F5456">
        <v>6084577020</v>
      </c>
      <c r="G5456">
        <v>2788000</v>
      </c>
      <c r="H5456" t="s">
        <v>40293</v>
      </c>
      <c r="I5456">
        <v>37451</v>
      </c>
      <c r="J5456">
        <v>12</v>
      </c>
      <c r="K5456">
        <v>20</v>
      </c>
    </row>
    <row r="5457" spans="1:11">
      <c r="A5457">
        <v>90</v>
      </c>
      <c r="B5457" t="b">
        <v>0</v>
      </c>
      <c r="C5457" t="s">
        <v>40495</v>
      </c>
      <c r="D5457">
        <v>1037022454355</v>
      </c>
      <c r="E5457">
        <v>1</v>
      </c>
      <c r="F5457">
        <v>6097736346</v>
      </c>
      <c r="G5457">
        <v>2700000</v>
      </c>
      <c r="H5457" t="s">
        <v>40293</v>
      </c>
      <c r="I5457">
        <v>37451</v>
      </c>
      <c r="J5457">
        <v>1</v>
      </c>
      <c r="K5457">
        <v>1</v>
      </c>
    </row>
    <row r="5458" spans="1:11">
      <c r="A5458">
        <v>30</v>
      </c>
      <c r="B5458" t="b">
        <v>0</v>
      </c>
      <c r="C5458" t="s">
        <v>45790</v>
      </c>
      <c r="D5458">
        <v>1037022454355</v>
      </c>
      <c r="E5458">
        <v>1</v>
      </c>
      <c r="F5458">
        <v>6150150424</v>
      </c>
      <c r="G5458">
        <v>2690000</v>
      </c>
      <c r="H5458" t="s">
        <v>40293</v>
      </c>
      <c r="I5458">
        <v>37451</v>
      </c>
      <c r="J5458">
        <v>15</v>
      </c>
      <c r="K5458">
        <v>16</v>
      </c>
    </row>
    <row r="5459" spans="1:11">
      <c r="A5459">
        <v>90</v>
      </c>
      <c r="B5459" t="b">
        <v>0</v>
      </c>
      <c r="C5459" t="s">
        <v>45688</v>
      </c>
      <c r="D5459">
        <v>1037022454355</v>
      </c>
      <c r="E5459">
        <v>1</v>
      </c>
      <c r="F5459">
        <v>6150640812</v>
      </c>
      <c r="G5459">
        <v>2689000</v>
      </c>
      <c r="H5459" t="s">
        <v>40293</v>
      </c>
      <c r="I5459">
        <v>37451</v>
      </c>
      <c r="J5459">
        <v>7</v>
      </c>
      <c r="K5459">
        <v>25</v>
      </c>
    </row>
    <row r="5460" spans="1:11">
      <c r="A5460">
        <v>90</v>
      </c>
      <c r="B5460" t="b">
        <v>0</v>
      </c>
      <c r="C5460" t="s">
        <v>41683</v>
      </c>
      <c r="D5460">
        <v>1037022454355</v>
      </c>
      <c r="E5460">
        <v>1</v>
      </c>
      <c r="F5460">
        <v>6108477509</v>
      </c>
      <c r="G5460">
        <v>32000000</v>
      </c>
      <c r="H5460" t="s">
        <v>40293</v>
      </c>
      <c r="I5460">
        <v>37457</v>
      </c>
      <c r="J5460">
        <v>1</v>
      </c>
      <c r="K5460">
        <v>2</v>
      </c>
    </row>
    <row r="5461" spans="1:11">
      <c r="A5461">
        <v>90</v>
      </c>
      <c r="B5461" t="b">
        <v>0</v>
      </c>
      <c r="C5461" t="s">
        <v>43366</v>
      </c>
      <c r="D5461">
        <v>1037022454355</v>
      </c>
      <c r="E5461">
        <v>1</v>
      </c>
      <c r="F5461">
        <v>6145498666</v>
      </c>
      <c r="G5461">
        <v>30000000</v>
      </c>
      <c r="H5461" t="s">
        <v>40293</v>
      </c>
      <c r="I5461">
        <v>37457</v>
      </c>
      <c r="J5461">
        <v>9</v>
      </c>
      <c r="K5461">
        <v>9</v>
      </c>
    </row>
    <row r="5462" spans="1:11">
      <c r="A5462">
        <v>90</v>
      </c>
      <c r="B5462" t="b">
        <v>0</v>
      </c>
      <c r="C5462" t="s">
        <v>46463</v>
      </c>
      <c r="D5462">
        <v>1037022454355</v>
      </c>
      <c r="E5462">
        <v>1</v>
      </c>
      <c r="F5462">
        <v>6152027071</v>
      </c>
      <c r="G5462">
        <v>30000000</v>
      </c>
      <c r="H5462" t="s">
        <v>40293</v>
      </c>
      <c r="I5462">
        <v>37457</v>
      </c>
      <c r="J5462">
        <v>12</v>
      </c>
      <c r="K5462">
        <v>12</v>
      </c>
    </row>
    <row r="5463" spans="1:11">
      <c r="A5463">
        <v>90</v>
      </c>
      <c r="B5463" t="b">
        <v>0</v>
      </c>
      <c r="C5463" t="s">
        <v>45837</v>
      </c>
      <c r="D5463">
        <v>1037022454355</v>
      </c>
      <c r="E5463">
        <v>1</v>
      </c>
      <c r="F5463">
        <v>6150642074</v>
      </c>
      <c r="G5463">
        <v>29990000</v>
      </c>
      <c r="H5463" t="s">
        <v>40293</v>
      </c>
      <c r="I5463">
        <v>37457</v>
      </c>
      <c r="J5463">
        <v>2</v>
      </c>
      <c r="K5463">
        <v>2</v>
      </c>
    </row>
    <row r="5464" spans="1:11">
      <c r="A5464">
        <v>90</v>
      </c>
      <c r="B5464" t="b">
        <v>0</v>
      </c>
      <c r="C5464" t="s">
        <v>43452</v>
      </c>
      <c r="D5464">
        <v>1037022454355</v>
      </c>
      <c r="E5464">
        <v>1</v>
      </c>
      <c r="F5464">
        <v>6139428326</v>
      </c>
      <c r="G5464">
        <v>37900000</v>
      </c>
      <c r="H5464" t="s">
        <v>40293</v>
      </c>
      <c r="I5464">
        <v>37458</v>
      </c>
      <c r="J5464">
        <v>2</v>
      </c>
      <c r="K5464">
        <v>2</v>
      </c>
    </row>
    <row r="5465" spans="1:11">
      <c r="A5465">
        <v>90</v>
      </c>
      <c r="B5465" t="b">
        <v>0</v>
      </c>
      <c r="C5465" t="s">
        <v>43082</v>
      </c>
      <c r="D5465">
        <v>1037022454355</v>
      </c>
      <c r="E5465">
        <v>1</v>
      </c>
      <c r="F5465">
        <v>6140991453</v>
      </c>
      <c r="G5465">
        <v>37880000</v>
      </c>
      <c r="H5465" t="s">
        <v>40293</v>
      </c>
      <c r="I5465">
        <v>37458</v>
      </c>
      <c r="J5465">
        <v>1</v>
      </c>
      <c r="K5465">
        <v>1</v>
      </c>
    </row>
    <row r="5466" spans="1:11">
      <c r="A5466">
        <v>90</v>
      </c>
      <c r="B5466" t="b">
        <v>0</v>
      </c>
      <c r="C5466" t="s">
        <v>42912</v>
      </c>
      <c r="D5466">
        <v>1037022454355</v>
      </c>
      <c r="E5466">
        <v>1</v>
      </c>
      <c r="F5466">
        <v>6142034781</v>
      </c>
      <c r="G5466">
        <v>36440000</v>
      </c>
      <c r="H5466" t="s">
        <v>40293</v>
      </c>
      <c r="I5466">
        <v>37458</v>
      </c>
      <c r="J5466">
        <v>1</v>
      </c>
      <c r="K5466">
        <v>1</v>
      </c>
    </row>
    <row r="5467" spans="1:11">
      <c r="A5467">
        <v>90</v>
      </c>
      <c r="B5467" t="b">
        <v>0</v>
      </c>
      <c r="C5467" t="s">
        <v>42946</v>
      </c>
      <c r="D5467">
        <v>1037022454355</v>
      </c>
      <c r="E5467">
        <v>1</v>
      </c>
      <c r="F5467">
        <v>6145181309</v>
      </c>
      <c r="G5467">
        <v>36400000</v>
      </c>
      <c r="H5467" t="s">
        <v>40293</v>
      </c>
      <c r="I5467">
        <v>37458</v>
      </c>
      <c r="J5467">
        <v>1</v>
      </c>
      <c r="K5467">
        <v>1</v>
      </c>
    </row>
    <row r="5468" spans="1:11">
      <c r="A5468">
        <v>90</v>
      </c>
      <c r="B5468" t="b">
        <v>0</v>
      </c>
      <c r="C5468" t="s">
        <v>43689</v>
      </c>
      <c r="D5468">
        <v>1037022454355</v>
      </c>
      <c r="E5468">
        <v>1</v>
      </c>
      <c r="F5468">
        <v>6144810597</v>
      </c>
      <c r="G5468">
        <v>36380000</v>
      </c>
      <c r="H5468" t="s">
        <v>40293</v>
      </c>
      <c r="I5468">
        <v>37458</v>
      </c>
      <c r="J5468">
        <v>1</v>
      </c>
      <c r="K5468">
        <v>1</v>
      </c>
    </row>
    <row r="5469" spans="1:11">
      <c r="A5469">
        <v>90</v>
      </c>
      <c r="B5469" t="b">
        <v>0</v>
      </c>
      <c r="C5469" t="s">
        <v>45923</v>
      </c>
      <c r="D5469">
        <v>1037022454355</v>
      </c>
      <c r="E5469">
        <v>1</v>
      </c>
      <c r="F5469">
        <v>6150643245</v>
      </c>
      <c r="G5469">
        <v>36340000</v>
      </c>
      <c r="H5469" t="s">
        <v>40293</v>
      </c>
      <c r="I5469">
        <v>37458</v>
      </c>
      <c r="J5469">
        <v>1</v>
      </c>
      <c r="K5469">
        <v>2</v>
      </c>
    </row>
    <row r="5470" spans="1:11">
      <c r="A5470">
        <v>90</v>
      </c>
      <c r="B5470" t="b">
        <v>0</v>
      </c>
      <c r="C5470" t="s">
        <v>45851</v>
      </c>
      <c r="D5470">
        <v>1037022454355</v>
      </c>
      <c r="E5470">
        <v>1</v>
      </c>
      <c r="F5470">
        <v>6140530487</v>
      </c>
      <c r="G5470">
        <v>36320000</v>
      </c>
      <c r="H5470" t="s">
        <v>40293</v>
      </c>
      <c r="I5470">
        <v>37458</v>
      </c>
      <c r="J5470">
        <v>2</v>
      </c>
      <c r="K5470">
        <v>2</v>
      </c>
    </row>
    <row r="5471" spans="1:11">
      <c r="A5471">
        <v>90</v>
      </c>
      <c r="B5471" t="b">
        <v>0</v>
      </c>
      <c r="C5471" t="s">
        <v>42506</v>
      </c>
      <c r="D5471">
        <v>1037022454355</v>
      </c>
      <c r="E5471">
        <v>1</v>
      </c>
      <c r="F5471">
        <v>6134379927</v>
      </c>
      <c r="G5471">
        <v>32000000</v>
      </c>
      <c r="H5471" t="s">
        <v>40293</v>
      </c>
      <c r="I5471">
        <v>37459</v>
      </c>
      <c r="J5471">
        <v>2</v>
      </c>
      <c r="K5471">
        <v>2</v>
      </c>
    </row>
    <row r="5472" spans="1:11">
      <c r="A5472">
        <v>90</v>
      </c>
      <c r="B5472" t="b">
        <v>0</v>
      </c>
      <c r="C5472" t="s">
        <v>45294</v>
      </c>
      <c r="D5472">
        <v>1037022454355</v>
      </c>
      <c r="E5472">
        <v>1</v>
      </c>
      <c r="F5472">
        <v>6150643784</v>
      </c>
      <c r="G5472">
        <v>35000000</v>
      </c>
      <c r="H5472" t="s">
        <v>40293</v>
      </c>
      <c r="I5472">
        <v>37460</v>
      </c>
      <c r="J5472">
        <v>2</v>
      </c>
      <c r="K5472">
        <v>2</v>
      </c>
    </row>
    <row r="5473" spans="1:11">
      <c r="A5473">
        <v>90</v>
      </c>
      <c r="B5473" t="b">
        <v>0</v>
      </c>
      <c r="C5473" t="s">
        <v>44741</v>
      </c>
      <c r="D5473">
        <v>1037022454355</v>
      </c>
      <c r="E5473">
        <v>1</v>
      </c>
      <c r="F5473">
        <v>6153179584</v>
      </c>
      <c r="G5473">
        <v>34990000</v>
      </c>
      <c r="H5473" t="s">
        <v>40293</v>
      </c>
      <c r="I5473">
        <v>37460</v>
      </c>
      <c r="J5473">
        <v>1</v>
      </c>
      <c r="K5473">
        <v>1</v>
      </c>
    </row>
    <row r="5474" spans="1:11">
      <c r="A5474">
        <v>30</v>
      </c>
      <c r="B5474" t="b">
        <v>0</v>
      </c>
      <c r="C5474" t="s">
        <v>43640</v>
      </c>
      <c r="D5474">
        <v>1037022454355</v>
      </c>
      <c r="E5474">
        <v>1</v>
      </c>
      <c r="F5474">
        <v>6138484322</v>
      </c>
      <c r="G5474">
        <v>781100</v>
      </c>
      <c r="H5474" t="s">
        <v>40293</v>
      </c>
      <c r="I5474">
        <v>37479</v>
      </c>
      <c r="J5474">
        <v>2</v>
      </c>
      <c r="K5474">
        <v>2</v>
      </c>
    </row>
    <row r="5475" spans="1:11">
      <c r="A5475">
        <v>90</v>
      </c>
      <c r="B5475" t="b">
        <v>0</v>
      </c>
      <c r="C5475" t="s">
        <v>43570</v>
      </c>
      <c r="D5475">
        <v>1037022454355</v>
      </c>
      <c r="E5475">
        <v>1</v>
      </c>
      <c r="F5475">
        <v>6138252744</v>
      </c>
      <c r="G5475">
        <v>750000</v>
      </c>
      <c r="H5475" t="s">
        <v>40293</v>
      </c>
      <c r="I5475">
        <v>37479</v>
      </c>
      <c r="J5475">
        <v>76</v>
      </c>
      <c r="K5475">
        <v>100</v>
      </c>
    </row>
    <row r="5476" spans="1:11">
      <c r="A5476">
        <v>90</v>
      </c>
      <c r="B5476" t="b">
        <v>0</v>
      </c>
      <c r="C5476" t="s">
        <v>44653</v>
      </c>
      <c r="D5476">
        <v>1037022454355</v>
      </c>
      <c r="E5476">
        <v>1</v>
      </c>
      <c r="F5476">
        <v>6157452679</v>
      </c>
      <c r="G5476">
        <v>67480000</v>
      </c>
      <c r="H5476" t="s">
        <v>40293</v>
      </c>
      <c r="I5476">
        <v>37480</v>
      </c>
      <c r="J5476">
        <v>3</v>
      </c>
      <c r="K5476">
        <v>3</v>
      </c>
    </row>
    <row r="5477" spans="1:11">
      <c r="A5477">
        <v>90</v>
      </c>
      <c r="B5477" t="b">
        <v>0</v>
      </c>
      <c r="C5477" t="s">
        <v>41594</v>
      </c>
      <c r="D5477">
        <v>1037022454355</v>
      </c>
      <c r="E5477">
        <v>1</v>
      </c>
      <c r="F5477">
        <v>6105886886</v>
      </c>
      <c r="G5477">
        <v>64890000</v>
      </c>
      <c r="H5477" t="s">
        <v>40293</v>
      </c>
      <c r="I5477">
        <v>37481</v>
      </c>
      <c r="J5477">
        <v>1</v>
      </c>
      <c r="K5477">
        <v>1</v>
      </c>
    </row>
    <row r="5478" spans="1:11">
      <c r="A5478">
        <v>90</v>
      </c>
      <c r="B5478" t="b">
        <v>0</v>
      </c>
      <c r="C5478" t="s">
        <v>41546</v>
      </c>
      <c r="D5478">
        <v>1037022454355</v>
      </c>
      <c r="E5478">
        <v>1</v>
      </c>
      <c r="F5478">
        <v>6088027232</v>
      </c>
      <c r="G5478">
        <v>63750000</v>
      </c>
      <c r="H5478" t="s">
        <v>40293</v>
      </c>
      <c r="I5478">
        <v>37481</v>
      </c>
      <c r="J5478">
        <v>2</v>
      </c>
      <c r="K5478">
        <v>2</v>
      </c>
    </row>
    <row r="5479" spans="1:11">
      <c r="A5479">
        <v>90</v>
      </c>
      <c r="B5479" t="b">
        <v>0</v>
      </c>
      <c r="C5479" t="s">
        <v>40372</v>
      </c>
      <c r="D5479">
        <v>1037022454355</v>
      </c>
      <c r="E5479">
        <v>1</v>
      </c>
      <c r="F5479">
        <v>6103959474</v>
      </c>
      <c r="G5479">
        <v>63740000</v>
      </c>
      <c r="H5479" t="s">
        <v>40293</v>
      </c>
      <c r="I5479">
        <v>37481</v>
      </c>
      <c r="J5479">
        <v>1</v>
      </c>
      <c r="K5479">
        <v>1</v>
      </c>
    </row>
    <row r="5480" spans="1:11">
      <c r="A5480">
        <v>90</v>
      </c>
      <c r="B5480" t="b">
        <v>0</v>
      </c>
      <c r="C5480" t="s">
        <v>41473</v>
      </c>
      <c r="D5480">
        <v>1037022454355</v>
      </c>
      <c r="E5480">
        <v>1</v>
      </c>
      <c r="F5480">
        <v>6068823287</v>
      </c>
      <c r="G5480">
        <v>63730000</v>
      </c>
      <c r="H5480" t="s">
        <v>40293</v>
      </c>
      <c r="I5480">
        <v>37481</v>
      </c>
      <c r="J5480">
        <v>4</v>
      </c>
      <c r="K5480">
        <v>7</v>
      </c>
    </row>
    <row r="5481" spans="1:11">
      <c r="A5481">
        <v>90</v>
      </c>
      <c r="B5481" t="b">
        <v>0</v>
      </c>
      <c r="C5481" t="s">
        <v>42507</v>
      </c>
      <c r="D5481">
        <v>1037022454355</v>
      </c>
      <c r="E5481">
        <v>1</v>
      </c>
      <c r="F5481">
        <v>6069401062</v>
      </c>
      <c r="G5481">
        <v>60800000</v>
      </c>
      <c r="H5481" t="s">
        <v>40293</v>
      </c>
      <c r="I5481">
        <v>37481</v>
      </c>
      <c r="J5481">
        <v>10</v>
      </c>
      <c r="K5481">
        <v>10</v>
      </c>
    </row>
    <row r="5482" spans="1:11">
      <c r="A5482">
        <v>90</v>
      </c>
      <c r="B5482" t="b">
        <v>0</v>
      </c>
      <c r="C5482" t="s">
        <v>41685</v>
      </c>
      <c r="D5482">
        <v>1037022454355</v>
      </c>
      <c r="E5482">
        <v>1</v>
      </c>
      <c r="F5482">
        <v>6095736665</v>
      </c>
      <c r="G5482">
        <v>67970000</v>
      </c>
      <c r="H5482" t="s">
        <v>40293</v>
      </c>
      <c r="I5482">
        <v>37482</v>
      </c>
      <c r="J5482">
        <v>1</v>
      </c>
      <c r="K5482">
        <v>1</v>
      </c>
    </row>
    <row r="5483" spans="1:11">
      <c r="A5483">
        <v>90</v>
      </c>
      <c r="B5483" t="b">
        <v>0</v>
      </c>
      <c r="C5483" t="s">
        <v>41702</v>
      </c>
      <c r="D5483">
        <v>1037022454355</v>
      </c>
      <c r="E5483">
        <v>1</v>
      </c>
      <c r="F5483">
        <v>6096255753</v>
      </c>
      <c r="G5483">
        <v>67950000</v>
      </c>
      <c r="H5483" t="s">
        <v>40293</v>
      </c>
      <c r="I5483">
        <v>37482</v>
      </c>
      <c r="J5483">
        <v>1</v>
      </c>
      <c r="K5483">
        <v>1</v>
      </c>
    </row>
    <row r="5484" spans="1:11">
      <c r="A5484">
        <v>90</v>
      </c>
      <c r="B5484" t="b">
        <v>0</v>
      </c>
      <c r="C5484" t="s">
        <v>42707</v>
      </c>
      <c r="D5484">
        <v>1037022454355</v>
      </c>
      <c r="E5484">
        <v>1</v>
      </c>
      <c r="F5484">
        <v>6136389183</v>
      </c>
      <c r="G5484">
        <v>64990000</v>
      </c>
      <c r="H5484" t="s">
        <v>40293</v>
      </c>
      <c r="I5484">
        <v>37482</v>
      </c>
      <c r="J5484">
        <v>3</v>
      </c>
      <c r="K5484">
        <v>3</v>
      </c>
    </row>
    <row r="5485" spans="1:11">
      <c r="A5485">
        <v>90</v>
      </c>
      <c r="B5485" t="b">
        <v>0</v>
      </c>
      <c r="C5485" t="s">
        <v>42625</v>
      </c>
      <c r="D5485">
        <v>1037022454355</v>
      </c>
      <c r="E5485">
        <v>1</v>
      </c>
      <c r="F5485">
        <v>6100273957</v>
      </c>
      <c r="G5485">
        <v>64970000</v>
      </c>
      <c r="H5485" t="s">
        <v>40293</v>
      </c>
      <c r="I5485">
        <v>37482</v>
      </c>
      <c r="J5485">
        <v>5</v>
      </c>
      <c r="K5485">
        <v>6</v>
      </c>
    </row>
    <row r="5486" spans="1:11">
      <c r="A5486">
        <v>90</v>
      </c>
      <c r="B5486" t="b">
        <v>0</v>
      </c>
      <c r="C5486" t="s">
        <v>45812</v>
      </c>
      <c r="D5486">
        <v>1037022454355</v>
      </c>
      <c r="E5486">
        <v>1</v>
      </c>
      <c r="F5486">
        <v>6154017291</v>
      </c>
      <c r="G5486">
        <v>78000000</v>
      </c>
      <c r="H5486" t="s">
        <v>40293</v>
      </c>
      <c r="I5486">
        <v>37483</v>
      </c>
      <c r="J5486">
        <v>2</v>
      </c>
      <c r="K5486">
        <v>3</v>
      </c>
    </row>
    <row r="5487" spans="1:11">
      <c r="A5487">
        <v>90</v>
      </c>
      <c r="B5487" t="b">
        <v>0</v>
      </c>
      <c r="C5487" t="s">
        <v>41703</v>
      </c>
      <c r="D5487">
        <v>1037022454355</v>
      </c>
      <c r="E5487">
        <v>1</v>
      </c>
      <c r="F5487">
        <v>6101596951</v>
      </c>
      <c r="G5487">
        <v>4000000</v>
      </c>
      <c r="H5487" t="s">
        <v>40293</v>
      </c>
      <c r="I5487">
        <v>37532</v>
      </c>
      <c r="J5487">
        <v>1</v>
      </c>
      <c r="K5487">
        <v>1</v>
      </c>
    </row>
    <row r="5488" spans="1:11">
      <c r="A5488">
        <v>90</v>
      </c>
      <c r="B5488" t="b">
        <v>0</v>
      </c>
      <c r="C5488" t="s">
        <v>40841</v>
      </c>
      <c r="D5488">
        <v>1037022454355</v>
      </c>
      <c r="E5488">
        <v>1</v>
      </c>
      <c r="F5488">
        <v>6120235196</v>
      </c>
      <c r="G5488">
        <v>200000</v>
      </c>
      <c r="H5488" t="s">
        <v>40293</v>
      </c>
      <c r="I5488">
        <v>37543</v>
      </c>
      <c r="J5488">
        <v>19</v>
      </c>
      <c r="K5488">
        <v>20</v>
      </c>
    </row>
    <row r="5489" spans="1:11">
      <c r="A5489">
        <v>90</v>
      </c>
      <c r="B5489" t="b">
        <v>0</v>
      </c>
      <c r="C5489" t="s">
        <v>41181</v>
      </c>
      <c r="D5489">
        <v>1037022454355</v>
      </c>
      <c r="E5489">
        <v>1</v>
      </c>
      <c r="F5489">
        <v>6122458363</v>
      </c>
      <c r="G5489">
        <v>100000</v>
      </c>
      <c r="H5489" t="s">
        <v>40293</v>
      </c>
      <c r="I5489">
        <v>37544</v>
      </c>
      <c r="J5489">
        <v>2</v>
      </c>
      <c r="K5489">
        <v>2</v>
      </c>
    </row>
    <row r="5490" spans="1:11">
      <c r="A5490">
        <v>90</v>
      </c>
      <c r="B5490" t="b">
        <v>0</v>
      </c>
      <c r="C5490" t="s">
        <v>41878</v>
      </c>
      <c r="D5490">
        <v>1037022454355</v>
      </c>
      <c r="E5490">
        <v>1</v>
      </c>
      <c r="F5490">
        <v>6127042487</v>
      </c>
      <c r="G5490">
        <v>50000</v>
      </c>
      <c r="H5490" t="s">
        <v>40293</v>
      </c>
      <c r="I5490">
        <v>37544</v>
      </c>
      <c r="J5490">
        <v>7</v>
      </c>
      <c r="K5490">
        <v>28</v>
      </c>
    </row>
    <row r="5491" spans="1:11">
      <c r="A5491">
        <v>90</v>
      </c>
      <c r="B5491" t="b">
        <v>0</v>
      </c>
      <c r="C5491" t="s">
        <v>45487</v>
      </c>
      <c r="D5491">
        <v>1037022454355</v>
      </c>
      <c r="E5491">
        <v>1</v>
      </c>
      <c r="F5491">
        <v>6157486771</v>
      </c>
      <c r="G5491">
        <v>2500000</v>
      </c>
      <c r="H5491" t="s">
        <v>40293</v>
      </c>
      <c r="I5491">
        <v>37546</v>
      </c>
      <c r="J5491">
        <v>1</v>
      </c>
      <c r="K5491">
        <v>1</v>
      </c>
    </row>
    <row r="5492" spans="1:11">
      <c r="A5492">
        <v>90</v>
      </c>
      <c r="B5492" t="b">
        <v>0</v>
      </c>
      <c r="C5492" t="s">
        <v>43462</v>
      </c>
      <c r="D5492">
        <v>1037022454355</v>
      </c>
      <c r="E5492">
        <v>1</v>
      </c>
      <c r="F5492">
        <v>6098894511</v>
      </c>
      <c r="G5492">
        <v>2599000000</v>
      </c>
      <c r="H5492" t="s">
        <v>40293</v>
      </c>
      <c r="I5492">
        <v>37605</v>
      </c>
      <c r="J5492">
        <v>1</v>
      </c>
      <c r="K5492">
        <v>1</v>
      </c>
    </row>
    <row r="5493" spans="1:11">
      <c r="A5493">
        <v>90</v>
      </c>
      <c r="B5493" t="b">
        <v>0</v>
      </c>
      <c r="C5493" t="s">
        <v>44141</v>
      </c>
      <c r="D5493">
        <v>1037022454355</v>
      </c>
      <c r="E5493">
        <v>1</v>
      </c>
      <c r="F5493">
        <v>6137611557</v>
      </c>
      <c r="G5493">
        <v>2550000000</v>
      </c>
      <c r="H5493" t="s">
        <v>40293</v>
      </c>
      <c r="I5493">
        <v>37605</v>
      </c>
      <c r="J5493">
        <v>1</v>
      </c>
      <c r="K5493">
        <v>1</v>
      </c>
    </row>
    <row r="5494" spans="1:11">
      <c r="A5494">
        <v>30</v>
      </c>
      <c r="B5494" t="b">
        <v>0</v>
      </c>
      <c r="C5494" t="s">
        <v>43735</v>
      </c>
      <c r="D5494">
        <v>1037022454355</v>
      </c>
      <c r="E5494">
        <v>1</v>
      </c>
      <c r="F5494">
        <v>6144648257</v>
      </c>
      <c r="G5494">
        <v>4999000</v>
      </c>
      <c r="H5494" t="s">
        <v>40293</v>
      </c>
      <c r="I5494">
        <v>37610</v>
      </c>
      <c r="J5494">
        <v>16</v>
      </c>
      <c r="K5494">
        <v>16</v>
      </c>
    </row>
    <row r="5495" spans="1:11">
      <c r="A5495">
        <v>30</v>
      </c>
      <c r="B5495" t="b">
        <v>0</v>
      </c>
      <c r="C5495" t="s">
        <v>44081</v>
      </c>
      <c r="D5495">
        <v>1037022454355</v>
      </c>
      <c r="E5495">
        <v>1</v>
      </c>
      <c r="F5495">
        <v>6154463549</v>
      </c>
      <c r="G5495">
        <v>3967000</v>
      </c>
      <c r="H5495" t="s">
        <v>40293</v>
      </c>
      <c r="I5495">
        <v>37610</v>
      </c>
      <c r="J5495">
        <v>2</v>
      </c>
      <c r="K5495">
        <v>2</v>
      </c>
    </row>
    <row r="5496" spans="1:11">
      <c r="A5496">
        <v>90</v>
      </c>
      <c r="B5496" t="b">
        <v>0</v>
      </c>
      <c r="C5496" t="s">
        <v>43434</v>
      </c>
      <c r="D5496">
        <v>1037022454355</v>
      </c>
      <c r="E5496">
        <v>1</v>
      </c>
      <c r="F5496">
        <v>6145132696</v>
      </c>
      <c r="G5496">
        <v>5000000</v>
      </c>
      <c r="H5496" t="s">
        <v>40293</v>
      </c>
      <c r="I5496">
        <v>37611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40588</v>
      </c>
      <c r="D5497">
        <v>1037022454355</v>
      </c>
      <c r="E5497">
        <v>1</v>
      </c>
      <c r="F5497">
        <v>6121036339</v>
      </c>
      <c r="G5497">
        <v>81600000</v>
      </c>
      <c r="H5497" t="s">
        <v>40293</v>
      </c>
      <c r="I5497">
        <v>37624</v>
      </c>
      <c r="J5497">
        <v>9</v>
      </c>
      <c r="K5497">
        <v>12</v>
      </c>
    </row>
    <row r="5498" spans="1:11">
      <c r="A5498">
        <v>90</v>
      </c>
      <c r="B5498" t="b">
        <v>0</v>
      </c>
      <c r="C5498" t="s">
        <v>40619</v>
      </c>
      <c r="D5498">
        <v>1037022454355</v>
      </c>
      <c r="E5498">
        <v>1</v>
      </c>
      <c r="F5498">
        <v>6121036996</v>
      </c>
      <c r="G5498">
        <v>157300000</v>
      </c>
      <c r="H5498" t="s">
        <v>40293</v>
      </c>
      <c r="I5498">
        <v>37627</v>
      </c>
      <c r="J5498">
        <v>5</v>
      </c>
      <c r="K5498">
        <v>13</v>
      </c>
    </row>
    <row r="5499" spans="1:11">
      <c r="A5499">
        <v>90</v>
      </c>
      <c r="B5499" t="b">
        <v>0</v>
      </c>
      <c r="C5499" t="s">
        <v>44595</v>
      </c>
      <c r="D5499">
        <v>1037022454355</v>
      </c>
      <c r="E5499">
        <v>1</v>
      </c>
      <c r="F5499">
        <v>6153215643</v>
      </c>
      <c r="G5499">
        <v>360000000</v>
      </c>
      <c r="H5499" t="s">
        <v>40293</v>
      </c>
      <c r="I5499">
        <v>37631</v>
      </c>
      <c r="J5499">
        <v>1</v>
      </c>
      <c r="K5499">
        <v>1</v>
      </c>
    </row>
    <row r="5500" spans="1:11">
      <c r="A5500">
        <v>90</v>
      </c>
      <c r="B5500" t="b">
        <v>0</v>
      </c>
      <c r="C5500" t="s">
        <v>45784</v>
      </c>
      <c r="D5500">
        <v>1037022454355</v>
      </c>
      <c r="E5500">
        <v>1</v>
      </c>
      <c r="F5500">
        <v>6153427120</v>
      </c>
      <c r="G5500">
        <v>359000000</v>
      </c>
      <c r="H5500" t="s">
        <v>40293</v>
      </c>
      <c r="I5500">
        <v>37631</v>
      </c>
      <c r="J5500">
        <v>2</v>
      </c>
      <c r="K5500">
        <v>2</v>
      </c>
    </row>
    <row r="5501" spans="1:11">
      <c r="A5501">
        <v>90</v>
      </c>
      <c r="B5501" t="b">
        <v>0</v>
      </c>
      <c r="C5501" t="s">
        <v>41339</v>
      </c>
      <c r="D5501">
        <v>1037022454355</v>
      </c>
      <c r="E5501">
        <v>1</v>
      </c>
      <c r="F5501">
        <v>6114858893</v>
      </c>
      <c r="G5501">
        <v>30900000</v>
      </c>
      <c r="H5501" t="s">
        <v>40293</v>
      </c>
      <c r="I5501">
        <v>37820</v>
      </c>
      <c r="J5501">
        <v>6</v>
      </c>
      <c r="K5501">
        <v>10</v>
      </c>
    </row>
    <row r="5502" spans="1:11">
      <c r="A5502">
        <v>90</v>
      </c>
      <c r="B5502" t="b">
        <v>0</v>
      </c>
      <c r="C5502" t="s">
        <v>43961</v>
      </c>
      <c r="D5502">
        <v>1037022454355</v>
      </c>
      <c r="E5502">
        <v>1</v>
      </c>
      <c r="F5502">
        <v>6142262650</v>
      </c>
      <c r="G5502">
        <v>8417</v>
      </c>
      <c r="H5502" t="s">
        <v>40293</v>
      </c>
      <c r="I5502">
        <v>37843</v>
      </c>
      <c r="J5502">
        <v>2574</v>
      </c>
      <c r="K5502">
        <v>3074</v>
      </c>
    </row>
    <row r="5503" spans="1:11">
      <c r="A5503">
        <v>90</v>
      </c>
      <c r="B5503" t="b">
        <v>0</v>
      </c>
      <c r="C5503" t="s">
        <v>43732</v>
      </c>
      <c r="D5503">
        <v>1037022454355</v>
      </c>
      <c r="E5503">
        <v>1</v>
      </c>
      <c r="F5503">
        <v>6138520539</v>
      </c>
      <c r="G5503">
        <v>3000000</v>
      </c>
      <c r="H5503" t="s">
        <v>40293</v>
      </c>
      <c r="I5503">
        <v>37849</v>
      </c>
      <c r="J5503">
        <v>10</v>
      </c>
      <c r="K5503">
        <v>10</v>
      </c>
    </row>
    <row r="5504" spans="1:11">
      <c r="A5504">
        <v>90</v>
      </c>
      <c r="B5504" t="b">
        <v>0</v>
      </c>
      <c r="C5504" t="s">
        <v>43838</v>
      </c>
      <c r="D5504">
        <v>1037022454355</v>
      </c>
      <c r="E5504">
        <v>1</v>
      </c>
      <c r="F5504">
        <v>6145601553</v>
      </c>
      <c r="G5504">
        <v>2500000</v>
      </c>
      <c r="H5504" t="s">
        <v>40293</v>
      </c>
      <c r="I5504">
        <v>37849</v>
      </c>
      <c r="J5504">
        <v>133</v>
      </c>
      <c r="K5504">
        <v>133</v>
      </c>
    </row>
    <row r="5505" spans="1:11">
      <c r="A5505">
        <v>90</v>
      </c>
      <c r="B5505" t="b">
        <v>0</v>
      </c>
      <c r="C5505" t="s">
        <v>43616</v>
      </c>
      <c r="D5505">
        <v>1037022454355</v>
      </c>
      <c r="E5505">
        <v>1</v>
      </c>
      <c r="F5505">
        <v>6138520382</v>
      </c>
      <c r="G5505">
        <v>2500000</v>
      </c>
      <c r="H5505" t="s">
        <v>40293</v>
      </c>
      <c r="I5505">
        <v>37850</v>
      </c>
      <c r="J5505">
        <v>10</v>
      </c>
      <c r="K5505">
        <v>10</v>
      </c>
    </row>
    <row r="5506" spans="1:11">
      <c r="A5506">
        <v>90</v>
      </c>
      <c r="B5506" t="b">
        <v>0</v>
      </c>
      <c r="C5506" t="s">
        <v>45136</v>
      </c>
      <c r="D5506">
        <v>1037022454355</v>
      </c>
      <c r="E5506">
        <v>1</v>
      </c>
      <c r="F5506">
        <v>6152009905</v>
      </c>
      <c r="G5506">
        <v>30000</v>
      </c>
      <c r="H5506" t="s">
        <v>40293</v>
      </c>
      <c r="I5506">
        <v>40334</v>
      </c>
      <c r="J5506">
        <v>91</v>
      </c>
      <c r="K5506">
        <v>97</v>
      </c>
    </row>
    <row r="5507" spans="1:11">
      <c r="A5507">
        <v>90</v>
      </c>
      <c r="B5507" t="b">
        <v>0</v>
      </c>
      <c r="C5507" t="s">
        <v>45674</v>
      </c>
      <c r="D5507">
        <v>1037022454355</v>
      </c>
      <c r="E5507">
        <v>1</v>
      </c>
      <c r="F5507">
        <v>6152545105</v>
      </c>
      <c r="G5507">
        <v>15000</v>
      </c>
      <c r="H5507" t="s">
        <v>40293</v>
      </c>
      <c r="I5507">
        <v>40334</v>
      </c>
      <c r="J5507">
        <v>12</v>
      </c>
      <c r="K5507">
        <v>100</v>
      </c>
    </row>
    <row r="5508" spans="1:11">
      <c r="A5508">
        <v>90</v>
      </c>
      <c r="B5508" t="b">
        <v>0</v>
      </c>
      <c r="C5508" t="s">
        <v>45100</v>
      </c>
      <c r="D5508">
        <v>1037022454355</v>
      </c>
      <c r="E5508">
        <v>1</v>
      </c>
      <c r="F5508">
        <v>6152009372</v>
      </c>
      <c r="G5508">
        <v>30000</v>
      </c>
      <c r="H5508" t="s">
        <v>40293</v>
      </c>
      <c r="I5508">
        <v>40335</v>
      </c>
      <c r="J5508">
        <v>82</v>
      </c>
      <c r="K5508">
        <v>90</v>
      </c>
    </row>
    <row r="5509" spans="1:11">
      <c r="A5509">
        <v>90</v>
      </c>
      <c r="B5509" t="b">
        <v>0</v>
      </c>
      <c r="C5509" t="s">
        <v>46013</v>
      </c>
      <c r="D5509">
        <v>1037022454355</v>
      </c>
      <c r="E5509">
        <v>1</v>
      </c>
      <c r="F5509">
        <v>6152544979</v>
      </c>
      <c r="G5509">
        <v>15000</v>
      </c>
      <c r="H5509" t="s">
        <v>40293</v>
      </c>
      <c r="I5509">
        <v>40335</v>
      </c>
      <c r="J5509">
        <v>15</v>
      </c>
      <c r="K5509">
        <v>100</v>
      </c>
    </row>
    <row r="5510" spans="1:11">
      <c r="A5510">
        <v>90</v>
      </c>
      <c r="B5510" t="b">
        <v>0</v>
      </c>
      <c r="C5510" t="s">
        <v>45497</v>
      </c>
      <c r="D5510">
        <v>1037022454355</v>
      </c>
      <c r="E5510">
        <v>1</v>
      </c>
      <c r="F5510">
        <v>6156471422</v>
      </c>
      <c r="G5510">
        <v>4100000</v>
      </c>
      <c r="H5510" t="s">
        <v>40293</v>
      </c>
      <c r="I5510">
        <v>40346</v>
      </c>
      <c r="J5510">
        <v>9</v>
      </c>
      <c r="K5510">
        <v>9</v>
      </c>
    </row>
    <row r="5511" spans="1:11">
      <c r="A5511">
        <v>90</v>
      </c>
      <c r="B5511" t="b">
        <v>0</v>
      </c>
      <c r="C5511" t="s">
        <v>45505</v>
      </c>
      <c r="D5511">
        <v>1037022454355</v>
      </c>
      <c r="E5511">
        <v>1</v>
      </c>
      <c r="F5511">
        <v>6154199521</v>
      </c>
      <c r="G5511">
        <v>6000000</v>
      </c>
      <c r="H5511" t="s">
        <v>40293</v>
      </c>
      <c r="I5511">
        <v>40347</v>
      </c>
      <c r="J5511">
        <v>3</v>
      </c>
      <c r="K5511">
        <v>3</v>
      </c>
    </row>
    <row r="5512" spans="1:11">
      <c r="A5512">
        <v>90</v>
      </c>
      <c r="B5512" t="b">
        <v>0</v>
      </c>
      <c r="C5512" t="s">
        <v>41743</v>
      </c>
      <c r="D5512">
        <v>1037022454355</v>
      </c>
      <c r="E5512">
        <v>1</v>
      </c>
      <c r="F5512">
        <v>6123191841</v>
      </c>
      <c r="G5512">
        <v>49910000</v>
      </c>
      <c r="H5512" t="s">
        <v>40293</v>
      </c>
      <c r="I5512">
        <v>40348</v>
      </c>
      <c r="J5512">
        <v>2</v>
      </c>
      <c r="K5512">
        <v>2</v>
      </c>
    </row>
    <row r="5513" spans="1:11">
      <c r="A5513">
        <v>90</v>
      </c>
      <c r="B5513" t="b">
        <v>0</v>
      </c>
      <c r="C5513" t="s">
        <v>42051</v>
      </c>
      <c r="D5513">
        <v>1037022454355</v>
      </c>
      <c r="E5513">
        <v>1</v>
      </c>
      <c r="F5513">
        <v>6100031124</v>
      </c>
      <c r="G5513">
        <v>49800000</v>
      </c>
      <c r="H5513" t="s">
        <v>40293</v>
      </c>
      <c r="I5513">
        <v>40348</v>
      </c>
      <c r="J5513">
        <v>2</v>
      </c>
      <c r="K5513">
        <v>2</v>
      </c>
    </row>
    <row r="5514" spans="1:11">
      <c r="A5514">
        <v>90</v>
      </c>
      <c r="B5514" t="b">
        <v>0</v>
      </c>
      <c r="C5514" t="s">
        <v>42519</v>
      </c>
      <c r="D5514">
        <v>1037022454355</v>
      </c>
      <c r="E5514">
        <v>1</v>
      </c>
      <c r="F5514">
        <v>6137460681</v>
      </c>
      <c r="G5514">
        <v>48000000</v>
      </c>
      <c r="H5514" t="s">
        <v>40293</v>
      </c>
      <c r="I5514">
        <v>40348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43259</v>
      </c>
      <c r="D5515">
        <v>1037022454355</v>
      </c>
      <c r="E5515">
        <v>1</v>
      </c>
      <c r="F5515">
        <v>6143814198</v>
      </c>
      <c r="G5515">
        <v>46000000</v>
      </c>
      <c r="H5515" t="s">
        <v>40293</v>
      </c>
      <c r="I5515">
        <v>40348</v>
      </c>
      <c r="J5515">
        <v>2</v>
      </c>
      <c r="K5515">
        <v>2</v>
      </c>
    </row>
    <row r="5516" spans="1:11">
      <c r="A5516">
        <v>90</v>
      </c>
      <c r="B5516" t="b">
        <v>0</v>
      </c>
      <c r="C5516" t="s">
        <v>44182</v>
      </c>
      <c r="D5516">
        <v>1037022454355</v>
      </c>
      <c r="E5516">
        <v>1</v>
      </c>
      <c r="F5516">
        <v>6148949954</v>
      </c>
      <c r="G5516">
        <v>45000000</v>
      </c>
      <c r="H5516" t="s">
        <v>40293</v>
      </c>
      <c r="I5516">
        <v>40348</v>
      </c>
      <c r="J5516">
        <v>1</v>
      </c>
      <c r="K5516">
        <v>1</v>
      </c>
    </row>
    <row r="5517" spans="1:11">
      <c r="A5517">
        <v>90</v>
      </c>
      <c r="B5517" t="b">
        <v>0</v>
      </c>
      <c r="C5517" t="s">
        <v>44182</v>
      </c>
      <c r="D5517">
        <v>1037022454355</v>
      </c>
      <c r="E5517">
        <v>1</v>
      </c>
      <c r="F5517">
        <v>6148949955</v>
      </c>
      <c r="G5517">
        <v>45000000</v>
      </c>
      <c r="H5517" t="s">
        <v>40293</v>
      </c>
      <c r="I5517">
        <v>40348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40512</v>
      </c>
      <c r="D5518">
        <v>1037022454355</v>
      </c>
      <c r="E5518">
        <v>1</v>
      </c>
      <c r="F5518">
        <v>6097179723</v>
      </c>
      <c r="G5518">
        <v>205500000</v>
      </c>
      <c r="H5518" t="s">
        <v>40293</v>
      </c>
      <c r="I5518">
        <v>40349</v>
      </c>
      <c r="J5518">
        <v>1</v>
      </c>
      <c r="K5518">
        <v>2</v>
      </c>
    </row>
    <row r="5519" spans="1:11">
      <c r="A5519">
        <v>90</v>
      </c>
      <c r="B5519" t="b">
        <v>0</v>
      </c>
      <c r="C5519" t="s">
        <v>40509</v>
      </c>
      <c r="D5519">
        <v>1037022454355</v>
      </c>
      <c r="E5519">
        <v>1</v>
      </c>
      <c r="F5519">
        <v>6097765199</v>
      </c>
      <c r="G5519">
        <v>443000000</v>
      </c>
      <c r="H5519" t="s">
        <v>40293</v>
      </c>
      <c r="I5519">
        <v>40351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41641</v>
      </c>
      <c r="D5520">
        <v>1037022454355</v>
      </c>
      <c r="E5520">
        <v>1</v>
      </c>
      <c r="F5520">
        <v>6109132111</v>
      </c>
      <c r="G5520">
        <v>300000000</v>
      </c>
      <c r="H5520" t="s">
        <v>40293</v>
      </c>
      <c r="I5520">
        <v>40351</v>
      </c>
      <c r="J5520">
        <v>1</v>
      </c>
      <c r="K5520">
        <v>1</v>
      </c>
    </row>
    <row r="5521" spans="1:11">
      <c r="A5521">
        <v>90</v>
      </c>
      <c r="B5521" t="b">
        <v>0</v>
      </c>
      <c r="C5521" t="s">
        <v>44533</v>
      </c>
      <c r="D5521">
        <v>1037022454355</v>
      </c>
      <c r="E5521">
        <v>1</v>
      </c>
      <c r="F5521">
        <v>6156163913</v>
      </c>
      <c r="G5521">
        <v>280000000</v>
      </c>
      <c r="H5521" t="s">
        <v>40293</v>
      </c>
      <c r="I5521">
        <v>40351</v>
      </c>
      <c r="J5521">
        <v>2</v>
      </c>
      <c r="K5521">
        <v>2</v>
      </c>
    </row>
    <row r="5522" spans="1:11">
      <c r="A5522">
        <v>90</v>
      </c>
      <c r="B5522" t="b">
        <v>0</v>
      </c>
      <c r="C5522" t="s">
        <v>41655</v>
      </c>
      <c r="D5522">
        <v>1037022454355</v>
      </c>
      <c r="E5522">
        <v>1</v>
      </c>
      <c r="F5522">
        <v>6071514648</v>
      </c>
      <c r="G5522">
        <v>29350000</v>
      </c>
      <c r="H5522" t="s">
        <v>40293</v>
      </c>
      <c r="I5522">
        <v>40355</v>
      </c>
      <c r="J5522">
        <v>2</v>
      </c>
      <c r="K5522">
        <v>2</v>
      </c>
    </row>
    <row r="5523" spans="1:11">
      <c r="A5523">
        <v>90</v>
      </c>
      <c r="B5523" t="b">
        <v>0</v>
      </c>
      <c r="C5523" t="s">
        <v>43745</v>
      </c>
      <c r="D5523">
        <v>1037022454355</v>
      </c>
      <c r="E5523">
        <v>1</v>
      </c>
      <c r="F5523">
        <v>6075540775</v>
      </c>
      <c r="G5523">
        <v>28900000</v>
      </c>
      <c r="H5523" t="s">
        <v>40293</v>
      </c>
      <c r="I5523">
        <v>40355</v>
      </c>
      <c r="J5523">
        <v>1</v>
      </c>
      <c r="K5523">
        <v>1</v>
      </c>
    </row>
    <row r="5524" spans="1:11">
      <c r="A5524">
        <v>90</v>
      </c>
      <c r="B5524" t="b">
        <v>0</v>
      </c>
      <c r="C5524" t="s">
        <v>40656</v>
      </c>
      <c r="D5524">
        <v>1037022454355</v>
      </c>
      <c r="E5524">
        <v>1</v>
      </c>
      <c r="F5524">
        <v>6118973250</v>
      </c>
      <c r="G5524">
        <v>24000000</v>
      </c>
      <c r="H5524" t="s">
        <v>40293</v>
      </c>
      <c r="I5524">
        <v>40355</v>
      </c>
      <c r="J5524">
        <v>2</v>
      </c>
      <c r="K5524">
        <v>2</v>
      </c>
    </row>
    <row r="5525" spans="1:11">
      <c r="A5525">
        <v>90</v>
      </c>
      <c r="B5525" t="b">
        <v>0</v>
      </c>
      <c r="C5525" t="s">
        <v>41929</v>
      </c>
      <c r="D5525">
        <v>1037022454355</v>
      </c>
      <c r="E5525">
        <v>1</v>
      </c>
      <c r="F5525">
        <v>6077569046</v>
      </c>
      <c r="G5525">
        <v>23980000</v>
      </c>
      <c r="H5525" t="s">
        <v>40293</v>
      </c>
      <c r="I5525">
        <v>40355</v>
      </c>
      <c r="J5525">
        <v>2</v>
      </c>
      <c r="K5525">
        <v>3</v>
      </c>
    </row>
    <row r="5526" spans="1:11">
      <c r="A5526">
        <v>90</v>
      </c>
      <c r="B5526" t="b">
        <v>0</v>
      </c>
      <c r="C5526" t="s">
        <v>45182</v>
      </c>
      <c r="D5526">
        <v>1037022454355</v>
      </c>
      <c r="E5526">
        <v>1</v>
      </c>
      <c r="F5526">
        <v>6153222898</v>
      </c>
      <c r="G5526">
        <v>50000000</v>
      </c>
      <c r="H5526" t="s">
        <v>40293</v>
      </c>
      <c r="I5526">
        <v>40356</v>
      </c>
      <c r="J5526">
        <v>1</v>
      </c>
      <c r="K5526">
        <v>1</v>
      </c>
    </row>
    <row r="5527" spans="1:11">
      <c r="A5527">
        <v>90</v>
      </c>
      <c r="B5527" t="b">
        <v>0</v>
      </c>
      <c r="C5527" t="s">
        <v>44129</v>
      </c>
      <c r="D5527">
        <v>1037022454355</v>
      </c>
      <c r="E5527">
        <v>1</v>
      </c>
      <c r="F5527">
        <v>6156125351</v>
      </c>
      <c r="G5527">
        <v>228200000</v>
      </c>
      <c r="H5527" t="s">
        <v>40293</v>
      </c>
      <c r="I5527">
        <v>40357</v>
      </c>
      <c r="J5527">
        <v>5</v>
      </c>
      <c r="K5527">
        <v>5</v>
      </c>
    </row>
    <row r="5528" spans="1:11">
      <c r="A5528">
        <v>90</v>
      </c>
      <c r="B5528" t="b">
        <v>0</v>
      </c>
      <c r="C5528" t="s">
        <v>41584</v>
      </c>
      <c r="D5528">
        <v>1037022454355</v>
      </c>
      <c r="E5528">
        <v>1</v>
      </c>
      <c r="F5528">
        <v>6116601852</v>
      </c>
      <c r="G5528">
        <v>3950000</v>
      </c>
      <c r="H5528" t="s">
        <v>40293</v>
      </c>
      <c r="I5528">
        <v>40358</v>
      </c>
      <c r="J5528">
        <v>26</v>
      </c>
      <c r="K5528">
        <v>36</v>
      </c>
    </row>
    <row r="5529" spans="1:11">
      <c r="A5529">
        <v>90</v>
      </c>
      <c r="B5529" t="b">
        <v>0</v>
      </c>
      <c r="C5529" t="s">
        <v>43959</v>
      </c>
      <c r="D5529">
        <v>1037022454355</v>
      </c>
      <c r="E5529">
        <v>1</v>
      </c>
      <c r="F5529">
        <v>6142852459</v>
      </c>
      <c r="G5529">
        <v>2790000</v>
      </c>
      <c r="H5529" t="s">
        <v>40293</v>
      </c>
      <c r="I5529">
        <v>40359</v>
      </c>
      <c r="J5529">
        <v>16</v>
      </c>
      <c r="K5529">
        <v>16</v>
      </c>
    </row>
    <row r="5530" spans="1:11">
      <c r="A5530">
        <v>90</v>
      </c>
      <c r="B5530" t="b">
        <v>0</v>
      </c>
      <c r="C5530" t="s">
        <v>41843</v>
      </c>
      <c r="D5530">
        <v>1037022454355</v>
      </c>
      <c r="E5530">
        <v>1</v>
      </c>
      <c r="F5530">
        <v>6081849251</v>
      </c>
      <c r="G5530">
        <v>2490000</v>
      </c>
      <c r="H5530" t="s">
        <v>40293</v>
      </c>
      <c r="I5530">
        <v>40359</v>
      </c>
      <c r="J5530">
        <v>2</v>
      </c>
      <c r="K5530">
        <v>13</v>
      </c>
    </row>
    <row r="5531" spans="1:11">
      <c r="A5531">
        <v>90</v>
      </c>
      <c r="B5531" t="b">
        <v>0</v>
      </c>
      <c r="C5531" t="s">
        <v>41504</v>
      </c>
      <c r="D5531">
        <v>1037022454355</v>
      </c>
      <c r="E5531">
        <v>1</v>
      </c>
      <c r="F5531">
        <v>6107162665</v>
      </c>
      <c r="G5531">
        <v>2200000</v>
      </c>
      <c r="H5531" t="s">
        <v>40293</v>
      </c>
      <c r="I5531">
        <v>40360</v>
      </c>
      <c r="J5531">
        <v>10</v>
      </c>
      <c r="K5531">
        <v>18</v>
      </c>
    </row>
    <row r="5532" spans="1:11">
      <c r="A5532">
        <v>90</v>
      </c>
      <c r="B5532" t="b">
        <v>0</v>
      </c>
      <c r="C5532" t="s">
        <v>41545</v>
      </c>
      <c r="D5532">
        <v>1037022454355</v>
      </c>
      <c r="E5532">
        <v>1</v>
      </c>
      <c r="F5532">
        <v>6097005654</v>
      </c>
      <c r="G5532">
        <v>15000000</v>
      </c>
      <c r="H5532" t="s">
        <v>40293</v>
      </c>
      <c r="I5532">
        <v>40362</v>
      </c>
      <c r="J5532">
        <v>5</v>
      </c>
      <c r="K5532">
        <v>5</v>
      </c>
    </row>
    <row r="5533" spans="1:11">
      <c r="A5533">
        <v>90</v>
      </c>
      <c r="B5533" t="b">
        <v>0</v>
      </c>
      <c r="C5533" t="s">
        <v>41462</v>
      </c>
      <c r="D5533">
        <v>1037022454355</v>
      </c>
      <c r="E5533">
        <v>1</v>
      </c>
      <c r="F5533">
        <v>6098838453</v>
      </c>
      <c r="G5533">
        <v>13000000</v>
      </c>
      <c r="H5533" t="s">
        <v>40293</v>
      </c>
      <c r="I5533">
        <v>40362</v>
      </c>
      <c r="J5533">
        <v>23</v>
      </c>
      <c r="K5533">
        <v>23</v>
      </c>
    </row>
    <row r="5534" spans="1:11">
      <c r="A5534">
        <v>90</v>
      </c>
      <c r="B5534" t="b">
        <v>0</v>
      </c>
      <c r="C5534" t="s">
        <v>41274</v>
      </c>
      <c r="D5534">
        <v>1037022454355</v>
      </c>
      <c r="E5534">
        <v>1</v>
      </c>
      <c r="F5534">
        <v>6104404908</v>
      </c>
      <c r="G5534">
        <v>12900000</v>
      </c>
      <c r="H5534" t="s">
        <v>40293</v>
      </c>
      <c r="I5534">
        <v>40362</v>
      </c>
      <c r="J5534">
        <v>34</v>
      </c>
      <c r="K5534">
        <v>34</v>
      </c>
    </row>
    <row r="5535" spans="1:11">
      <c r="A5535">
        <v>90</v>
      </c>
      <c r="B5535" t="b">
        <v>0</v>
      </c>
      <c r="C5535" t="s">
        <v>44769</v>
      </c>
      <c r="D5535">
        <v>1037022454355</v>
      </c>
      <c r="E5535">
        <v>1</v>
      </c>
      <c r="F5535">
        <v>6089254472</v>
      </c>
      <c r="G5535">
        <v>11500000</v>
      </c>
      <c r="H5535" t="s">
        <v>40293</v>
      </c>
      <c r="I5535">
        <v>40362</v>
      </c>
      <c r="J5535">
        <v>48</v>
      </c>
      <c r="K5535">
        <v>48</v>
      </c>
    </row>
    <row r="5536" spans="1:11">
      <c r="A5536">
        <v>90</v>
      </c>
      <c r="B5536" t="b">
        <v>0</v>
      </c>
      <c r="C5536" t="s">
        <v>42985</v>
      </c>
      <c r="D5536">
        <v>1037022454355</v>
      </c>
      <c r="E5536">
        <v>1</v>
      </c>
      <c r="F5536">
        <v>6143151548</v>
      </c>
      <c r="G5536">
        <v>8000000</v>
      </c>
      <c r="H5536" t="s">
        <v>40293</v>
      </c>
      <c r="I5536">
        <v>40362</v>
      </c>
      <c r="J5536">
        <v>10</v>
      </c>
      <c r="K5536">
        <v>10</v>
      </c>
    </row>
    <row r="5537" spans="1:11">
      <c r="A5537">
        <v>90</v>
      </c>
      <c r="B5537" t="b">
        <v>0</v>
      </c>
      <c r="C5537" t="s">
        <v>43342</v>
      </c>
      <c r="D5537">
        <v>1037022454355</v>
      </c>
      <c r="E5537">
        <v>1</v>
      </c>
      <c r="F5537">
        <v>6143554156</v>
      </c>
      <c r="G5537">
        <v>8000000</v>
      </c>
      <c r="H5537" t="s">
        <v>40293</v>
      </c>
      <c r="I5537">
        <v>40362</v>
      </c>
      <c r="J5537">
        <v>16</v>
      </c>
      <c r="K5537">
        <v>16</v>
      </c>
    </row>
    <row r="5538" spans="1:11">
      <c r="A5538">
        <v>90</v>
      </c>
      <c r="B5538" t="b">
        <v>0</v>
      </c>
      <c r="C5538" t="s">
        <v>41082</v>
      </c>
      <c r="D5538">
        <v>1037022454355</v>
      </c>
      <c r="E5538">
        <v>1</v>
      </c>
      <c r="F5538">
        <v>6106465758</v>
      </c>
      <c r="G5538">
        <v>8000000</v>
      </c>
      <c r="H5538" t="s">
        <v>40293</v>
      </c>
      <c r="I5538">
        <v>40362</v>
      </c>
      <c r="J5538">
        <v>16</v>
      </c>
      <c r="K5538">
        <v>24</v>
      </c>
    </row>
    <row r="5539" spans="1:11">
      <c r="A5539">
        <v>30</v>
      </c>
      <c r="B5539" t="b">
        <v>0</v>
      </c>
      <c r="C5539" t="s">
        <v>44475</v>
      </c>
      <c r="D5539">
        <v>1037022454355</v>
      </c>
      <c r="E5539">
        <v>1</v>
      </c>
      <c r="F5539">
        <v>6149183511</v>
      </c>
      <c r="G5539">
        <v>7000000</v>
      </c>
      <c r="H5539" t="s">
        <v>40293</v>
      </c>
      <c r="I5539">
        <v>40362</v>
      </c>
      <c r="J5539">
        <v>8</v>
      </c>
      <c r="K5539">
        <v>10</v>
      </c>
    </row>
    <row r="5540" spans="1:11">
      <c r="A5540">
        <v>90</v>
      </c>
      <c r="B5540" t="b">
        <v>0</v>
      </c>
      <c r="C5540" t="s">
        <v>44068</v>
      </c>
      <c r="D5540">
        <v>1037022454355</v>
      </c>
      <c r="E5540">
        <v>1</v>
      </c>
      <c r="F5540">
        <v>6154912163</v>
      </c>
      <c r="G5540">
        <v>5000000</v>
      </c>
      <c r="H5540" t="s">
        <v>40293</v>
      </c>
      <c r="I5540">
        <v>40362</v>
      </c>
      <c r="J5540">
        <v>1</v>
      </c>
      <c r="K5540">
        <v>1</v>
      </c>
    </row>
    <row r="5541" spans="1:11">
      <c r="A5541">
        <v>90</v>
      </c>
      <c r="B5541" t="b">
        <v>0</v>
      </c>
      <c r="C5541" t="s">
        <v>41135</v>
      </c>
      <c r="D5541">
        <v>1037022454355</v>
      </c>
      <c r="E5541">
        <v>1</v>
      </c>
      <c r="F5541">
        <v>6112205780</v>
      </c>
      <c r="G5541">
        <v>18000000</v>
      </c>
      <c r="H5541" t="s">
        <v>40293</v>
      </c>
      <c r="I5541">
        <v>40365</v>
      </c>
      <c r="J5541">
        <v>58</v>
      </c>
      <c r="K5541">
        <v>58</v>
      </c>
    </row>
    <row r="5542" spans="1:11">
      <c r="A5542">
        <v>90</v>
      </c>
      <c r="B5542" t="b">
        <v>0</v>
      </c>
      <c r="C5542" t="s">
        <v>46204</v>
      </c>
      <c r="D5542">
        <v>1037022454355</v>
      </c>
      <c r="E5542">
        <v>1</v>
      </c>
      <c r="F5542">
        <v>6155988444</v>
      </c>
      <c r="G5542">
        <v>360000000</v>
      </c>
      <c r="H5542" t="s">
        <v>40293</v>
      </c>
      <c r="I5542">
        <v>40519</v>
      </c>
      <c r="J5542">
        <v>1</v>
      </c>
      <c r="K5542">
        <v>1</v>
      </c>
    </row>
    <row r="5543" spans="1:11">
      <c r="A5543">
        <v>90</v>
      </c>
      <c r="B5543" t="b">
        <v>0</v>
      </c>
      <c r="C5543" t="s">
        <v>44589</v>
      </c>
      <c r="D5543">
        <v>1037022454355</v>
      </c>
      <c r="E5543">
        <v>1</v>
      </c>
      <c r="F5543">
        <v>6154034813</v>
      </c>
      <c r="G5543">
        <v>750000000</v>
      </c>
      <c r="H5543" t="s">
        <v>40293</v>
      </c>
      <c r="I5543">
        <v>40520</v>
      </c>
      <c r="J5543">
        <v>1</v>
      </c>
      <c r="K5543">
        <v>6</v>
      </c>
    </row>
    <row r="5544" spans="1:11">
      <c r="A5544">
        <v>90</v>
      </c>
      <c r="B5544" t="b">
        <v>0</v>
      </c>
      <c r="C5544" t="s">
        <v>44438</v>
      </c>
      <c r="D5544">
        <v>1037022454355</v>
      </c>
      <c r="E5544">
        <v>1</v>
      </c>
      <c r="F5544">
        <v>6154917310</v>
      </c>
      <c r="G5544">
        <v>749900000</v>
      </c>
      <c r="H5544" t="s">
        <v>40293</v>
      </c>
      <c r="I5544">
        <v>40520</v>
      </c>
      <c r="J5544">
        <v>1</v>
      </c>
      <c r="K5544">
        <v>1</v>
      </c>
    </row>
    <row r="5545" spans="1:11">
      <c r="A5545">
        <v>90</v>
      </c>
      <c r="B5545" t="b">
        <v>0</v>
      </c>
      <c r="C5545" t="s">
        <v>44468</v>
      </c>
      <c r="D5545">
        <v>1037022454355</v>
      </c>
      <c r="E5545">
        <v>1</v>
      </c>
      <c r="F5545">
        <v>6155179957</v>
      </c>
      <c r="G5545">
        <v>749800000</v>
      </c>
      <c r="H5545" t="s">
        <v>40293</v>
      </c>
      <c r="I5545">
        <v>40520</v>
      </c>
      <c r="J5545">
        <v>1</v>
      </c>
      <c r="K5545">
        <v>6</v>
      </c>
    </row>
    <row r="5546" spans="1:11">
      <c r="A5546">
        <v>90</v>
      </c>
      <c r="B5546" t="b">
        <v>0</v>
      </c>
      <c r="C5546" t="s">
        <v>45882</v>
      </c>
      <c r="D5546">
        <v>1037022454355</v>
      </c>
      <c r="E5546">
        <v>1</v>
      </c>
      <c r="F5546">
        <v>6155426967</v>
      </c>
      <c r="G5546">
        <v>749700000</v>
      </c>
      <c r="H5546" t="s">
        <v>40293</v>
      </c>
      <c r="I5546">
        <v>40520</v>
      </c>
      <c r="J5546">
        <v>1</v>
      </c>
      <c r="K5546">
        <v>1</v>
      </c>
    </row>
    <row r="5547" spans="1:11">
      <c r="A5547">
        <v>90</v>
      </c>
      <c r="B5547" t="b">
        <v>0</v>
      </c>
      <c r="C5547" t="s">
        <v>44195</v>
      </c>
      <c r="D5547">
        <v>1037022454355</v>
      </c>
      <c r="E5547">
        <v>1</v>
      </c>
      <c r="F5547">
        <v>6156233745</v>
      </c>
      <c r="G5547">
        <v>740000000</v>
      </c>
      <c r="H5547" t="s">
        <v>40293</v>
      </c>
      <c r="I5547">
        <v>40520</v>
      </c>
      <c r="J5547">
        <v>10</v>
      </c>
      <c r="K5547">
        <v>10</v>
      </c>
    </row>
    <row r="5548" spans="1:11">
      <c r="A5548">
        <v>30</v>
      </c>
      <c r="B5548" t="b">
        <v>0</v>
      </c>
      <c r="C5548" t="s">
        <v>45544</v>
      </c>
      <c r="D5548">
        <v>1037022454355</v>
      </c>
      <c r="E5548">
        <v>1</v>
      </c>
      <c r="F5548">
        <v>6156340522</v>
      </c>
      <c r="G5548">
        <v>730000000</v>
      </c>
      <c r="H5548" t="s">
        <v>40293</v>
      </c>
      <c r="I5548">
        <v>40520</v>
      </c>
      <c r="J5548">
        <v>5</v>
      </c>
      <c r="K5548">
        <v>5</v>
      </c>
    </row>
    <row r="5549" spans="1:11">
      <c r="A5549">
        <v>90</v>
      </c>
      <c r="B5549" t="b">
        <v>0</v>
      </c>
      <c r="C5549" t="s">
        <v>44635</v>
      </c>
      <c r="D5549">
        <v>1037022454355</v>
      </c>
      <c r="E5549">
        <v>1</v>
      </c>
      <c r="F5549">
        <v>6156918946</v>
      </c>
      <c r="G5549">
        <v>725900000</v>
      </c>
      <c r="H5549" t="s">
        <v>40293</v>
      </c>
      <c r="I5549">
        <v>40520</v>
      </c>
      <c r="J5549">
        <v>3</v>
      </c>
      <c r="K5549">
        <v>3</v>
      </c>
    </row>
    <row r="5550" spans="1:11">
      <c r="A5550">
        <v>30</v>
      </c>
      <c r="B5550" t="b">
        <v>0</v>
      </c>
      <c r="C5550" t="s">
        <v>45541</v>
      </c>
      <c r="D5550">
        <v>1037022454355</v>
      </c>
      <c r="E5550">
        <v>1</v>
      </c>
      <c r="F5550">
        <v>6156340481</v>
      </c>
      <c r="G5550">
        <v>720000000</v>
      </c>
      <c r="H5550" t="s">
        <v>40293</v>
      </c>
      <c r="I5550">
        <v>40520</v>
      </c>
      <c r="J5550">
        <v>4</v>
      </c>
      <c r="K5550">
        <v>5</v>
      </c>
    </row>
    <row r="5551" spans="1:11">
      <c r="A5551">
        <v>90</v>
      </c>
      <c r="B5551" t="b">
        <v>0</v>
      </c>
      <c r="C5551" t="s">
        <v>45964</v>
      </c>
      <c r="D5551">
        <v>1037022454355</v>
      </c>
      <c r="E5551">
        <v>1</v>
      </c>
      <c r="F5551">
        <v>6156116053</v>
      </c>
      <c r="G5551">
        <v>719900000</v>
      </c>
      <c r="H5551" t="s">
        <v>40293</v>
      </c>
      <c r="I5551">
        <v>40520</v>
      </c>
      <c r="J5551">
        <v>5</v>
      </c>
      <c r="K5551">
        <v>5</v>
      </c>
    </row>
    <row r="5552" spans="1:11">
      <c r="A5552">
        <v>90</v>
      </c>
      <c r="B5552" t="b">
        <v>0</v>
      </c>
      <c r="C5552" t="s">
        <v>45084</v>
      </c>
      <c r="D5552">
        <v>1037022454355</v>
      </c>
      <c r="E5552">
        <v>1</v>
      </c>
      <c r="F5552">
        <v>6157317548</v>
      </c>
      <c r="G5552">
        <v>719800000</v>
      </c>
      <c r="H5552" t="s">
        <v>40293</v>
      </c>
      <c r="I5552">
        <v>40520</v>
      </c>
      <c r="J5552">
        <v>1</v>
      </c>
      <c r="K5552">
        <v>1</v>
      </c>
    </row>
    <row r="5553" spans="1:11">
      <c r="A5553">
        <v>90</v>
      </c>
      <c r="B5553" t="b">
        <v>0</v>
      </c>
      <c r="C5553" t="s">
        <v>44528</v>
      </c>
      <c r="D5553">
        <v>1037022454355</v>
      </c>
      <c r="E5553">
        <v>1</v>
      </c>
      <c r="F5553">
        <v>6148692776</v>
      </c>
      <c r="G5553">
        <v>10900000</v>
      </c>
      <c r="H5553" t="s">
        <v>40293</v>
      </c>
      <c r="I5553">
        <v>40552</v>
      </c>
      <c r="J5553">
        <v>10</v>
      </c>
      <c r="K5553">
        <v>10</v>
      </c>
    </row>
    <row r="5554" spans="1:11">
      <c r="A5554">
        <v>90</v>
      </c>
      <c r="B5554" t="b">
        <v>0</v>
      </c>
      <c r="C5554" t="s">
        <v>45239</v>
      </c>
      <c r="D5554">
        <v>1037022454355</v>
      </c>
      <c r="E5554">
        <v>1</v>
      </c>
      <c r="F5554">
        <v>6150700546</v>
      </c>
      <c r="G5554">
        <v>9595000</v>
      </c>
      <c r="H5554" t="s">
        <v>40293</v>
      </c>
      <c r="I5554">
        <v>40552</v>
      </c>
      <c r="J5554">
        <v>6</v>
      </c>
      <c r="K5554">
        <v>14</v>
      </c>
    </row>
    <row r="5555" spans="1:11">
      <c r="A5555">
        <v>90</v>
      </c>
      <c r="B5555" t="b">
        <v>0</v>
      </c>
      <c r="C5555" t="s">
        <v>45991</v>
      </c>
      <c r="D5555">
        <v>1037022454355</v>
      </c>
      <c r="E5555">
        <v>1</v>
      </c>
      <c r="F5555">
        <v>6155494817</v>
      </c>
      <c r="G5555">
        <v>9594000</v>
      </c>
      <c r="H5555" t="s">
        <v>40293</v>
      </c>
      <c r="I5555">
        <v>40552</v>
      </c>
      <c r="J5555">
        <v>8</v>
      </c>
      <c r="K5555">
        <v>8</v>
      </c>
    </row>
    <row r="5556" spans="1:11">
      <c r="A5556">
        <v>90</v>
      </c>
      <c r="B5556" t="b">
        <v>0</v>
      </c>
      <c r="C5556" t="s">
        <v>40904</v>
      </c>
      <c r="D5556">
        <v>1037022454355</v>
      </c>
      <c r="E5556">
        <v>1</v>
      </c>
      <c r="F5556">
        <v>6123637030</v>
      </c>
      <c r="G5556">
        <v>8000000</v>
      </c>
      <c r="H5556" t="s">
        <v>40293</v>
      </c>
      <c r="I5556">
        <v>40553</v>
      </c>
      <c r="J5556">
        <v>76</v>
      </c>
      <c r="K5556">
        <v>100</v>
      </c>
    </row>
    <row r="5557" spans="1:11">
      <c r="A5557">
        <v>90</v>
      </c>
      <c r="B5557" t="b">
        <v>0</v>
      </c>
      <c r="C5557" t="s">
        <v>44123</v>
      </c>
      <c r="D5557">
        <v>1037022454355</v>
      </c>
      <c r="E5557">
        <v>1</v>
      </c>
      <c r="F5557">
        <v>6154716231</v>
      </c>
      <c r="G5557">
        <v>7999000</v>
      </c>
      <c r="H5557" t="s">
        <v>40293</v>
      </c>
      <c r="I5557">
        <v>40553</v>
      </c>
      <c r="J5557">
        <v>953</v>
      </c>
      <c r="K5557">
        <v>953</v>
      </c>
    </row>
    <row r="5558" spans="1:11">
      <c r="A5558">
        <v>90</v>
      </c>
      <c r="B5558" t="b">
        <v>0</v>
      </c>
      <c r="C5558" t="s">
        <v>42886</v>
      </c>
      <c r="D5558">
        <v>1037022454355</v>
      </c>
      <c r="E5558">
        <v>1</v>
      </c>
      <c r="F5558">
        <v>6142853239</v>
      </c>
      <c r="G5558">
        <v>9000000</v>
      </c>
      <c r="H5558" t="s">
        <v>40293</v>
      </c>
      <c r="I5558">
        <v>40554</v>
      </c>
      <c r="J5558">
        <v>13</v>
      </c>
      <c r="K5558">
        <v>13</v>
      </c>
    </row>
    <row r="5559" spans="1:11">
      <c r="A5559">
        <v>90</v>
      </c>
      <c r="B5559" t="b">
        <v>0</v>
      </c>
      <c r="C5559" t="s">
        <v>43835</v>
      </c>
      <c r="D5559">
        <v>1037022454355</v>
      </c>
      <c r="E5559">
        <v>1</v>
      </c>
      <c r="F5559">
        <v>6142816175</v>
      </c>
      <c r="G5559">
        <v>9995000</v>
      </c>
      <c r="H5559" t="s">
        <v>40293</v>
      </c>
      <c r="I5559">
        <v>40555</v>
      </c>
      <c r="J5559">
        <v>13</v>
      </c>
      <c r="K5559">
        <v>13</v>
      </c>
    </row>
    <row r="5560" spans="1:11">
      <c r="A5560">
        <v>90</v>
      </c>
      <c r="B5560" t="b">
        <v>0</v>
      </c>
      <c r="C5560" t="s">
        <v>43537</v>
      </c>
      <c r="D5560">
        <v>1037022454355</v>
      </c>
      <c r="E5560">
        <v>1</v>
      </c>
      <c r="F5560">
        <v>6144805117</v>
      </c>
      <c r="G5560">
        <v>9000000</v>
      </c>
      <c r="H5560" t="s">
        <v>40293</v>
      </c>
      <c r="I5560">
        <v>40555</v>
      </c>
      <c r="J5560">
        <v>33</v>
      </c>
      <c r="K5560">
        <v>33</v>
      </c>
    </row>
    <row r="5561" spans="1:11">
      <c r="A5561">
        <v>90</v>
      </c>
      <c r="B5561" t="b">
        <v>0</v>
      </c>
      <c r="C5561" t="s">
        <v>43849</v>
      </c>
      <c r="D5561">
        <v>1037022454355</v>
      </c>
      <c r="E5561">
        <v>1</v>
      </c>
      <c r="F5561">
        <v>6142816628</v>
      </c>
      <c r="G5561">
        <v>12250000</v>
      </c>
      <c r="H5561" t="s">
        <v>40293</v>
      </c>
      <c r="I5561">
        <v>40556</v>
      </c>
      <c r="J5561">
        <v>61</v>
      </c>
      <c r="K5561">
        <v>100</v>
      </c>
    </row>
    <row r="5562" spans="1:11">
      <c r="A5562">
        <v>90</v>
      </c>
      <c r="B5562" t="b">
        <v>0</v>
      </c>
      <c r="C5562" t="s">
        <v>45250</v>
      </c>
      <c r="D5562">
        <v>1037022454355</v>
      </c>
      <c r="E5562">
        <v>1</v>
      </c>
      <c r="F5562">
        <v>6150143753</v>
      </c>
      <c r="G5562">
        <v>12240000</v>
      </c>
      <c r="H5562" t="s">
        <v>40293</v>
      </c>
      <c r="I5562">
        <v>40556</v>
      </c>
      <c r="J5562">
        <v>26</v>
      </c>
      <c r="K5562">
        <v>26</v>
      </c>
    </row>
    <row r="5563" spans="1:11">
      <c r="A5563">
        <v>90</v>
      </c>
      <c r="B5563" t="b">
        <v>0</v>
      </c>
      <c r="C5563" t="s">
        <v>46157</v>
      </c>
      <c r="D5563">
        <v>1037022454355</v>
      </c>
      <c r="E5563">
        <v>1</v>
      </c>
      <c r="F5563">
        <v>6149958498</v>
      </c>
      <c r="G5563">
        <v>12240000</v>
      </c>
      <c r="H5563" t="s">
        <v>40293</v>
      </c>
      <c r="I5563">
        <v>40556</v>
      </c>
      <c r="J5563">
        <v>16</v>
      </c>
      <c r="K5563">
        <v>20</v>
      </c>
    </row>
    <row r="5564" spans="1:11">
      <c r="A5564">
        <v>90</v>
      </c>
      <c r="B5564" t="b">
        <v>0</v>
      </c>
      <c r="C5564" t="s">
        <v>44582</v>
      </c>
      <c r="D5564">
        <v>1037022454355</v>
      </c>
      <c r="E5564">
        <v>1</v>
      </c>
      <c r="F5564">
        <v>6150168016</v>
      </c>
      <c r="G5564">
        <v>12230000</v>
      </c>
      <c r="H5564" t="s">
        <v>40293</v>
      </c>
      <c r="I5564">
        <v>40556</v>
      </c>
      <c r="J5564">
        <v>17</v>
      </c>
      <c r="K5564">
        <v>100</v>
      </c>
    </row>
    <row r="5565" spans="1:11">
      <c r="A5565">
        <v>14</v>
      </c>
      <c r="B5565" t="b">
        <v>0</v>
      </c>
      <c r="C5565" t="s">
        <v>46284</v>
      </c>
      <c r="D5565">
        <v>1037022454355</v>
      </c>
      <c r="E5565">
        <v>1</v>
      </c>
      <c r="F5565">
        <v>6154449402</v>
      </c>
      <c r="G5565">
        <v>12000000</v>
      </c>
      <c r="H5565" t="s">
        <v>40293</v>
      </c>
      <c r="I5565">
        <v>40556</v>
      </c>
      <c r="J5565">
        <v>29</v>
      </c>
      <c r="K5565">
        <v>29</v>
      </c>
    </row>
    <row r="5566" spans="1:11">
      <c r="A5566">
        <v>90</v>
      </c>
      <c r="B5566" t="b">
        <v>0</v>
      </c>
      <c r="C5566" t="s">
        <v>44127</v>
      </c>
      <c r="D5566">
        <v>1037022454355</v>
      </c>
      <c r="E5566">
        <v>1</v>
      </c>
      <c r="F5566">
        <v>6154716310</v>
      </c>
      <c r="G5566">
        <v>11990000</v>
      </c>
      <c r="H5566" t="s">
        <v>40293</v>
      </c>
      <c r="I5566">
        <v>40556</v>
      </c>
      <c r="J5566">
        <v>175</v>
      </c>
      <c r="K5566">
        <v>175</v>
      </c>
    </row>
    <row r="5567" spans="1:11">
      <c r="A5567">
        <v>90</v>
      </c>
      <c r="B5567" t="b">
        <v>0</v>
      </c>
      <c r="C5567" t="s">
        <v>46357</v>
      </c>
      <c r="D5567">
        <v>1037022454355</v>
      </c>
      <c r="E5567">
        <v>1</v>
      </c>
      <c r="F5567">
        <v>6156285400</v>
      </c>
      <c r="G5567">
        <v>11980000</v>
      </c>
      <c r="H5567" t="s">
        <v>40293</v>
      </c>
      <c r="I5567">
        <v>40556</v>
      </c>
      <c r="J5567">
        <v>10</v>
      </c>
      <c r="K5567">
        <v>10</v>
      </c>
    </row>
    <row r="5568" spans="1:11">
      <c r="A5568">
        <v>90</v>
      </c>
      <c r="B5568" t="b">
        <v>0</v>
      </c>
      <c r="C5568" t="s">
        <v>44210</v>
      </c>
      <c r="D5568">
        <v>1037022454355</v>
      </c>
      <c r="E5568">
        <v>1</v>
      </c>
      <c r="F5568">
        <v>6153535875</v>
      </c>
      <c r="G5568">
        <v>10240000</v>
      </c>
      <c r="H5568" t="s">
        <v>40293</v>
      </c>
      <c r="I5568">
        <v>40556</v>
      </c>
      <c r="J5568">
        <v>20</v>
      </c>
      <c r="K5568">
        <v>20</v>
      </c>
    </row>
    <row r="5569" spans="1:11">
      <c r="A5569">
        <v>90</v>
      </c>
      <c r="B5569" t="b">
        <v>0</v>
      </c>
      <c r="C5569" t="s">
        <v>44287</v>
      </c>
      <c r="D5569">
        <v>1037022454355</v>
      </c>
      <c r="E5569">
        <v>1</v>
      </c>
      <c r="F5569">
        <v>6154751350</v>
      </c>
      <c r="G5569">
        <v>9900000</v>
      </c>
      <c r="H5569" t="s">
        <v>40293</v>
      </c>
      <c r="I5569">
        <v>40556</v>
      </c>
      <c r="J5569">
        <v>19</v>
      </c>
      <c r="K5569">
        <v>29</v>
      </c>
    </row>
    <row r="5570" spans="1:11">
      <c r="A5570">
        <v>90</v>
      </c>
      <c r="B5570" t="b">
        <v>0</v>
      </c>
      <c r="C5570" t="s">
        <v>40409</v>
      </c>
      <c r="D5570">
        <v>1037022454355</v>
      </c>
      <c r="E5570">
        <v>1</v>
      </c>
      <c r="F5570">
        <v>6082333431</v>
      </c>
      <c r="G5570">
        <v>11350000</v>
      </c>
      <c r="H5570" t="s">
        <v>40293</v>
      </c>
      <c r="I5570">
        <v>40557</v>
      </c>
      <c r="J5570">
        <v>13</v>
      </c>
      <c r="K5570">
        <v>13</v>
      </c>
    </row>
    <row r="5571" spans="1:11">
      <c r="A5571">
        <v>90</v>
      </c>
      <c r="B5571" t="b">
        <v>0</v>
      </c>
      <c r="C5571" t="s">
        <v>41416</v>
      </c>
      <c r="D5571">
        <v>1037022454355</v>
      </c>
      <c r="E5571">
        <v>1</v>
      </c>
      <c r="F5571">
        <v>6082223870</v>
      </c>
      <c r="G5571">
        <v>11310000</v>
      </c>
      <c r="H5571" t="s">
        <v>40293</v>
      </c>
      <c r="I5571">
        <v>40557</v>
      </c>
      <c r="J5571">
        <v>3</v>
      </c>
      <c r="K5571">
        <v>9</v>
      </c>
    </row>
    <row r="5572" spans="1:11">
      <c r="A5572">
        <v>90</v>
      </c>
      <c r="B5572" t="b">
        <v>0</v>
      </c>
      <c r="C5572" t="s">
        <v>43618</v>
      </c>
      <c r="D5572">
        <v>1037022454355</v>
      </c>
      <c r="E5572">
        <v>1</v>
      </c>
      <c r="F5572">
        <v>6112203687</v>
      </c>
      <c r="G5572">
        <v>11300000</v>
      </c>
      <c r="H5572" t="s">
        <v>40293</v>
      </c>
      <c r="I5572">
        <v>40557</v>
      </c>
      <c r="J5572">
        <v>6</v>
      </c>
      <c r="K5572">
        <v>24</v>
      </c>
    </row>
    <row r="5573" spans="1:11">
      <c r="A5573">
        <v>90</v>
      </c>
      <c r="B5573" t="b">
        <v>0</v>
      </c>
      <c r="C5573" t="s">
        <v>45406</v>
      </c>
      <c r="D5573">
        <v>1037022454355</v>
      </c>
      <c r="E5573">
        <v>1</v>
      </c>
      <c r="F5573">
        <v>6153534489</v>
      </c>
      <c r="G5573">
        <v>10000000</v>
      </c>
      <c r="H5573" t="s">
        <v>40293</v>
      </c>
      <c r="I5573">
        <v>40557</v>
      </c>
      <c r="J5573">
        <v>4</v>
      </c>
      <c r="K5573">
        <v>4</v>
      </c>
    </row>
    <row r="5574" spans="1:11">
      <c r="A5574">
        <v>90</v>
      </c>
      <c r="B5574" t="b">
        <v>0</v>
      </c>
      <c r="C5574" t="s">
        <v>43394</v>
      </c>
      <c r="D5574">
        <v>1037022454355</v>
      </c>
      <c r="E5574">
        <v>1</v>
      </c>
      <c r="F5574">
        <v>6146242472</v>
      </c>
      <c r="G5574">
        <v>10930000</v>
      </c>
      <c r="H5574" t="s">
        <v>40293</v>
      </c>
      <c r="I5574">
        <v>40558</v>
      </c>
      <c r="J5574">
        <v>27</v>
      </c>
      <c r="K5574">
        <v>27</v>
      </c>
    </row>
    <row r="5575" spans="1:11">
      <c r="A5575">
        <v>90</v>
      </c>
      <c r="B5575" t="b">
        <v>0</v>
      </c>
      <c r="C5575" t="s">
        <v>46283</v>
      </c>
      <c r="D5575">
        <v>1037022454355</v>
      </c>
      <c r="E5575">
        <v>1</v>
      </c>
      <c r="F5575">
        <v>6153531895</v>
      </c>
      <c r="G5575">
        <v>10000000</v>
      </c>
      <c r="H5575" t="s">
        <v>40293</v>
      </c>
      <c r="I5575">
        <v>40558</v>
      </c>
      <c r="J5575">
        <v>10</v>
      </c>
      <c r="K5575">
        <v>10</v>
      </c>
    </row>
    <row r="5576" spans="1:11">
      <c r="A5576">
        <v>90</v>
      </c>
      <c r="B5576" t="b">
        <v>0</v>
      </c>
      <c r="C5576" t="s">
        <v>40687</v>
      </c>
      <c r="D5576">
        <v>1037022454355</v>
      </c>
      <c r="E5576">
        <v>1</v>
      </c>
      <c r="F5576">
        <v>6079956393</v>
      </c>
      <c r="G5576">
        <v>11990000</v>
      </c>
      <c r="H5576" t="s">
        <v>40293</v>
      </c>
      <c r="I5576">
        <v>40559</v>
      </c>
      <c r="J5576">
        <v>14</v>
      </c>
      <c r="K5576">
        <v>23</v>
      </c>
    </row>
    <row r="5577" spans="1:11">
      <c r="A5577">
        <v>90</v>
      </c>
      <c r="B5577" t="b">
        <v>0</v>
      </c>
      <c r="C5577" t="s">
        <v>46212</v>
      </c>
      <c r="D5577">
        <v>1037022454355</v>
      </c>
      <c r="E5577">
        <v>1</v>
      </c>
      <c r="F5577">
        <v>6151827000</v>
      </c>
      <c r="G5577">
        <v>11500000</v>
      </c>
      <c r="H5577" t="s">
        <v>40293</v>
      </c>
      <c r="I5577">
        <v>40559</v>
      </c>
      <c r="J5577">
        <v>46</v>
      </c>
      <c r="K5577">
        <v>64</v>
      </c>
    </row>
    <row r="5578" spans="1:11">
      <c r="A5578">
        <v>90</v>
      </c>
      <c r="B5578" t="b">
        <v>0</v>
      </c>
      <c r="C5578" t="s">
        <v>46227</v>
      </c>
      <c r="D5578">
        <v>1037022454355</v>
      </c>
      <c r="E5578">
        <v>1</v>
      </c>
      <c r="F5578">
        <v>6153531151</v>
      </c>
      <c r="G5578">
        <v>10230000</v>
      </c>
      <c r="H5578" t="s">
        <v>40293</v>
      </c>
      <c r="I5578">
        <v>40559</v>
      </c>
      <c r="J5578">
        <v>11</v>
      </c>
      <c r="K5578">
        <v>11</v>
      </c>
    </row>
    <row r="5579" spans="1:11">
      <c r="A5579">
        <v>90</v>
      </c>
      <c r="B5579" t="b">
        <v>0</v>
      </c>
      <c r="C5579" t="s">
        <v>46567</v>
      </c>
      <c r="D5579">
        <v>1037022454355</v>
      </c>
      <c r="E5579">
        <v>1</v>
      </c>
      <c r="F5579">
        <v>6155494644</v>
      </c>
      <c r="G5579">
        <v>10220000</v>
      </c>
      <c r="H5579" t="s">
        <v>40293</v>
      </c>
      <c r="I5579">
        <v>40559</v>
      </c>
      <c r="J5579">
        <v>3</v>
      </c>
      <c r="K5579">
        <v>3</v>
      </c>
    </row>
    <row r="5580" spans="1:11">
      <c r="A5580">
        <v>7</v>
      </c>
      <c r="B5580" t="b">
        <v>0</v>
      </c>
      <c r="C5580" t="s">
        <v>45696</v>
      </c>
      <c r="D5580">
        <v>1037022454355</v>
      </c>
      <c r="E5580">
        <v>1</v>
      </c>
      <c r="F5580">
        <v>6156801296</v>
      </c>
      <c r="G5580">
        <v>10000000</v>
      </c>
      <c r="H5580" t="s">
        <v>40293</v>
      </c>
      <c r="I5580">
        <v>40559</v>
      </c>
      <c r="J5580">
        <v>29</v>
      </c>
      <c r="K5580">
        <v>29</v>
      </c>
    </row>
    <row r="5581" spans="1:11">
      <c r="A5581">
        <v>90</v>
      </c>
      <c r="B5581" t="b">
        <v>0</v>
      </c>
      <c r="C5581" t="s">
        <v>40599</v>
      </c>
      <c r="D5581">
        <v>1037022454355</v>
      </c>
      <c r="E5581">
        <v>1</v>
      </c>
      <c r="F5581">
        <v>6093118212</v>
      </c>
      <c r="G5581">
        <v>29920000</v>
      </c>
      <c r="H5581" t="s">
        <v>40293</v>
      </c>
      <c r="I5581">
        <v>40560</v>
      </c>
      <c r="J5581">
        <v>10</v>
      </c>
      <c r="K5581">
        <v>10</v>
      </c>
    </row>
    <row r="5582" spans="1:11">
      <c r="A5582">
        <v>90</v>
      </c>
      <c r="B5582" t="b">
        <v>0</v>
      </c>
      <c r="C5582" t="s">
        <v>40320</v>
      </c>
      <c r="D5582">
        <v>1037022454355</v>
      </c>
      <c r="E5582">
        <v>1</v>
      </c>
      <c r="F5582">
        <v>6090883931</v>
      </c>
      <c r="G5582">
        <v>29740000</v>
      </c>
      <c r="H5582" t="s">
        <v>40293</v>
      </c>
      <c r="I5582">
        <v>40560</v>
      </c>
      <c r="J5582">
        <v>8</v>
      </c>
      <c r="K5582">
        <v>10</v>
      </c>
    </row>
    <row r="5583" spans="1:11">
      <c r="A5583">
        <v>90</v>
      </c>
      <c r="B5583" t="b">
        <v>0</v>
      </c>
      <c r="C5583" t="s">
        <v>46042</v>
      </c>
      <c r="D5583">
        <v>1037022454355</v>
      </c>
      <c r="E5583">
        <v>1</v>
      </c>
      <c r="F5583">
        <v>6153528435</v>
      </c>
      <c r="G5583">
        <v>25100000</v>
      </c>
      <c r="H5583" t="s">
        <v>40293</v>
      </c>
      <c r="I5583">
        <v>40560</v>
      </c>
      <c r="J5583">
        <v>16</v>
      </c>
      <c r="K5583">
        <v>20</v>
      </c>
    </row>
    <row r="5584" spans="1:11">
      <c r="A5584">
        <v>90</v>
      </c>
      <c r="B5584" t="b">
        <v>0</v>
      </c>
      <c r="C5584" t="s">
        <v>44607</v>
      </c>
      <c r="D5584">
        <v>1037022454355</v>
      </c>
      <c r="E5584">
        <v>1</v>
      </c>
      <c r="F5584">
        <v>6148763616</v>
      </c>
      <c r="G5584">
        <v>19500000</v>
      </c>
      <c r="H5584" t="s">
        <v>40293</v>
      </c>
      <c r="I5584">
        <v>40564</v>
      </c>
      <c r="J5584">
        <v>14</v>
      </c>
      <c r="K5584">
        <v>14</v>
      </c>
    </row>
    <row r="5585" spans="1:11">
      <c r="A5585">
        <v>90</v>
      </c>
      <c r="B5585" t="b">
        <v>0</v>
      </c>
      <c r="C5585" t="s">
        <v>45694</v>
      </c>
      <c r="D5585">
        <v>1037022454355</v>
      </c>
      <c r="E5585">
        <v>1</v>
      </c>
      <c r="F5585">
        <v>6156570150</v>
      </c>
      <c r="G5585">
        <v>19000000</v>
      </c>
      <c r="H5585" t="s">
        <v>40293</v>
      </c>
      <c r="I5585">
        <v>40564</v>
      </c>
      <c r="J5585">
        <v>44</v>
      </c>
      <c r="K5585">
        <v>56</v>
      </c>
    </row>
    <row r="5586" spans="1:11">
      <c r="A5586">
        <v>90</v>
      </c>
      <c r="B5586" t="b">
        <v>0</v>
      </c>
      <c r="C5586" t="s">
        <v>46249</v>
      </c>
      <c r="D5586">
        <v>1037022454355</v>
      </c>
      <c r="E5586">
        <v>1</v>
      </c>
      <c r="F5586">
        <v>6153531538</v>
      </c>
      <c r="G5586">
        <v>20000000</v>
      </c>
      <c r="H5586" t="s">
        <v>40293</v>
      </c>
      <c r="I5586">
        <v>40565</v>
      </c>
      <c r="J5586">
        <v>6</v>
      </c>
      <c r="K5586">
        <v>6</v>
      </c>
    </row>
    <row r="5587" spans="1:11">
      <c r="A5587">
        <v>90</v>
      </c>
      <c r="B5587" t="b">
        <v>0</v>
      </c>
      <c r="C5587" t="s">
        <v>40328</v>
      </c>
      <c r="D5587">
        <v>1037022454355</v>
      </c>
      <c r="E5587">
        <v>1</v>
      </c>
      <c r="F5587">
        <v>6122662736</v>
      </c>
      <c r="G5587">
        <v>33000000</v>
      </c>
      <c r="H5587" t="s">
        <v>40293</v>
      </c>
      <c r="I5587">
        <v>40567</v>
      </c>
      <c r="J5587">
        <v>12</v>
      </c>
      <c r="K5587">
        <v>30</v>
      </c>
    </row>
    <row r="5588" spans="1:11">
      <c r="A5588">
        <v>90</v>
      </c>
      <c r="B5588" t="b">
        <v>0</v>
      </c>
      <c r="C5588" t="s">
        <v>46265</v>
      </c>
      <c r="D5588">
        <v>1037022454355</v>
      </c>
      <c r="E5588">
        <v>1</v>
      </c>
      <c r="F5588">
        <v>6153531694</v>
      </c>
      <c r="G5588">
        <v>25000000</v>
      </c>
      <c r="H5588" t="s">
        <v>40293</v>
      </c>
      <c r="I5588">
        <v>40567</v>
      </c>
      <c r="J5588">
        <v>6</v>
      </c>
      <c r="K5588">
        <v>6</v>
      </c>
    </row>
    <row r="5589" spans="1:11">
      <c r="A5589">
        <v>30</v>
      </c>
      <c r="B5589" t="b">
        <v>0</v>
      </c>
      <c r="C5589" t="s">
        <v>44440</v>
      </c>
      <c r="D5589">
        <v>1037022454355</v>
      </c>
      <c r="E5589">
        <v>1</v>
      </c>
      <c r="F5589">
        <v>6147839456</v>
      </c>
      <c r="G5589">
        <v>8000000</v>
      </c>
      <c r="H5589" t="s">
        <v>40293</v>
      </c>
      <c r="I5589">
        <v>40569</v>
      </c>
      <c r="J5589">
        <v>9</v>
      </c>
      <c r="K5589">
        <v>9</v>
      </c>
    </row>
    <row r="5590" spans="1:11">
      <c r="A5590">
        <v>90</v>
      </c>
      <c r="B5590" t="b">
        <v>0</v>
      </c>
      <c r="C5590" t="s">
        <v>41010</v>
      </c>
      <c r="D5590">
        <v>1037022454355</v>
      </c>
      <c r="E5590">
        <v>1</v>
      </c>
      <c r="F5590">
        <v>6068551662</v>
      </c>
      <c r="G5590">
        <v>13980000</v>
      </c>
      <c r="H5590" t="s">
        <v>40293</v>
      </c>
      <c r="I5590">
        <v>40570</v>
      </c>
      <c r="J5590">
        <v>2</v>
      </c>
      <c r="K5590">
        <v>3</v>
      </c>
    </row>
    <row r="5591" spans="1:11">
      <c r="A5591">
        <v>90</v>
      </c>
      <c r="B5591" t="b">
        <v>0</v>
      </c>
      <c r="C5591" t="s">
        <v>42145</v>
      </c>
      <c r="D5591">
        <v>1037022454355</v>
      </c>
      <c r="E5591">
        <v>1</v>
      </c>
      <c r="F5591">
        <v>6131897079</v>
      </c>
      <c r="G5591">
        <v>13000000</v>
      </c>
      <c r="H5591" t="s">
        <v>40293</v>
      </c>
      <c r="I5591">
        <v>40570</v>
      </c>
      <c r="J5591">
        <v>8</v>
      </c>
      <c r="K5591">
        <v>8</v>
      </c>
    </row>
    <row r="5592" spans="1:11">
      <c r="A5592">
        <v>90</v>
      </c>
      <c r="B5592" t="b">
        <v>0</v>
      </c>
      <c r="C5592" t="s">
        <v>40860</v>
      </c>
      <c r="D5592">
        <v>1037022454355</v>
      </c>
      <c r="E5592">
        <v>1</v>
      </c>
      <c r="F5592">
        <v>6124843787</v>
      </c>
      <c r="G5592">
        <v>14800000</v>
      </c>
      <c r="H5592" t="s">
        <v>40293</v>
      </c>
      <c r="I5592">
        <v>40571</v>
      </c>
      <c r="J5592">
        <v>6</v>
      </c>
      <c r="K5592">
        <v>15</v>
      </c>
    </row>
    <row r="5593" spans="1:11">
      <c r="A5593">
        <v>90</v>
      </c>
      <c r="B5593" t="b">
        <v>0</v>
      </c>
      <c r="C5593" t="s">
        <v>40343</v>
      </c>
      <c r="D5593">
        <v>1037022454355</v>
      </c>
      <c r="E5593">
        <v>1</v>
      </c>
      <c r="F5593">
        <v>6111692064</v>
      </c>
      <c r="G5593">
        <v>44800000</v>
      </c>
      <c r="H5593" t="s">
        <v>40293</v>
      </c>
      <c r="I5593">
        <v>40659</v>
      </c>
      <c r="J5593">
        <v>1</v>
      </c>
      <c r="K5593">
        <v>1</v>
      </c>
    </row>
    <row r="5594" spans="1:11">
      <c r="A5594">
        <v>90</v>
      </c>
      <c r="B5594" t="b">
        <v>0</v>
      </c>
      <c r="C5594" t="s">
        <v>40771</v>
      </c>
      <c r="D5594">
        <v>1037022454355</v>
      </c>
      <c r="E5594">
        <v>1</v>
      </c>
      <c r="F5594">
        <v>6118975967</v>
      </c>
      <c r="G5594">
        <v>35000000</v>
      </c>
      <c r="H5594" t="s">
        <v>40293</v>
      </c>
      <c r="I5594">
        <v>40659</v>
      </c>
      <c r="J5594">
        <v>1</v>
      </c>
      <c r="K5594">
        <v>2</v>
      </c>
    </row>
    <row r="5595" spans="1:11">
      <c r="A5595">
        <v>90</v>
      </c>
      <c r="B5595" t="b">
        <v>0</v>
      </c>
      <c r="C5595" t="s">
        <v>40792</v>
      </c>
      <c r="D5595">
        <v>1037022454355</v>
      </c>
      <c r="E5595">
        <v>1</v>
      </c>
      <c r="F5595">
        <v>6116223982</v>
      </c>
      <c r="G5595">
        <v>128500000</v>
      </c>
      <c r="H5595" t="s">
        <v>40293</v>
      </c>
      <c r="I5595">
        <v>40662</v>
      </c>
      <c r="J5595">
        <v>1</v>
      </c>
      <c r="K5595">
        <v>1</v>
      </c>
    </row>
    <row r="5596" spans="1:11">
      <c r="A5596">
        <v>90</v>
      </c>
      <c r="B5596" t="b">
        <v>0</v>
      </c>
      <c r="C5596" t="s">
        <v>40641</v>
      </c>
      <c r="D5596">
        <v>1037022454355</v>
      </c>
      <c r="E5596">
        <v>1</v>
      </c>
      <c r="F5596">
        <v>6116224043</v>
      </c>
      <c r="G5596">
        <v>128500000</v>
      </c>
      <c r="H5596" t="s">
        <v>40293</v>
      </c>
      <c r="I5596">
        <v>40662</v>
      </c>
      <c r="J5596">
        <v>1</v>
      </c>
      <c r="K5596">
        <v>1</v>
      </c>
    </row>
    <row r="5597" spans="1:11">
      <c r="A5597">
        <v>90</v>
      </c>
      <c r="B5597" t="b">
        <v>0</v>
      </c>
      <c r="C5597" t="s">
        <v>42201</v>
      </c>
      <c r="D5597">
        <v>1037022454355</v>
      </c>
      <c r="E5597">
        <v>1</v>
      </c>
      <c r="F5597">
        <v>6077834143</v>
      </c>
      <c r="G5597">
        <v>85000000</v>
      </c>
      <c r="H5597" t="s">
        <v>40293</v>
      </c>
      <c r="I5597">
        <v>40690</v>
      </c>
      <c r="J5597">
        <v>1</v>
      </c>
      <c r="K5597">
        <v>1</v>
      </c>
    </row>
    <row r="5598" spans="1:11">
      <c r="A5598">
        <v>90</v>
      </c>
      <c r="B5598" t="b">
        <v>0</v>
      </c>
      <c r="C5598" t="s">
        <v>40593</v>
      </c>
      <c r="D5598">
        <v>1037022454355</v>
      </c>
      <c r="E5598">
        <v>1</v>
      </c>
      <c r="F5598">
        <v>6079093395</v>
      </c>
      <c r="G5598">
        <v>149500000</v>
      </c>
      <c r="H5598" t="s">
        <v>40293</v>
      </c>
      <c r="I5598">
        <v>40696</v>
      </c>
      <c r="J5598">
        <v>1</v>
      </c>
      <c r="K5598">
        <v>1</v>
      </c>
    </row>
    <row r="5599" spans="1:11">
      <c r="A5599">
        <v>90</v>
      </c>
      <c r="B5599" t="b">
        <v>0</v>
      </c>
      <c r="C5599" t="s">
        <v>40614</v>
      </c>
      <c r="D5599">
        <v>1037022454355</v>
      </c>
      <c r="E5599">
        <v>1</v>
      </c>
      <c r="F5599">
        <v>6082610363</v>
      </c>
      <c r="G5599">
        <v>149400000</v>
      </c>
      <c r="H5599" t="s">
        <v>40293</v>
      </c>
      <c r="I5599">
        <v>40696</v>
      </c>
      <c r="J5599">
        <v>1</v>
      </c>
      <c r="K5599">
        <v>2</v>
      </c>
    </row>
    <row r="5600" spans="1:11">
      <c r="A5600">
        <v>90</v>
      </c>
      <c r="B5600" t="b">
        <v>0</v>
      </c>
      <c r="C5600" t="s">
        <v>46128</v>
      </c>
      <c r="D5600">
        <v>1037022454355</v>
      </c>
      <c r="E5600">
        <v>1</v>
      </c>
      <c r="F5600">
        <v>6153595316</v>
      </c>
      <c r="G5600">
        <v>148000000</v>
      </c>
      <c r="H5600" t="s">
        <v>40293</v>
      </c>
      <c r="I5600">
        <v>40696</v>
      </c>
      <c r="J5600">
        <v>1</v>
      </c>
      <c r="K5600">
        <v>1</v>
      </c>
    </row>
    <row r="5601" spans="1:11">
      <c r="A5601">
        <v>30</v>
      </c>
      <c r="B5601" t="b">
        <v>0</v>
      </c>
      <c r="C5601" t="s">
        <v>44273</v>
      </c>
      <c r="D5601">
        <v>1037022454355</v>
      </c>
      <c r="E5601">
        <v>1</v>
      </c>
      <c r="F5601">
        <v>6148459649</v>
      </c>
      <c r="G5601">
        <v>45980000</v>
      </c>
      <c r="H5601" t="s">
        <v>40293</v>
      </c>
      <c r="I5601">
        <v>40715</v>
      </c>
      <c r="J5601">
        <v>5</v>
      </c>
      <c r="K5601">
        <v>5</v>
      </c>
    </row>
    <row r="5602" spans="1:11">
      <c r="A5602">
        <v>90</v>
      </c>
      <c r="B5602" t="b">
        <v>0</v>
      </c>
      <c r="C5602" t="s">
        <v>41888</v>
      </c>
      <c r="D5602">
        <v>1037022454355</v>
      </c>
      <c r="E5602">
        <v>1</v>
      </c>
      <c r="F5602">
        <v>6127207456</v>
      </c>
      <c r="G5602">
        <v>84000000</v>
      </c>
      <c r="H5602" t="s">
        <v>40293</v>
      </c>
      <c r="I5602">
        <v>40717</v>
      </c>
      <c r="J5602">
        <v>1</v>
      </c>
      <c r="K5602">
        <v>1</v>
      </c>
    </row>
    <row r="5603" spans="1:11">
      <c r="A5603">
        <v>30</v>
      </c>
      <c r="B5603" t="b">
        <v>0</v>
      </c>
      <c r="C5603" t="s">
        <v>45606</v>
      </c>
      <c r="D5603">
        <v>1037022454355</v>
      </c>
      <c r="E5603">
        <v>1</v>
      </c>
      <c r="F5603">
        <v>6148509789</v>
      </c>
      <c r="G5603">
        <v>30230000</v>
      </c>
      <c r="H5603" t="s">
        <v>40293</v>
      </c>
      <c r="I5603">
        <v>40730</v>
      </c>
      <c r="J5603">
        <v>8</v>
      </c>
      <c r="K5603">
        <v>10</v>
      </c>
    </row>
    <row r="5604" spans="1:11">
      <c r="A5604">
        <v>90</v>
      </c>
      <c r="B5604" t="b">
        <v>0</v>
      </c>
      <c r="C5604" t="s">
        <v>41202</v>
      </c>
      <c r="D5604">
        <v>1037022454355</v>
      </c>
      <c r="E5604">
        <v>1</v>
      </c>
      <c r="F5604">
        <v>6100602597</v>
      </c>
      <c r="G5604">
        <v>30000000</v>
      </c>
      <c r="H5604" t="s">
        <v>40293</v>
      </c>
      <c r="I5604">
        <v>40750</v>
      </c>
      <c r="J5604">
        <v>1</v>
      </c>
      <c r="K5604">
        <v>1</v>
      </c>
    </row>
    <row r="5605" spans="1:11">
      <c r="A5605">
        <v>90</v>
      </c>
      <c r="B5605" t="b">
        <v>0</v>
      </c>
      <c r="C5605" t="s">
        <v>45787</v>
      </c>
      <c r="D5605">
        <v>1037022454355</v>
      </c>
      <c r="E5605">
        <v>1</v>
      </c>
      <c r="F5605">
        <v>6153394403</v>
      </c>
      <c r="G5605">
        <v>184100000</v>
      </c>
      <c r="H5605" t="s">
        <v>40293</v>
      </c>
      <c r="I5605">
        <v>40758</v>
      </c>
      <c r="J5605">
        <v>1</v>
      </c>
      <c r="K5605">
        <v>1</v>
      </c>
    </row>
    <row r="5606" spans="1:11">
      <c r="A5606">
        <v>90</v>
      </c>
      <c r="B5606" t="b">
        <v>0</v>
      </c>
      <c r="C5606" t="s">
        <v>41046</v>
      </c>
      <c r="D5606">
        <v>1037022454355</v>
      </c>
      <c r="E5606">
        <v>1</v>
      </c>
      <c r="F5606">
        <v>6119899817</v>
      </c>
      <c r="G5606">
        <v>390000000</v>
      </c>
      <c r="H5606" t="s">
        <v>40293</v>
      </c>
      <c r="I5606">
        <v>41030</v>
      </c>
      <c r="J5606">
        <v>5</v>
      </c>
      <c r="K5606">
        <v>5</v>
      </c>
    </row>
    <row r="5607" spans="1:11">
      <c r="A5607">
        <v>90</v>
      </c>
      <c r="B5607" t="b">
        <v>0</v>
      </c>
      <c r="C5607" t="s">
        <v>42023</v>
      </c>
      <c r="D5607">
        <v>1037022454355</v>
      </c>
      <c r="E5607">
        <v>1</v>
      </c>
      <c r="F5607">
        <v>6103862384</v>
      </c>
      <c r="G5607">
        <v>389000000</v>
      </c>
      <c r="H5607" t="s">
        <v>40293</v>
      </c>
      <c r="I5607">
        <v>41030</v>
      </c>
      <c r="J5607">
        <v>5</v>
      </c>
      <c r="K5607">
        <v>5</v>
      </c>
    </row>
    <row r="5608" spans="1:11">
      <c r="A5608">
        <v>90</v>
      </c>
      <c r="B5608" t="b">
        <v>0</v>
      </c>
      <c r="C5608" t="s">
        <v>44041</v>
      </c>
      <c r="D5608">
        <v>1037022454355</v>
      </c>
      <c r="E5608">
        <v>1</v>
      </c>
      <c r="F5608">
        <v>6152814693</v>
      </c>
      <c r="G5608">
        <v>349000000</v>
      </c>
      <c r="H5608" t="s">
        <v>40293</v>
      </c>
      <c r="I5608">
        <v>41030</v>
      </c>
      <c r="J5608">
        <v>2</v>
      </c>
      <c r="K5608">
        <v>2</v>
      </c>
    </row>
    <row r="5609" spans="1:11">
      <c r="A5609">
        <v>90</v>
      </c>
      <c r="B5609" t="b">
        <v>0</v>
      </c>
      <c r="C5609" t="s">
        <v>45353</v>
      </c>
      <c r="D5609">
        <v>1037022454355</v>
      </c>
      <c r="E5609">
        <v>1</v>
      </c>
      <c r="F5609">
        <v>6154896476</v>
      </c>
      <c r="G5609">
        <v>348900000</v>
      </c>
      <c r="H5609" t="s">
        <v>40293</v>
      </c>
      <c r="I5609">
        <v>41030</v>
      </c>
      <c r="J5609">
        <v>5</v>
      </c>
      <c r="K5609">
        <v>5</v>
      </c>
    </row>
    <row r="5610" spans="1:11">
      <c r="A5610">
        <v>90</v>
      </c>
      <c r="B5610" t="b">
        <v>0</v>
      </c>
      <c r="C5610" t="s">
        <v>44183</v>
      </c>
      <c r="D5610">
        <v>1037022454355</v>
      </c>
      <c r="E5610">
        <v>1</v>
      </c>
      <c r="F5610">
        <v>6156188670</v>
      </c>
      <c r="G5610">
        <v>348800000</v>
      </c>
      <c r="H5610" t="s">
        <v>40293</v>
      </c>
      <c r="I5610">
        <v>41030</v>
      </c>
      <c r="J5610">
        <v>10</v>
      </c>
      <c r="K5610">
        <v>10</v>
      </c>
    </row>
    <row r="5611" spans="1:11">
      <c r="A5611">
        <v>90</v>
      </c>
      <c r="B5611" t="b">
        <v>0</v>
      </c>
      <c r="C5611" t="s">
        <v>42502</v>
      </c>
      <c r="D5611">
        <v>1037022454355</v>
      </c>
      <c r="E5611">
        <v>1</v>
      </c>
      <c r="F5611">
        <v>6134478082</v>
      </c>
      <c r="G5611">
        <v>50010</v>
      </c>
      <c r="H5611" t="s">
        <v>40293</v>
      </c>
      <c r="I5611">
        <v>41031</v>
      </c>
      <c r="J5611">
        <v>112</v>
      </c>
      <c r="K5611">
        <v>112</v>
      </c>
    </row>
    <row r="5612" spans="1:11">
      <c r="A5612">
        <v>90</v>
      </c>
      <c r="B5612" t="b">
        <v>0</v>
      </c>
      <c r="C5612" t="s">
        <v>41922</v>
      </c>
      <c r="D5612">
        <v>1037022454355</v>
      </c>
      <c r="E5612">
        <v>1</v>
      </c>
      <c r="F5612">
        <v>6127047582</v>
      </c>
      <c r="G5612">
        <v>50000</v>
      </c>
      <c r="H5612" t="s">
        <v>40293</v>
      </c>
      <c r="I5612">
        <v>41031</v>
      </c>
      <c r="J5612">
        <v>31</v>
      </c>
      <c r="K5612">
        <v>40</v>
      </c>
    </row>
    <row r="5613" spans="1:11">
      <c r="A5613">
        <v>90</v>
      </c>
      <c r="B5613" t="b">
        <v>0</v>
      </c>
      <c r="C5613" t="s">
        <v>40770</v>
      </c>
      <c r="D5613">
        <v>1037022454355</v>
      </c>
      <c r="E5613">
        <v>1</v>
      </c>
      <c r="F5613">
        <v>6123858377</v>
      </c>
      <c r="G5613">
        <v>50000</v>
      </c>
      <c r="H5613" t="s">
        <v>40293</v>
      </c>
      <c r="I5613">
        <v>41032</v>
      </c>
      <c r="J5613">
        <v>2393</v>
      </c>
      <c r="K5613">
        <v>2397</v>
      </c>
    </row>
    <row r="5614" spans="1:11">
      <c r="A5614">
        <v>90</v>
      </c>
      <c r="B5614" t="b">
        <v>0</v>
      </c>
      <c r="C5614" t="s">
        <v>42515</v>
      </c>
      <c r="D5614">
        <v>1037022454355</v>
      </c>
      <c r="E5614">
        <v>1</v>
      </c>
      <c r="F5614">
        <v>6134478739</v>
      </c>
      <c r="G5614">
        <v>49990</v>
      </c>
      <c r="H5614" t="s">
        <v>40293</v>
      </c>
      <c r="I5614">
        <v>41032</v>
      </c>
      <c r="J5614">
        <v>95</v>
      </c>
      <c r="K5614">
        <v>112</v>
      </c>
    </row>
    <row r="5615" spans="1:11">
      <c r="A5615">
        <v>90</v>
      </c>
      <c r="B5615" t="b">
        <v>0</v>
      </c>
      <c r="C5615" t="s">
        <v>42791</v>
      </c>
      <c r="D5615">
        <v>1037022454355</v>
      </c>
      <c r="E5615">
        <v>1</v>
      </c>
      <c r="F5615">
        <v>6135770979</v>
      </c>
      <c r="G5615">
        <v>80000</v>
      </c>
      <c r="H5615" t="s">
        <v>40293</v>
      </c>
      <c r="I5615">
        <v>41033</v>
      </c>
      <c r="J5615">
        <v>106</v>
      </c>
      <c r="K5615">
        <v>108</v>
      </c>
    </row>
    <row r="5616" spans="1:11">
      <c r="A5616">
        <v>90</v>
      </c>
      <c r="B5616" t="b">
        <v>0</v>
      </c>
      <c r="C5616" t="s">
        <v>41210</v>
      </c>
      <c r="D5616">
        <v>1037022454355</v>
      </c>
      <c r="E5616">
        <v>1</v>
      </c>
      <c r="F5616">
        <v>6067769285</v>
      </c>
      <c r="G5616">
        <v>393900</v>
      </c>
      <c r="H5616" t="s">
        <v>40293</v>
      </c>
      <c r="I5616">
        <v>41034</v>
      </c>
      <c r="J5616">
        <v>1</v>
      </c>
      <c r="K5616">
        <v>100</v>
      </c>
    </row>
    <row r="5617" spans="1:11">
      <c r="A5617">
        <v>90</v>
      </c>
      <c r="B5617" t="b">
        <v>0</v>
      </c>
      <c r="C5617" t="s">
        <v>42362</v>
      </c>
      <c r="D5617">
        <v>1037022454355</v>
      </c>
      <c r="E5617">
        <v>1</v>
      </c>
      <c r="F5617">
        <v>6132144314</v>
      </c>
      <c r="G5617">
        <v>344600</v>
      </c>
      <c r="H5617" t="s">
        <v>40293</v>
      </c>
      <c r="I5617">
        <v>41034</v>
      </c>
      <c r="J5617">
        <v>1</v>
      </c>
      <c r="K5617">
        <v>3</v>
      </c>
    </row>
    <row r="5618" spans="1:11">
      <c r="A5618">
        <v>90</v>
      </c>
      <c r="B5618" t="b">
        <v>0</v>
      </c>
      <c r="C5618" t="s">
        <v>42492</v>
      </c>
      <c r="D5618">
        <v>1037022454355</v>
      </c>
      <c r="E5618">
        <v>1</v>
      </c>
      <c r="F5618">
        <v>6134477550</v>
      </c>
      <c r="G5618">
        <v>150000</v>
      </c>
      <c r="H5618" t="s">
        <v>40293</v>
      </c>
      <c r="I5618">
        <v>41034</v>
      </c>
      <c r="J5618">
        <v>107</v>
      </c>
      <c r="K5618">
        <v>112</v>
      </c>
    </row>
    <row r="5619" spans="1:11">
      <c r="A5619">
        <v>90</v>
      </c>
      <c r="B5619" t="b">
        <v>0</v>
      </c>
      <c r="C5619" t="s">
        <v>43570</v>
      </c>
      <c r="D5619">
        <v>1037022454355</v>
      </c>
      <c r="E5619">
        <v>1</v>
      </c>
      <c r="F5619">
        <v>6138252743</v>
      </c>
      <c r="G5619">
        <v>145000</v>
      </c>
      <c r="H5619" t="s">
        <v>40293</v>
      </c>
      <c r="I5619">
        <v>41034</v>
      </c>
      <c r="J5619">
        <v>769</v>
      </c>
      <c r="K5619">
        <v>781</v>
      </c>
    </row>
    <row r="5620" spans="1:11">
      <c r="A5620">
        <v>90</v>
      </c>
      <c r="B5620" t="b">
        <v>0</v>
      </c>
      <c r="C5620" t="s">
        <v>43291</v>
      </c>
      <c r="D5620">
        <v>1037022454355</v>
      </c>
      <c r="E5620">
        <v>1</v>
      </c>
      <c r="F5620">
        <v>6123859338</v>
      </c>
      <c r="G5620">
        <v>140000</v>
      </c>
      <c r="H5620" t="s">
        <v>40293</v>
      </c>
      <c r="I5620">
        <v>41034</v>
      </c>
      <c r="J5620">
        <v>541</v>
      </c>
      <c r="K5620">
        <v>555</v>
      </c>
    </row>
    <row r="5621" spans="1:11">
      <c r="A5621">
        <v>90</v>
      </c>
      <c r="B5621" t="b">
        <v>0</v>
      </c>
      <c r="C5621" t="s">
        <v>43666</v>
      </c>
      <c r="D5621">
        <v>1037022454355</v>
      </c>
      <c r="E5621">
        <v>1</v>
      </c>
      <c r="F5621">
        <v>6143009919</v>
      </c>
      <c r="G5621">
        <v>139000</v>
      </c>
      <c r="H5621" t="s">
        <v>40293</v>
      </c>
      <c r="I5621">
        <v>41034</v>
      </c>
      <c r="J5621">
        <v>88</v>
      </c>
      <c r="K5621">
        <v>88</v>
      </c>
    </row>
    <row r="5622" spans="1:11">
      <c r="A5622">
        <v>90</v>
      </c>
      <c r="B5622" t="b">
        <v>0</v>
      </c>
      <c r="C5622" t="s">
        <v>43666</v>
      </c>
      <c r="D5622">
        <v>1037022454355</v>
      </c>
      <c r="E5622">
        <v>1</v>
      </c>
      <c r="F5622">
        <v>6143009920</v>
      </c>
      <c r="G5622">
        <v>138000</v>
      </c>
      <c r="H5622" t="s">
        <v>40293</v>
      </c>
      <c r="I5622">
        <v>41034</v>
      </c>
      <c r="J5622">
        <v>40</v>
      </c>
      <c r="K5622">
        <v>57</v>
      </c>
    </row>
    <row r="5623" spans="1:11">
      <c r="A5623">
        <v>90</v>
      </c>
      <c r="B5623" t="b">
        <v>0</v>
      </c>
      <c r="C5623" t="s">
        <v>41537</v>
      </c>
      <c r="D5623">
        <v>1037022454355</v>
      </c>
      <c r="E5623">
        <v>1</v>
      </c>
      <c r="F5623">
        <v>6124382008</v>
      </c>
      <c r="G5623">
        <v>650000</v>
      </c>
      <c r="H5623" t="s">
        <v>40293</v>
      </c>
      <c r="I5623">
        <v>41054</v>
      </c>
      <c r="J5623">
        <v>1</v>
      </c>
      <c r="K5623">
        <v>1</v>
      </c>
    </row>
    <row r="5624" spans="1:11">
      <c r="A5624">
        <v>90</v>
      </c>
      <c r="B5624" t="b">
        <v>0</v>
      </c>
      <c r="C5624" t="s">
        <v>41982</v>
      </c>
      <c r="D5624">
        <v>1037022454355</v>
      </c>
      <c r="E5624">
        <v>1</v>
      </c>
      <c r="F5624">
        <v>6127351193</v>
      </c>
      <c r="G5624">
        <v>649000</v>
      </c>
      <c r="H5624" t="s">
        <v>40293</v>
      </c>
      <c r="I5624">
        <v>41054</v>
      </c>
      <c r="J5624">
        <v>1</v>
      </c>
      <c r="K5624">
        <v>9</v>
      </c>
    </row>
    <row r="5625" spans="1:11">
      <c r="A5625">
        <v>90</v>
      </c>
      <c r="B5625" t="b">
        <v>0</v>
      </c>
      <c r="C5625" t="s">
        <v>41329</v>
      </c>
      <c r="D5625">
        <v>1037022454355</v>
      </c>
      <c r="E5625">
        <v>1</v>
      </c>
      <c r="F5625">
        <v>6106076865</v>
      </c>
      <c r="G5625">
        <v>599900</v>
      </c>
      <c r="H5625" t="s">
        <v>40293</v>
      </c>
      <c r="I5625">
        <v>41055</v>
      </c>
      <c r="J5625">
        <v>9</v>
      </c>
      <c r="K5625">
        <v>18</v>
      </c>
    </row>
    <row r="5626" spans="1:11">
      <c r="A5626">
        <v>90</v>
      </c>
      <c r="B5626" t="b">
        <v>0</v>
      </c>
      <c r="C5626" t="s">
        <v>42259</v>
      </c>
      <c r="D5626">
        <v>1037022454355</v>
      </c>
      <c r="E5626">
        <v>1</v>
      </c>
      <c r="F5626">
        <v>6127351607</v>
      </c>
      <c r="G5626">
        <v>390000</v>
      </c>
      <c r="H5626" t="s">
        <v>40293</v>
      </c>
      <c r="I5626">
        <v>41055</v>
      </c>
      <c r="J5626">
        <v>10</v>
      </c>
      <c r="K5626">
        <v>11</v>
      </c>
    </row>
    <row r="5627" spans="1:11">
      <c r="A5627">
        <v>90</v>
      </c>
      <c r="B5627" t="b">
        <v>0</v>
      </c>
      <c r="C5627" t="s">
        <v>43651</v>
      </c>
      <c r="D5627">
        <v>1037022454355</v>
      </c>
      <c r="E5627">
        <v>1</v>
      </c>
      <c r="F5627">
        <v>6141434048</v>
      </c>
      <c r="G5627">
        <v>399800</v>
      </c>
      <c r="H5627" t="s">
        <v>40293</v>
      </c>
      <c r="I5627">
        <v>41056</v>
      </c>
      <c r="J5627">
        <v>2</v>
      </c>
      <c r="K5627">
        <v>3</v>
      </c>
    </row>
    <row r="5628" spans="1:11">
      <c r="A5628">
        <v>90</v>
      </c>
      <c r="B5628" t="b">
        <v>0</v>
      </c>
      <c r="C5628" t="s">
        <v>41251</v>
      </c>
      <c r="D5628">
        <v>1037022454355</v>
      </c>
      <c r="E5628">
        <v>1</v>
      </c>
      <c r="F5628">
        <v>6122459645</v>
      </c>
      <c r="G5628">
        <v>9000000</v>
      </c>
      <c r="H5628" t="s">
        <v>40293</v>
      </c>
      <c r="I5628">
        <v>41057</v>
      </c>
      <c r="J5628">
        <v>1</v>
      </c>
      <c r="K5628">
        <v>1</v>
      </c>
    </row>
    <row r="5629" spans="1:11">
      <c r="A5629">
        <v>90</v>
      </c>
      <c r="B5629" t="b">
        <v>0</v>
      </c>
      <c r="C5629" t="s">
        <v>40757</v>
      </c>
      <c r="D5629">
        <v>1037022454355</v>
      </c>
      <c r="E5629">
        <v>1</v>
      </c>
      <c r="F5629">
        <v>6123858126</v>
      </c>
      <c r="G5629">
        <v>8500000</v>
      </c>
      <c r="H5629" t="s">
        <v>40293</v>
      </c>
      <c r="I5629">
        <v>41057</v>
      </c>
      <c r="J5629">
        <v>3</v>
      </c>
      <c r="K5629">
        <v>4</v>
      </c>
    </row>
    <row r="5630" spans="1:11">
      <c r="A5630">
        <v>90</v>
      </c>
      <c r="B5630" t="b">
        <v>0</v>
      </c>
      <c r="C5630" t="s">
        <v>44713</v>
      </c>
      <c r="D5630">
        <v>1037022454355</v>
      </c>
      <c r="E5630">
        <v>1</v>
      </c>
      <c r="F5630">
        <v>6147908640</v>
      </c>
      <c r="G5630">
        <v>7200000</v>
      </c>
      <c r="H5630" t="s">
        <v>40293</v>
      </c>
      <c r="I5630">
        <v>41057</v>
      </c>
      <c r="J5630">
        <v>3</v>
      </c>
      <c r="K5630">
        <v>10</v>
      </c>
    </row>
    <row r="5631" spans="1:11">
      <c r="A5631">
        <v>90</v>
      </c>
      <c r="B5631" t="b">
        <v>0</v>
      </c>
      <c r="C5631" t="s">
        <v>41688</v>
      </c>
      <c r="D5631">
        <v>1037022454355</v>
      </c>
      <c r="E5631">
        <v>1</v>
      </c>
      <c r="F5631">
        <v>6106610152</v>
      </c>
      <c r="G5631">
        <v>485000000</v>
      </c>
      <c r="H5631" t="s">
        <v>40293</v>
      </c>
      <c r="I5631">
        <v>41059</v>
      </c>
      <c r="J5631">
        <v>1</v>
      </c>
      <c r="K5631">
        <v>3</v>
      </c>
    </row>
    <row r="5632" spans="1:11">
      <c r="A5632">
        <v>90</v>
      </c>
      <c r="B5632" t="b">
        <v>0</v>
      </c>
      <c r="C5632" t="s">
        <v>40494</v>
      </c>
      <c r="D5632">
        <v>1037022454355</v>
      </c>
      <c r="E5632">
        <v>1</v>
      </c>
      <c r="F5632">
        <v>6112580225</v>
      </c>
      <c r="G5632">
        <v>484900000</v>
      </c>
      <c r="H5632" t="s">
        <v>40293</v>
      </c>
      <c r="I5632">
        <v>41059</v>
      </c>
      <c r="J5632">
        <v>3</v>
      </c>
      <c r="K5632">
        <v>4</v>
      </c>
    </row>
    <row r="5633" spans="1:11">
      <c r="A5633">
        <v>90</v>
      </c>
      <c r="B5633" t="b">
        <v>0</v>
      </c>
      <c r="C5633" t="s">
        <v>40676</v>
      </c>
      <c r="D5633">
        <v>1037022454355</v>
      </c>
      <c r="E5633">
        <v>1</v>
      </c>
      <c r="F5633">
        <v>6071230597</v>
      </c>
      <c r="G5633">
        <v>149400000</v>
      </c>
      <c r="H5633" t="s">
        <v>40293</v>
      </c>
      <c r="I5633">
        <v>41116</v>
      </c>
      <c r="J5633">
        <v>3</v>
      </c>
      <c r="K5633">
        <v>3</v>
      </c>
    </row>
    <row r="5634" spans="1:11">
      <c r="A5634">
        <v>90</v>
      </c>
      <c r="B5634" t="b">
        <v>0</v>
      </c>
      <c r="C5634" t="s">
        <v>40816</v>
      </c>
      <c r="D5634">
        <v>1037022454355</v>
      </c>
      <c r="E5634">
        <v>1</v>
      </c>
      <c r="F5634">
        <v>6102068763</v>
      </c>
      <c r="G5634">
        <v>33960</v>
      </c>
      <c r="H5634" t="s">
        <v>40293</v>
      </c>
      <c r="I5634">
        <v>41155</v>
      </c>
      <c r="J5634">
        <v>1</v>
      </c>
      <c r="K5634">
        <v>1</v>
      </c>
    </row>
    <row r="5635" spans="1:11">
      <c r="A5635">
        <v>90</v>
      </c>
      <c r="B5635" t="b">
        <v>0</v>
      </c>
      <c r="C5635" t="s">
        <v>41017</v>
      </c>
      <c r="D5635">
        <v>1037022454355</v>
      </c>
      <c r="E5635">
        <v>1</v>
      </c>
      <c r="F5635">
        <v>6067863628</v>
      </c>
      <c r="G5635">
        <v>33750</v>
      </c>
      <c r="H5635" t="s">
        <v>40293</v>
      </c>
      <c r="I5635">
        <v>41155</v>
      </c>
      <c r="J5635">
        <v>376</v>
      </c>
      <c r="K5635">
        <v>500</v>
      </c>
    </row>
    <row r="5636" spans="1:11">
      <c r="A5636">
        <v>90</v>
      </c>
      <c r="B5636" t="b">
        <v>0</v>
      </c>
      <c r="C5636" t="s">
        <v>43015</v>
      </c>
      <c r="D5636">
        <v>1037022454355</v>
      </c>
      <c r="E5636">
        <v>1</v>
      </c>
      <c r="F5636">
        <v>6139253038</v>
      </c>
      <c r="G5636">
        <v>95810000</v>
      </c>
      <c r="H5636" t="s">
        <v>40293</v>
      </c>
      <c r="I5636">
        <v>41159</v>
      </c>
      <c r="J5636">
        <v>3</v>
      </c>
      <c r="K5636">
        <v>3</v>
      </c>
    </row>
    <row r="5637" spans="1:11">
      <c r="A5637">
        <v>90</v>
      </c>
      <c r="B5637" t="b">
        <v>0</v>
      </c>
      <c r="C5637" t="s">
        <v>46520</v>
      </c>
      <c r="D5637">
        <v>1037022454355</v>
      </c>
      <c r="E5637">
        <v>1</v>
      </c>
      <c r="F5637">
        <v>6156637822</v>
      </c>
      <c r="G5637">
        <v>65100000</v>
      </c>
      <c r="H5637" t="s">
        <v>40293</v>
      </c>
      <c r="I5637">
        <v>41191</v>
      </c>
      <c r="J5637">
        <v>10</v>
      </c>
      <c r="K5637">
        <v>10</v>
      </c>
    </row>
    <row r="5638" spans="1:11">
      <c r="A5638">
        <v>90</v>
      </c>
      <c r="B5638" t="b">
        <v>0</v>
      </c>
      <c r="C5638" t="s">
        <v>40915</v>
      </c>
      <c r="D5638">
        <v>1037022454355</v>
      </c>
      <c r="E5638">
        <v>1</v>
      </c>
      <c r="F5638">
        <v>6068844422</v>
      </c>
      <c r="G5638">
        <v>17770000</v>
      </c>
      <c r="H5638" t="s">
        <v>40293</v>
      </c>
      <c r="I5638">
        <v>41196</v>
      </c>
      <c r="J5638">
        <v>2</v>
      </c>
      <c r="K5638">
        <v>2</v>
      </c>
    </row>
    <row r="5639" spans="1:11">
      <c r="A5639">
        <v>90</v>
      </c>
      <c r="B5639" t="b">
        <v>0</v>
      </c>
      <c r="C5639" t="s">
        <v>40558</v>
      </c>
      <c r="D5639">
        <v>1037022454355</v>
      </c>
      <c r="E5639">
        <v>1</v>
      </c>
      <c r="F5639">
        <v>6091413521</v>
      </c>
      <c r="G5639">
        <v>16900000</v>
      </c>
      <c r="H5639" t="s">
        <v>40293</v>
      </c>
      <c r="I5639">
        <v>41196</v>
      </c>
      <c r="J5639">
        <v>1</v>
      </c>
      <c r="K5639">
        <v>1</v>
      </c>
    </row>
    <row r="5640" spans="1:11">
      <c r="A5640">
        <v>90</v>
      </c>
      <c r="B5640" t="b">
        <v>0</v>
      </c>
      <c r="C5640" t="s">
        <v>42525</v>
      </c>
      <c r="D5640">
        <v>1037022454355</v>
      </c>
      <c r="E5640">
        <v>1</v>
      </c>
      <c r="F5640">
        <v>6132349322</v>
      </c>
      <c r="G5640">
        <v>16800000</v>
      </c>
      <c r="H5640" t="s">
        <v>40293</v>
      </c>
      <c r="I5640">
        <v>41196</v>
      </c>
      <c r="J5640">
        <v>1</v>
      </c>
      <c r="K5640">
        <v>1</v>
      </c>
    </row>
    <row r="5641" spans="1:11">
      <c r="A5641">
        <v>90</v>
      </c>
      <c r="B5641" t="b">
        <v>0</v>
      </c>
      <c r="C5641" t="s">
        <v>42990</v>
      </c>
      <c r="D5641">
        <v>1037022454355</v>
      </c>
      <c r="E5641">
        <v>1</v>
      </c>
      <c r="F5641">
        <v>6140104348</v>
      </c>
      <c r="G5641">
        <v>13200000</v>
      </c>
      <c r="H5641" t="s">
        <v>40293</v>
      </c>
      <c r="I5641">
        <v>41196</v>
      </c>
      <c r="J5641">
        <v>16</v>
      </c>
      <c r="K5641">
        <v>16</v>
      </c>
    </row>
    <row r="5642" spans="1:11">
      <c r="A5642">
        <v>90</v>
      </c>
      <c r="B5642" t="b">
        <v>0</v>
      </c>
      <c r="C5642" t="s">
        <v>40814</v>
      </c>
      <c r="D5642">
        <v>1037022454355</v>
      </c>
      <c r="E5642">
        <v>1</v>
      </c>
      <c r="F5642">
        <v>6120648163</v>
      </c>
      <c r="G5642">
        <v>9000000</v>
      </c>
      <c r="H5642" t="s">
        <v>40293</v>
      </c>
      <c r="I5642">
        <v>41198</v>
      </c>
      <c r="J5642">
        <v>1</v>
      </c>
      <c r="K5642">
        <v>1</v>
      </c>
    </row>
    <row r="5643" spans="1:11">
      <c r="A5643">
        <v>90</v>
      </c>
      <c r="B5643" t="b">
        <v>0</v>
      </c>
      <c r="C5643" t="s">
        <v>41208</v>
      </c>
      <c r="D5643">
        <v>1037022454355</v>
      </c>
      <c r="E5643">
        <v>1</v>
      </c>
      <c r="F5643">
        <v>6114856856</v>
      </c>
      <c r="G5643">
        <v>254100000</v>
      </c>
      <c r="H5643" t="s">
        <v>40293</v>
      </c>
      <c r="I5643">
        <v>41200</v>
      </c>
      <c r="J5643">
        <v>3</v>
      </c>
      <c r="K5643">
        <v>5</v>
      </c>
    </row>
    <row r="5644" spans="1:11">
      <c r="A5644">
        <v>90</v>
      </c>
      <c r="B5644" t="b">
        <v>0</v>
      </c>
      <c r="C5644" t="s">
        <v>40486</v>
      </c>
      <c r="D5644">
        <v>1037022454355</v>
      </c>
      <c r="E5644">
        <v>1</v>
      </c>
      <c r="F5644">
        <v>6116577705</v>
      </c>
      <c r="G5644">
        <v>265000000</v>
      </c>
      <c r="H5644" t="s">
        <v>40293</v>
      </c>
      <c r="I5644">
        <v>41201</v>
      </c>
      <c r="J5644">
        <v>3</v>
      </c>
      <c r="K5644">
        <v>4</v>
      </c>
    </row>
    <row r="5645" spans="1:11">
      <c r="A5645">
        <v>90</v>
      </c>
      <c r="B5645" t="b">
        <v>0</v>
      </c>
      <c r="C5645" t="s">
        <v>43925</v>
      </c>
      <c r="D5645">
        <v>1037022454355</v>
      </c>
      <c r="E5645">
        <v>1</v>
      </c>
      <c r="F5645">
        <v>6142064977</v>
      </c>
      <c r="G5645">
        <v>264000000</v>
      </c>
      <c r="H5645" t="s">
        <v>40293</v>
      </c>
      <c r="I5645">
        <v>41201</v>
      </c>
      <c r="J5645">
        <v>1</v>
      </c>
      <c r="K5645">
        <v>1</v>
      </c>
    </row>
    <row r="5646" spans="1:11">
      <c r="A5646">
        <v>90</v>
      </c>
      <c r="B5646" t="b">
        <v>0</v>
      </c>
      <c r="C5646" t="s">
        <v>43317</v>
      </c>
      <c r="D5646">
        <v>1037022454355</v>
      </c>
      <c r="E5646">
        <v>1</v>
      </c>
      <c r="F5646">
        <v>6140538921</v>
      </c>
      <c r="G5646">
        <v>349000000</v>
      </c>
      <c r="H5646" t="s">
        <v>40293</v>
      </c>
      <c r="I5646">
        <v>41202</v>
      </c>
      <c r="J5646">
        <v>1</v>
      </c>
      <c r="K5646">
        <v>1</v>
      </c>
    </row>
    <row r="5647" spans="1:11">
      <c r="A5647">
        <v>30</v>
      </c>
      <c r="B5647" t="b">
        <v>0</v>
      </c>
      <c r="C5647" t="s">
        <v>46039</v>
      </c>
      <c r="D5647">
        <v>1037022454355</v>
      </c>
      <c r="E5647">
        <v>1</v>
      </c>
      <c r="F5647">
        <v>6148547679</v>
      </c>
      <c r="G5647">
        <v>340000000</v>
      </c>
      <c r="H5647" t="s">
        <v>40293</v>
      </c>
      <c r="I5647">
        <v>41202</v>
      </c>
      <c r="J5647">
        <v>1</v>
      </c>
      <c r="K5647">
        <v>1</v>
      </c>
    </row>
    <row r="5648" spans="1:11">
      <c r="A5648">
        <v>30</v>
      </c>
      <c r="B5648" t="b">
        <v>0</v>
      </c>
      <c r="C5648" t="s">
        <v>44880</v>
      </c>
      <c r="D5648">
        <v>1037022454355</v>
      </c>
      <c r="E5648">
        <v>1</v>
      </c>
      <c r="F5648">
        <v>6155250705</v>
      </c>
      <c r="G5648">
        <v>320000000</v>
      </c>
      <c r="H5648" t="s">
        <v>40293</v>
      </c>
      <c r="I5648">
        <v>41202</v>
      </c>
      <c r="J5648">
        <v>1</v>
      </c>
      <c r="K5648">
        <v>1</v>
      </c>
    </row>
    <row r="5649" spans="1:11">
      <c r="A5649">
        <v>90</v>
      </c>
      <c r="B5649" t="b">
        <v>0</v>
      </c>
      <c r="C5649" t="s">
        <v>46325</v>
      </c>
      <c r="D5649">
        <v>1037022454355</v>
      </c>
      <c r="E5649">
        <v>1</v>
      </c>
      <c r="F5649">
        <v>6150091653</v>
      </c>
      <c r="G5649">
        <v>319000000</v>
      </c>
      <c r="H5649" t="s">
        <v>40293</v>
      </c>
      <c r="I5649">
        <v>41202</v>
      </c>
      <c r="J5649">
        <v>1</v>
      </c>
      <c r="K5649">
        <v>1</v>
      </c>
    </row>
    <row r="5650" spans="1:11">
      <c r="A5650">
        <v>90</v>
      </c>
      <c r="B5650" t="b">
        <v>0</v>
      </c>
      <c r="C5650" t="s">
        <v>43004</v>
      </c>
      <c r="D5650">
        <v>1037022454355</v>
      </c>
      <c r="E5650">
        <v>1</v>
      </c>
      <c r="F5650">
        <v>6140104678</v>
      </c>
      <c r="G5650">
        <v>18000000</v>
      </c>
      <c r="H5650" t="s">
        <v>40293</v>
      </c>
      <c r="I5650">
        <v>41212</v>
      </c>
      <c r="J5650">
        <v>5</v>
      </c>
      <c r="K5650">
        <v>5</v>
      </c>
    </row>
    <row r="5651" spans="1:11">
      <c r="A5651">
        <v>90</v>
      </c>
      <c r="B5651" t="b">
        <v>0</v>
      </c>
      <c r="C5651" t="s">
        <v>43536</v>
      </c>
      <c r="D5651">
        <v>1037022454355</v>
      </c>
      <c r="E5651">
        <v>1</v>
      </c>
      <c r="F5651">
        <v>6141561050</v>
      </c>
      <c r="G5651">
        <v>35000000</v>
      </c>
      <c r="H5651" t="s">
        <v>40293</v>
      </c>
      <c r="I5651">
        <v>41218</v>
      </c>
      <c r="J5651">
        <v>1</v>
      </c>
      <c r="K5651">
        <v>1</v>
      </c>
    </row>
    <row r="5652" spans="1:11">
      <c r="A5652">
        <v>90</v>
      </c>
      <c r="B5652" t="b">
        <v>0</v>
      </c>
      <c r="C5652" t="s">
        <v>44825</v>
      </c>
      <c r="D5652">
        <v>1037022454355</v>
      </c>
      <c r="E5652">
        <v>1</v>
      </c>
      <c r="F5652">
        <v>6150138155</v>
      </c>
      <c r="G5652">
        <v>34970000</v>
      </c>
      <c r="H5652" t="s">
        <v>40293</v>
      </c>
      <c r="I5652">
        <v>41218</v>
      </c>
      <c r="J5652">
        <v>1</v>
      </c>
      <c r="K5652">
        <v>1</v>
      </c>
    </row>
    <row r="5653" spans="1:11">
      <c r="A5653">
        <v>90</v>
      </c>
      <c r="B5653" t="b">
        <v>0</v>
      </c>
      <c r="C5653" t="s">
        <v>46137</v>
      </c>
      <c r="D5653">
        <v>1037022454355</v>
      </c>
      <c r="E5653">
        <v>1</v>
      </c>
      <c r="F5653">
        <v>6137047629</v>
      </c>
      <c r="G5653">
        <v>34970000</v>
      </c>
      <c r="H5653" t="s">
        <v>40293</v>
      </c>
      <c r="I5653">
        <v>41218</v>
      </c>
      <c r="J5653">
        <v>1</v>
      </c>
      <c r="K5653">
        <v>1</v>
      </c>
    </row>
    <row r="5654" spans="1:11">
      <c r="A5654">
        <v>90</v>
      </c>
      <c r="B5654" t="b">
        <v>0</v>
      </c>
      <c r="C5654" t="s">
        <v>44959</v>
      </c>
      <c r="D5654">
        <v>1037022454355</v>
      </c>
      <c r="E5654">
        <v>1</v>
      </c>
      <c r="F5654">
        <v>6128021472</v>
      </c>
      <c r="G5654">
        <v>34950000</v>
      </c>
      <c r="H5654" t="s">
        <v>40293</v>
      </c>
      <c r="I5654">
        <v>41218</v>
      </c>
      <c r="J5654">
        <v>18</v>
      </c>
      <c r="K5654">
        <v>25</v>
      </c>
    </row>
    <row r="5655" spans="1:11">
      <c r="A5655">
        <v>30</v>
      </c>
      <c r="B5655" t="b">
        <v>0</v>
      </c>
      <c r="C5655" t="s">
        <v>46441</v>
      </c>
      <c r="D5655">
        <v>1037022454355</v>
      </c>
      <c r="E5655">
        <v>1</v>
      </c>
      <c r="F5655">
        <v>6155893443</v>
      </c>
      <c r="G5655">
        <v>34940000</v>
      </c>
      <c r="H5655" t="s">
        <v>40293</v>
      </c>
      <c r="I5655">
        <v>41218</v>
      </c>
      <c r="J5655">
        <v>9</v>
      </c>
      <c r="K5655">
        <v>9</v>
      </c>
    </row>
    <row r="5656" spans="1:11">
      <c r="A5656">
        <v>30</v>
      </c>
      <c r="B5656" t="b">
        <v>0</v>
      </c>
      <c r="C5656" t="s">
        <v>44308</v>
      </c>
      <c r="D5656">
        <v>1037022454355</v>
      </c>
      <c r="E5656">
        <v>1</v>
      </c>
      <c r="F5656">
        <v>6156619501</v>
      </c>
      <c r="G5656">
        <v>65030000</v>
      </c>
      <c r="H5656" t="s">
        <v>40293</v>
      </c>
      <c r="I5656">
        <v>41220</v>
      </c>
      <c r="J5656">
        <v>15</v>
      </c>
      <c r="K5656">
        <v>15</v>
      </c>
    </row>
    <row r="5657" spans="1:11">
      <c r="A5657">
        <v>30</v>
      </c>
      <c r="B5657" t="b">
        <v>0</v>
      </c>
      <c r="C5657" t="s">
        <v>46071</v>
      </c>
      <c r="D5657">
        <v>1037022454355</v>
      </c>
      <c r="E5657">
        <v>1</v>
      </c>
      <c r="F5657">
        <v>6150940218</v>
      </c>
      <c r="G5657">
        <v>65020000</v>
      </c>
      <c r="H5657" t="s">
        <v>40293</v>
      </c>
      <c r="I5657">
        <v>41220</v>
      </c>
      <c r="J5657">
        <v>3</v>
      </c>
      <c r="K5657">
        <v>5</v>
      </c>
    </row>
    <row r="5658" spans="1:11">
      <c r="A5658">
        <v>90</v>
      </c>
      <c r="B5658" t="b">
        <v>0</v>
      </c>
      <c r="C5658" t="s">
        <v>43055</v>
      </c>
      <c r="D5658">
        <v>1037022454355</v>
      </c>
      <c r="E5658">
        <v>1</v>
      </c>
      <c r="F5658">
        <v>6146528531</v>
      </c>
      <c r="G5658">
        <v>52750000</v>
      </c>
      <c r="H5658" t="s">
        <v>40293</v>
      </c>
      <c r="I5658">
        <v>41236</v>
      </c>
      <c r="J5658">
        <v>3</v>
      </c>
      <c r="K5658">
        <v>4</v>
      </c>
    </row>
    <row r="5659" spans="1:11">
      <c r="A5659">
        <v>90</v>
      </c>
      <c r="B5659" t="b">
        <v>0</v>
      </c>
      <c r="C5659" t="s">
        <v>40764</v>
      </c>
      <c r="D5659">
        <v>1037022454355</v>
      </c>
      <c r="E5659">
        <v>1</v>
      </c>
      <c r="F5659">
        <v>6097480094</v>
      </c>
      <c r="G5659">
        <v>250100</v>
      </c>
      <c r="H5659" t="s">
        <v>40293</v>
      </c>
      <c r="I5659">
        <v>41263</v>
      </c>
      <c r="J5659">
        <v>6</v>
      </c>
      <c r="K5659">
        <v>6</v>
      </c>
    </row>
    <row r="5660" spans="1:11">
      <c r="A5660">
        <v>90</v>
      </c>
      <c r="B5660" t="b">
        <v>0</v>
      </c>
      <c r="C5660" t="s">
        <v>40324</v>
      </c>
      <c r="D5660">
        <v>1037022454355</v>
      </c>
      <c r="E5660">
        <v>1</v>
      </c>
      <c r="F5660">
        <v>6116300278</v>
      </c>
      <c r="G5660">
        <v>850</v>
      </c>
      <c r="H5660" t="s">
        <v>40293</v>
      </c>
      <c r="I5660">
        <v>41265</v>
      </c>
      <c r="J5660">
        <v>42</v>
      </c>
      <c r="K5660">
        <v>42</v>
      </c>
    </row>
    <row r="5661" spans="1:11">
      <c r="A5661">
        <v>90</v>
      </c>
      <c r="B5661" t="b">
        <v>0</v>
      </c>
      <c r="C5661" t="s">
        <v>41239</v>
      </c>
      <c r="D5661">
        <v>1037022454355</v>
      </c>
      <c r="E5661">
        <v>1</v>
      </c>
      <c r="F5661">
        <v>6101913922</v>
      </c>
      <c r="G5661">
        <v>250100</v>
      </c>
      <c r="H5661" t="s">
        <v>40293</v>
      </c>
      <c r="I5661">
        <v>41266</v>
      </c>
      <c r="J5661">
        <v>46</v>
      </c>
      <c r="K5661">
        <v>46</v>
      </c>
    </row>
    <row r="5662" spans="1:11">
      <c r="A5662">
        <v>90</v>
      </c>
      <c r="B5662" t="b">
        <v>0</v>
      </c>
      <c r="C5662" t="s">
        <v>40975</v>
      </c>
      <c r="D5662">
        <v>1037022454355</v>
      </c>
      <c r="E5662">
        <v>1</v>
      </c>
      <c r="F5662">
        <v>6109478153</v>
      </c>
      <c r="G5662">
        <v>250000</v>
      </c>
      <c r="H5662" t="s">
        <v>40293</v>
      </c>
      <c r="I5662">
        <v>41266</v>
      </c>
      <c r="J5662">
        <v>37</v>
      </c>
      <c r="K5662">
        <v>37</v>
      </c>
    </row>
    <row r="5663" spans="1:11">
      <c r="A5663">
        <v>90</v>
      </c>
      <c r="B5663" t="b">
        <v>0</v>
      </c>
      <c r="C5663" t="s">
        <v>40790</v>
      </c>
      <c r="D5663">
        <v>1037022454355</v>
      </c>
      <c r="E5663">
        <v>1</v>
      </c>
      <c r="F5663">
        <v>6097480645</v>
      </c>
      <c r="G5663">
        <v>250100</v>
      </c>
      <c r="H5663" t="s">
        <v>40293</v>
      </c>
      <c r="I5663">
        <v>41268</v>
      </c>
      <c r="J5663">
        <v>47</v>
      </c>
      <c r="K5663">
        <v>47</v>
      </c>
    </row>
    <row r="5664" spans="1:11">
      <c r="A5664">
        <v>90</v>
      </c>
      <c r="B5664" t="b">
        <v>0</v>
      </c>
      <c r="C5664" t="s">
        <v>40975</v>
      </c>
      <c r="D5664">
        <v>1037022454355</v>
      </c>
      <c r="E5664">
        <v>1</v>
      </c>
      <c r="F5664">
        <v>6109478156</v>
      </c>
      <c r="G5664">
        <v>250000</v>
      </c>
      <c r="H5664" t="s">
        <v>40293</v>
      </c>
      <c r="I5664">
        <v>41269</v>
      </c>
      <c r="J5664">
        <v>41</v>
      </c>
      <c r="K5664">
        <v>41</v>
      </c>
    </row>
    <row r="5665" spans="1:11">
      <c r="A5665">
        <v>90</v>
      </c>
      <c r="B5665" t="b">
        <v>0</v>
      </c>
      <c r="C5665" t="s">
        <v>41354</v>
      </c>
      <c r="D5665">
        <v>1037022454355</v>
      </c>
      <c r="E5665">
        <v>1</v>
      </c>
      <c r="F5665">
        <v>6116300966</v>
      </c>
      <c r="G5665">
        <v>249900</v>
      </c>
      <c r="H5665" t="s">
        <v>40293</v>
      </c>
      <c r="I5665">
        <v>41269</v>
      </c>
      <c r="J5665">
        <v>43</v>
      </c>
      <c r="K5665">
        <v>43</v>
      </c>
    </row>
    <row r="5666" spans="1:11">
      <c r="A5666">
        <v>30</v>
      </c>
      <c r="B5666" t="b">
        <v>0</v>
      </c>
      <c r="C5666" t="s">
        <v>45802</v>
      </c>
      <c r="D5666">
        <v>1037022454355</v>
      </c>
      <c r="E5666">
        <v>1</v>
      </c>
      <c r="F5666">
        <v>6149953951</v>
      </c>
      <c r="G5666">
        <v>10010</v>
      </c>
      <c r="H5666" t="s">
        <v>40293</v>
      </c>
      <c r="I5666">
        <v>41270</v>
      </c>
      <c r="J5666">
        <v>9500</v>
      </c>
      <c r="K5666">
        <v>10000</v>
      </c>
    </row>
    <row r="5667" spans="1:11">
      <c r="A5667">
        <v>90</v>
      </c>
      <c r="B5667" t="b">
        <v>0</v>
      </c>
      <c r="C5667" t="s">
        <v>42651</v>
      </c>
      <c r="D5667">
        <v>1037022454355</v>
      </c>
      <c r="E5667">
        <v>1</v>
      </c>
      <c r="F5667">
        <v>6132355005</v>
      </c>
      <c r="G5667">
        <v>7777</v>
      </c>
      <c r="H5667" t="s">
        <v>40293</v>
      </c>
      <c r="I5667">
        <v>41275</v>
      </c>
      <c r="J5667">
        <v>31157</v>
      </c>
      <c r="K5667">
        <v>36757</v>
      </c>
    </row>
    <row r="5668" spans="1:11">
      <c r="A5668">
        <v>30</v>
      </c>
      <c r="B5668" t="b">
        <v>0</v>
      </c>
      <c r="C5668" t="s">
        <v>44636</v>
      </c>
      <c r="D5668">
        <v>1037022454355</v>
      </c>
      <c r="E5668">
        <v>1</v>
      </c>
      <c r="F5668">
        <v>6149775533</v>
      </c>
      <c r="G5668">
        <v>17240</v>
      </c>
      <c r="H5668" t="s">
        <v>40293</v>
      </c>
      <c r="I5668">
        <v>41277</v>
      </c>
      <c r="J5668">
        <v>1998</v>
      </c>
      <c r="K5668">
        <v>1998</v>
      </c>
    </row>
    <row r="5669" spans="1:11">
      <c r="A5669">
        <v>90</v>
      </c>
      <c r="B5669" t="b">
        <v>0</v>
      </c>
      <c r="C5669" t="s">
        <v>43818</v>
      </c>
      <c r="D5669">
        <v>1037022454355</v>
      </c>
      <c r="E5669">
        <v>1</v>
      </c>
      <c r="F5669">
        <v>6146915563</v>
      </c>
      <c r="G5669">
        <v>27000</v>
      </c>
      <c r="H5669" t="s">
        <v>40293</v>
      </c>
      <c r="I5669">
        <v>41287</v>
      </c>
      <c r="J5669">
        <v>1600</v>
      </c>
      <c r="K5669">
        <v>1600</v>
      </c>
    </row>
    <row r="5670" spans="1:11">
      <c r="A5670">
        <v>90</v>
      </c>
      <c r="B5670" t="b">
        <v>0</v>
      </c>
      <c r="C5670" t="s">
        <v>43818</v>
      </c>
      <c r="D5670">
        <v>1037022454355</v>
      </c>
      <c r="E5670">
        <v>1</v>
      </c>
      <c r="F5670">
        <v>6146915564</v>
      </c>
      <c r="G5670">
        <v>8000</v>
      </c>
      <c r="H5670" t="s">
        <v>40293</v>
      </c>
      <c r="I5670">
        <v>41291</v>
      </c>
      <c r="J5670">
        <v>1280</v>
      </c>
      <c r="K5670">
        <v>1280</v>
      </c>
    </row>
    <row r="5671" spans="1:11">
      <c r="A5671">
        <v>90</v>
      </c>
      <c r="B5671" t="b">
        <v>0</v>
      </c>
      <c r="C5671" t="s">
        <v>45135</v>
      </c>
      <c r="D5671">
        <v>1037022454355</v>
      </c>
      <c r="E5671">
        <v>1</v>
      </c>
      <c r="F5671">
        <v>6149519495</v>
      </c>
      <c r="G5671">
        <v>6000</v>
      </c>
      <c r="H5671" t="s">
        <v>40293</v>
      </c>
      <c r="I5671">
        <v>41291</v>
      </c>
      <c r="J5671">
        <v>12476</v>
      </c>
      <c r="K5671">
        <v>12476</v>
      </c>
    </row>
    <row r="5672" spans="1:11">
      <c r="A5672">
        <v>90</v>
      </c>
      <c r="B5672" t="b">
        <v>0</v>
      </c>
      <c r="C5672" t="s">
        <v>40785</v>
      </c>
      <c r="D5672">
        <v>1037022454355</v>
      </c>
      <c r="E5672">
        <v>1</v>
      </c>
      <c r="F5672">
        <v>6097480512</v>
      </c>
      <c r="G5672">
        <v>250100</v>
      </c>
      <c r="H5672" t="s">
        <v>40293</v>
      </c>
      <c r="I5672">
        <v>41302</v>
      </c>
      <c r="J5672">
        <v>29</v>
      </c>
      <c r="K5672">
        <v>29</v>
      </c>
    </row>
    <row r="5673" spans="1:11">
      <c r="A5673">
        <v>90</v>
      </c>
      <c r="B5673" t="b">
        <v>0</v>
      </c>
      <c r="C5673" t="s">
        <v>40975</v>
      </c>
      <c r="D5673">
        <v>1037022454355</v>
      </c>
      <c r="E5673">
        <v>1</v>
      </c>
      <c r="F5673">
        <v>6109478155</v>
      </c>
      <c r="G5673">
        <v>250000</v>
      </c>
      <c r="H5673" t="s">
        <v>40293</v>
      </c>
      <c r="I5673">
        <v>41302</v>
      </c>
      <c r="J5673">
        <v>8</v>
      </c>
      <c r="K5673">
        <v>8</v>
      </c>
    </row>
    <row r="5674" spans="1:11">
      <c r="A5674">
        <v>90</v>
      </c>
      <c r="B5674" t="b">
        <v>0</v>
      </c>
      <c r="C5674" t="s">
        <v>41321</v>
      </c>
      <c r="D5674">
        <v>1037022454355</v>
      </c>
      <c r="E5674">
        <v>1</v>
      </c>
      <c r="F5674">
        <v>6116300382</v>
      </c>
      <c r="G5674">
        <v>250000</v>
      </c>
      <c r="H5674" t="s">
        <v>40293</v>
      </c>
      <c r="I5674">
        <v>41303</v>
      </c>
      <c r="J5674">
        <v>12</v>
      </c>
      <c r="K5674">
        <v>12</v>
      </c>
    </row>
    <row r="5675" spans="1:11">
      <c r="A5675">
        <v>90</v>
      </c>
      <c r="B5675" t="b">
        <v>0</v>
      </c>
      <c r="C5675" t="s">
        <v>41863</v>
      </c>
      <c r="D5675">
        <v>1037022454355</v>
      </c>
      <c r="E5675">
        <v>1</v>
      </c>
      <c r="F5675">
        <v>6128547006</v>
      </c>
      <c r="G5675">
        <v>249000</v>
      </c>
      <c r="H5675" t="s">
        <v>40293</v>
      </c>
      <c r="I5675">
        <v>41303</v>
      </c>
      <c r="J5675">
        <v>38</v>
      </c>
      <c r="K5675">
        <v>38</v>
      </c>
    </row>
    <row r="5676" spans="1:11">
      <c r="A5676">
        <v>90</v>
      </c>
      <c r="B5676" t="b">
        <v>0</v>
      </c>
      <c r="C5676" t="s">
        <v>40977</v>
      </c>
      <c r="D5676">
        <v>1037022454355</v>
      </c>
      <c r="E5676">
        <v>1</v>
      </c>
      <c r="F5676">
        <v>6109478168</v>
      </c>
      <c r="G5676">
        <v>250100</v>
      </c>
      <c r="H5676" t="s">
        <v>40293</v>
      </c>
      <c r="I5676">
        <v>41304</v>
      </c>
      <c r="J5676">
        <v>7</v>
      </c>
      <c r="K5676">
        <v>7</v>
      </c>
    </row>
    <row r="5677" spans="1:11">
      <c r="A5677">
        <v>90</v>
      </c>
      <c r="B5677" t="b">
        <v>0</v>
      </c>
      <c r="C5677" t="s">
        <v>40780</v>
      </c>
      <c r="D5677">
        <v>1037022454355</v>
      </c>
      <c r="E5677">
        <v>1</v>
      </c>
      <c r="F5677">
        <v>6097480361</v>
      </c>
      <c r="G5677">
        <v>250100</v>
      </c>
      <c r="H5677" t="s">
        <v>40293</v>
      </c>
      <c r="I5677">
        <v>41305</v>
      </c>
      <c r="J5677">
        <v>39</v>
      </c>
      <c r="K5677">
        <v>39</v>
      </c>
    </row>
    <row r="5678" spans="1:11">
      <c r="A5678">
        <v>90</v>
      </c>
      <c r="B5678" t="b">
        <v>0</v>
      </c>
      <c r="C5678" t="s">
        <v>40977</v>
      </c>
      <c r="D5678">
        <v>1037022454355</v>
      </c>
      <c r="E5678">
        <v>1</v>
      </c>
      <c r="F5678">
        <v>6109478167</v>
      </c>
      <c r="G5678">
        <v>250100</v>
      </c>
      <c r="H5678" t="s">
        <v>40293</v>
      </c>
      <c r="I5678">
        <v>41305</v>
      </c>
      <c r="J5678">
        <v>19</v>
      </c>
      <c r="K5678">
        <v>19</v>
      </c>
    </row>
    <row r="5679" spans="1:11">
      <c r="A5679">
        <v>90</v>
      </c>
      <c r="B5679" t="b">
        <v>0</v>
      </c>
      <c r="C5679" t="s">
        <v>41345</v>
      </c>
      <c r="D5679">
        <v>1037022454355</v>
      </c>
      <c r="E5679">
        <v>1</v>
      </c>
      <c r="F5679">
        <v>6116300810</v>
      </c>
      <c r="G5679">
        <v>250000</v>
      </c>
      <c r="H5679" t="s">
        <v>40293</v>
      </c>
      <c r="I5679">
        <v>41306</v>
      </c>
      <c r="J5679">
        <v>35</v>
      </c>
      <c r="K5679">
        <v>35</v>
      </c>
    </row>
    <row r="5680" spans="1:11">
      <c r="A5680">
        <v>90</v>
      </c>
      <c r="B5680" t="b">
        <v>0</v>
      </c>
      <c r="C5680" t="s">
        <v>40795</v>
      </c>
      <c r="D5680">
        <v>1037022454355</v>
      </c>
      <c r="E5680">
        <v>1</v>
      </c>
      <c r="F5680">
        <v>6097480725</v>
      </c>
      <c r="G5680">
        <v>250100</v>
      </c>
      <c r="H5680" t="s">
        <v>40293</v>
      </c>
      <c r="I5680">
        <v>41307</v>
      </c>
      <c r="J5680">
        <v>20</v>
      </c>
      <c r="K5680">
        <v>20</v>
      </c>
    </row>
    <row r="5681" spans="1:11">
      <c r="A5681">
        <v>90</v>
      </c>
      <c r="B5681" t="b">
        <v>0</v>
      </c>
      <c r="C5681" t="s">
        <v>40472</v>
      </c>
      <c r="D5681">
        <v>1037022454355</v>
      </c>
      <c r="E5681">
        <v>1</v>
      </c>
      <c r="F5681">
        <v>6116282444</v>
      </c>
      <c r="G5681">
        <v>250000</v>
      </c>
      <c r="H5681" t="s">
        <v>40293</v>
      </c>
      <c r="I5681">
        <v>41307</v>
      </c>
      <c r="J5681">
        <v>41</v>
      </c>
      <c r="K5681">
        <v>41</v>
      </c>
    </row>
    <row r="5682" spans="1:11">
      <c r="A5682">
        <v>90</v>
      </c>
      <c r="B5682" t="b">
        <v>0</v>
      </c>
      <c r="C5682" t="s">
        <v>41721</v>
      </c>
      <c r="D5682">
        <v>1037022454355</v>
      </c>
      <c r="E5682">
        <v>1</v>
      </c>
      <c r="F5682">
        <v>6097480204</v>
      </c>
      <c r="G5682">
        <v>250100</v>
      </c>
      <c r="H5682" t="s">
        <v>40293</v>
      </c>
      <c r="I5682">
        <v>41310</v>
      </c>
      <c r="J5682">
        <v>45</v>
      </c>
      <c r="K5682">
        <v>45</v>
      </c>
    </row>
    <row r="5683" spans="1:11">
      <c r="A5683">
        <v>90</v>
      </c>
      <c r="B5683" t="b">
        <v>0</v>
      </c>
      <c r="C5683" t="s">
        <v>40977</v>
      </c>
      <c r="D5683">
        <v>1037022454355</v>
      </c>
      <c r="E5683">
        <v>1</v>
      </c>
      <c r="F5683">
        <v>6109478171</v>
      </c>
      <c r="G5683">
        <v>250100</v>
      </c>
      <c r="H5683" t="s">
        <v>40293</v>
      </c>
      <c r="I5683">
        <v>41310</v>
      </c>
      <c r="J5683">
        <v>25</v>
      </c>
      <c r="K5683">
        <v>25</v>
      </c>
    </row>
    <row r="5684" spans="1:11">
      <c r="A5684">
        <v>90</v>
      </c>
      <c r="B5684" t="b">
        <v>0</v>
      </c>
      <c r="C5684" t="s">
        <v>41350</v>
      </c>
      <c r="D5684">
        <v>1037022454355</v>
      </c>
      <c r="E5684">
        <v>1</v>
      </c>
      <c r="F5684">
        <v>6116300913</v>
      </c>
      <c r="G5684">
        <v>250000</v>
      </c>
      <c r="H5684" t="s">
        <v>40293</v>
      </c>
      <c r="I5684">
        <v>41310</v>
      </c>
      <c r="J5684">
        <v>3</v>
      </c>
      <c r="K5684">
        <v>3</v>
      </c>
    </row>
    <row r="5685" spans="1:11">
      <c r="A5685">
        <v>90</v>
      </c>
      <c r="B5685" t="b">
        <v>0</v>
      </c>
      <c r="C5685" t="s">
        <v>41861</v>
      </c>
      <c r="D5685">
        <v>1037022454355</v>
      </c>
      <c r="E5685">
        <v>1</v>
      </c>
      <c r="F5685">
        <v>6128546612</v>
      </c>
      <c r="G5685">
        <v>249000</v>
      </c>
      <c r="H5685" t="s">
        <v>40293</v>
      </c>
      <c r="I5685">
        <v>41310</v>
      </c>
      <c r="J5685">
        <v>103</v>
      </c>
      <c r="K5685">
        <v>103</v>
      </c>
    </row>
    <row r="5686" spans="1:11">
      <c r="A5686">
        <v>90</v>
      </c>
      <c r="B5686" t="b">
        <v>0</v>
      </c>
      <c r="C5686" t="s">
        <v>40977</v>
      </c>
      <c r="D5686">
        <v>1037022454355</v>
      </c>
      <c r="E5686">
        <v>1</v>
      </c>
      <c r="F5686">
        <v>6109478169</v>
      </c>
      <c r="G5686">
        <v>250100</v>
      </c>
      <c r="H5686" t="s">
        <v>40293</v>
      </c>
      <c r="I5686">
        <v>41311</v>
      </c>
      <c r="J5686">
        <v>12</v>
      </c>
      <c r="K5686">
        <v>12</v>
      </c>
    </row>
    <row r="5687" spans="1:11">
      <c r="A5687">
        <v>90</v>
      </c>
      <c r="B5687" t="b">
        <v>0</v>
      </c>
      <c r="C5687" t="s">
        <v>40977</v>
      </c>
      <c r="D5687">
        <v>1037022454355</v>
      </c>
      <c r="E5687">
        <v>1</v>
      </c>
      <c r="F5687">
        <v>6109478170</v>
      </c>
      <c r="G5687">
        <v>250100</v>
      </c>
      <c r="H5687" t="s">
        <v>40293</v>
      </c>
      <c r="I5687">
        <v>41312</v>
      </c>
      <c r="J5687">
        <v>3</v>
      </c>
      <c r="K5687">
        <v>3</v>
      </c>
    </row>
    <row r="5688" spans="1:11">
      <c r="A5688">
        <v>90</v>
      </c>
      <c r="B5688" t="b">
        <v>0</v>
      </c>
      <c r="C5688" t="s">
        <v>41862</v>
      </c>
      <c r="D5688">
        <v>1037022454355</v>
      </c>
      <c r="E5688">
        <v>1</v>
      </c>
      <c r="F5688">
        <v>6128546814</v>
      </c>
      <c r="G5688">
        <v>250000</v>
      </c>
      <c r="H5688" t="s">
        <v>40293</v>
      </c>
      <c r="I5688">
        <v>41312</v>
      </c>
      <c r="J5688">
        <v>17</v>
      </c>
      <c r="K5688">
        <v>17</v>
      </c>
    </row>
    <row r="5689" spans="1:11">
      <c r="A5689">
        <v>90</v>
      </c>
      <c r="B5689" t="b">
        <v>0</v>
      </c>
      <c r="C5689" t="s">
        <v>43419</v>
      </c>
      <c r="D5689">
        <v>1037022454355</v>
      </c>
      <c r="E5689">
        <v>1</v>
      </c>
      <c r="F5689">
        <v>6130186896</v>
      </c>
      <c r="G5689">
        <v>5799</v>
      </c>
      <c r="H5689" t="s">
        <v>40293</v>
      </c>
      <c r="I5689">
        <v>41314</v>
      </c>
      <c r="J5689">
        <v>1500</v>
      </c>
      <c r="K5689">
        <v>5000</v>
      </c>
    </row>
    <row r="5690" spans="1:11">
      <c r="A5690">
        <v>90</v>
      </c>
      <c r="B5690" t="b">
        <v>0</v>
      </c>
      <c r="C5690" t="s">
        <v>41126</v>
      </c>
      <c r="D5690">
        <v>1037022454355</v>
      </c>
      <c r="E5690">
        <v>1</v>
      </c>
      <c r="F5690">
        <v>6093130042</v>
      </c>
      <c r="G5690">
        <v>4416</v>
      </c>
      <c r="H5690" t="s">
        <v>40293</v>
      </c>
      <c r="I5690">
        <v>41316</v>
      </c>
      <c r="J5690">
        <v>4800</v>
      </c>
      <c r="K5690">
        <v>25000</v>
      </c>
    </row>
    <row r="5691" spans="1:11">
      <c r="A5691">
        <v>90</v>
      </c>
      <c r="B5691" t="b">
        <v>0</v>
      </c>
      <c r="C5691" t="s">
        <v>45135</v>
      </c>
      <c r="D5691">
        <v>1037022454355</v>
      </c>
      <c r="E5691">
        <v>1</v>
      </c>
      <c r="F5691">
        <v>6149519493</v>
      </c>
      <c r="G5691">
        <v>2499</v>
      </c>
      <c r="H5691" t="s">
        <v>40293</v>
      </c>
      <c r="I5691">
        <v>41318</v>
      </c>
      <c r="J5691">
        <v>30657</v>
      </c>
      <c r="K5691">
        <v>30657</v>
      </c>
    </row>
    <row r="5692" spans="1:11">
      <c r="A5692">
        <v>30</v>
      </c>
      <c r="B5692" t="b">
        <v>0</v>
      </c>
      <c r="C5692" t="s">
        <v>45645</v>
      </c>
      <c r="D5692">
        <v>1037022454355</v>
      </c>
      <c r="E5692">
        <v>1</v>
      </c>
      <c r="F5692">
        <v>6148510195</v>
      </c>
      <c r="G5692">
        <v>2498</v>
      </c>
      <c r="H5692" t="s">
        <v>40293</v>
      </c>
      <c r="I5692">
        <v>41318</v>
      </c>
      <c r="J5692">
        <v>1000</v>
      </c>
      <c r="K5692">
        <v>2000</v>
      </c>
    </row>
    <row r="5693" spans="1:11">
      <c r="A5693">
        <v>90</v>
      </c>
      <c r="B5693" t="b">
        <v>0</v>
      </c>
      <c r="C5693" t="s">
        <v>41624</v>
      </c>
      <c r="D5693">
        <v>1037022454355</v>
      </c>
      <c r="E5693">
        <v>1</v>
      </c>
      <c r="F5693">
        <v>6093501380</v>
      </c>
      <c r="G5693">
        <v>3900</v>
      </c>
      <c r="H5693" t="s">
        <v>40293</v>
      </c>
      <c r="I5693">
        <v>41320</v>
      </c>
      <c r="J5693">
        <v>1000</v>
      </c>
      <c r="K5693">
        <v>1000</v>
      </c>
    </row>
    <row r="5694" spans="1:11">
      <c r="A5694">
        <v>90</v>
      </c>
      <c r="B5694" t="b">
        <v>0</v>
      </c>
      <c r="C5694" t="s">
        <v>40310</v>
      </c>
      <c r="D5694">
        <v>1037022454355</v>
      </c>
      <c r="E5694">
        <v>1</v>
      </c>
      <c r="F5694">
        <v>6077088184</v>
      </c>
      <c r="G5694">
        <v>3800</v>
      </c>
      <c r="H5694" t="s">
        <v>40293</v>
      </c>
      <c r="I5694">
        <v>41320</v>
      </c>
      <c r="J5694">
        <v>3500</v>
      </c>
      <c r="K5694">
        <v>11100</v>
      </c>
    </row>
    <row r="5695" spans="1:11">
      <c r="A5695">
        <v>90</v>
      </c>
      <c r="B5695" t="b">
        <v>0</v>
      </c>
      <c r="C5695" t="s">
        <v>44494</v>
      </c>
      <c r="D5695">
        <v>1037022454355</v>
      </c>
      <c r="E5695">
        <v>1</v>
      </c>
      <c r="F5695">
        <v>6104062280</v>
      </c>
      <c r="G5695">
        <v>4060</v>
      </c>
      <c r="H5695" t="s">
        <v>40293</v>
      </c>
      <c r="I5695">
        <v>41326</v>
      </c>
      <c r="J5695">
        <v>28000</v>
      </c>
      <c r="K5695">
        <v>28000</v>
      </c>
    </row>
    <row r="5696" spans="1:11">
      <c r="A5696">
        <v>90</v>
      </c>
      <c r="B5696" t="b">
        <v>0</v>
      </c>
      <c r="C5696" t="s">
        <v>44511</v>
      </c>
      <c r="D5696">
        <v>1037022454355</v>
      </c>
      <c r="E5696">
        <v>1</v>
      </c>
      <c r="F5696">
        <v>6104062503</v>
      </c>
      <c r="G5696">
        <v>4000</v>
      </c>
      <c r="H5696" t="s">
        <v>40293</v>
      </c>
      <c r="I5696">
        <v>41328</v>
      </c>
      <c r="J5696">
        <v>27000</v>
      </c>
      <c r="K5696">
        <v>27000</v>
      </c>
    </row>
    <row r="5697" spans="1:11">
      <c r="A5697">
        <v>30</v>
      </c>
      <c r="B5697" t="b">
        <v>0</v>
      </c>
      <c r="C5697" t="s">
        <v>45628</v>
      </c>
      <c r="D5697">
        <v>1037022454355</v>
      </c>
      <c r="E5697">
        <v>1</v>
      </c>
      <c r="F5697">
        <v>6148509988</v>
      </c>
      <c r="G5697">
        <v>3000000</v>
      </c>
      <c r="H5697" t="s">
        <v>40293</v>
      </c>
      <c r="I5697">
        <v>41330</v>
      </c>
      <c r="J5697">
        <v>41</v>
      </c>
      <c r="K5697">
        <v>50</v>
      </c>
    </row>
    <row r="5698" spans="1:11">
      <c r="A5698">
        <v>90</v>
      </c>
      <c r="B5698" t="b">
        <v>0</v>
      </c>
      <c r="C5698" t="s">
        <v>43033</v>
      </c>
      <c r="D5698">
        <v>1037022454355</v>
      </c>
      <c r="E5698">
        <v>1</v>
      </c>
      <c r="F5698">
        <v>6145131315</v>
      </c>
      <c r="G5698">
        <v>4200000</v>
      </c>
      <c r="H5698" t="s">
        <v>40293</v>
      </c>
      <c r="I5698">
        <v>41332</v>
      </c>
      <c r="J5698">
        <v>4</v>
      </c>
      <c r="K5698">
        <v>20</v>
      </c>
    </row>
    <row r="5699" spans="1:11">
      <c r="A5699">
        <v>30</v>
      </c>
      <c r="B5699" t="b">
        <v>0</v>
      </c>
      <c r="C5699" t="s">
        <v>44333</v>
      </c>
      <c r="D5699">
        <v>1037022454355</v>
      </c>
      <c r="E5699">
        <v>1</v>
      </c>
      <c r="F5699">
        <v>6148460553</v>
      </c>
      <c r="G5699">
        <v>2290000</v>
      </c>
      <c r="H5699" t="s">
        <v>40293</v>
      </c>
      <c r="I5699">
        <v>41334</v>
      </c>
      <c r="J5699">
        <v>41</v>
      </c>
      <c r="K5699">
        <v>50</v>
      </c>
    </row>
    <row r="5700" spans="1:11">
      <c r="A5700">
        <v>90</v>
      </c>
      <c r="B5700" t="b">
        <v>0</v>
      </c>
      <c r="C5700" t="s">
        <v>45135</v>
      </c>
      <c r="D5700">
        <v>1037022454355</v>
      </c>
      <c r="E5700">
        <v>1</v>
      </c>
      <c r="F5700">
        <v>6149519494</v>
      </c>
      <c r="G5700">
        <v>3000000</v>
      </c>
      <c r="H5700" t="s">
        <v>40293</v>
      </c>
      <c r="I5700">
        <v>41336</v>
      </c>
      <c r="J5700">
        <v>40</v>
      </c>
      <c r="K5700">
        <v>40</v>
      </c>
    </row>
    <row r="5701" spans="1:11">
      <c r="A5701">
        <v>30</v>
      </c>
      <c r="B5701" t="b">
        <v>0</v>
      </c>
      <c r="C5701" t="s">
        <v>45619</v>
      </c>
      <c r="D5701">
        <v>1037022454355</v>
      </c>
      <c r="E5701">
        <v>1</v>
      </c>
      <c r="F5701">
        <v>6148509911</v>
      </c>
      <c r="G5701">
        <v>2900000</v>
      </c>
      <c r="H5701" t="s">
        <v>40293</v>
      </c>
      <c r="I5701">
        <v>41336</v>
      </c>
      <c r="J5701">
        <v>47</v>
      </c>
      <c r="K5701">
        <v>50</v>
      </c>
    </row>
    <row r="5702" spans="1:11">
      <c r="A5702">
        <v>90</v>
      </c>
      <c r="B5702" t="b">
        <v>0</v>
      </c>
      <c r="C5702" t="s">
        <v>44302</v>
      </c>
      <c r="D5702">
        <v>1037022454355</v>
      </c>
      <c r="E5702">
        <v>1</v>
      </c>
      <c r="F5702">
        <v>6154751660</v>
      </c>
      <c r="G5702">
        <v>995000000</v>
      </c>
      <c r="H5702" t="s">
        <v>40293</v>
      </c>
      <c r="I5702">
        <v>41415</v>
      </c>
      <c r="J5702">
        <v>1</v>
      </c>
      <c r="K5702">
        <v>1</v>
      </c>
    </row>
    <row r="5703" spans="1:11">
      <c r="A5703">
        <v>90</v>
      </c>
      <c r="B5703" t="b">
        <v>0</v>
      </c>
      <c r="C5703" t="s">
        <v>41412</v>
      </c>
      <c r="D5703">
        <v>1037022454355</v>
      </c>
      <c r="E5703">
        <v>1</v>
      </c>
      <c r="F5703">
        <v>6093495987</v>
      </c>
      <c r="G5703">
        <v>163400000</v>
      </c>
      <c r="H5703" t="s">
        <v>40293</v>
      </c>
      <c r="I5703">
        <v>41415</v>
      </c>
      <c r="J5703">
        <v>10</v>
      </c>
      <c r="K5703">
        <v>10</v>
      </c>
    </row>
    <row r="5704" spans="1:11">
      <c r="A5704">
        <v>90</v>
      </c>
      <c r="B5704" t="b">
        <v>0</v>
      </c>
      <c r="C5704" t="s">
        <v>41759</v>
      </c>
      <c r="D5704">
        <v>1037022454355</v>
      </c>
      <c r="E5704">
        <v>1</v>
      </c>
      <c r="F5704">
        <v>6101467045</v>
      </c>
      <c r="G5704">
        <v>149900000</v>
      </c>
      <c r="H5704" t="s">
        <v>40293</v>
      </c>
      <c r="I5704">
        <v>41415</v>
      </c>
      <c r="J5704">
        <v>1</v>
      </c>
      <c r="K5704">
        <v>2</v>
      </c>
    </row>
    <row r="5705" spans="1:11">
      <c r="A5705">
        <v>90</v>
      </c>
      <c r="B5705" t="b">
        <v>0</v>
      </c>
      <c r="C5705" t="s">
        <v>44148</v>
      </c>
      <c r="D5705">
        <v>1037022454355</v>
      </c>
      <c r="E5705">
        <v>1</v>
      </c>
      <c r="F5705">
        <v>6153864626</v>
      </c>
      <c r="G5705">
        <v>148000000</v>
      </c>
      <c r="H5705" t="s">
        <v>40293</v>
      </c>
      <c r="I5705">
        <v>41415</v>
      </c>
      <c r="J5705">
        <v>1</v>
      </c>
      <c r="K5705">
        <v>1</v>
      </c>
    </row>
    <row r="5706" spans="1:11">
      <c r="A5706">
        <v>90</v>
      </c>
      <c r="B5706" t="b">
        <v>0</v>
      </c>
      <c r="C5706" t="s">
        <v>44832</v>
      </c>
      <c r="D5706">
        <v>1037022454355</v>
      </c>
      <c r="E5706">
        <v>1</v>
      </c>
      <c r="F5706">
        <v>6153775531</v>
      </c>
      <c r="G5706">
        <v>125000000</v>
      </c>
      <c r="H5706" t="s">
        <v>40293</v>
      </c>
      <c r="I5706">
        <v>41415</v>
      </c>
      <c r="J5706">
        <v>1</v>
      </c>
      <c r="K5706">
        <v>3</v>
      </c>
    </row>
    <row r="5707" spans="1:11">
      <c r="A5707">
        <v>90</v>
      </c>
      <c r="B5707" t="b">
        <v>0</v>
      </c>
      <c r="C5707" t="s">
        <v>45977</v>
      </c>
      <c r="D5707">
        <v>1037022454355</v>
      </c>
      <c r="E5707">
        <v>1</v>
      </c>
      <c r="F5707">
        <v>6154871035</v>
      </c>
      <c r="G5707">
        <v>124000000</v>
      </c>
      <c r="H5707" t="s">
        <v>40293</v>
      </c>
      <c r="I5707">
        <v>41415</v>
      </c>
      <c r="J5707">
        <v>4</v>
      </c>
      <c r="K5707">
        <v>4</v>
      </c>
    </row>
    <row r="5708" spans="1:11">
      <c r="A5708">
        <v>30</v>
      </c>
      <c r="B5708" t="b">
        <v>0</v>
      </c>
      <c r="C5708" t="s">
        <v>44143</v>
      </c>
      <c r="D5708">
        <v>1037022454355</v>
      </c>
      <c r="E5708">
        <v>1</v>
      </c>
      <c r="F5708">
        <v>6156539445</v>
      </c>
      <c r="G5708">
        <v>123900000</v>
      </c>
      <c r="H5708" t="s">
        <v>40293</v>
      </c>
      <c r="I5708">
        <v>41415</v>
      </c>
      <c r="J5708">
        <v>1</v>
      </c>
      <c r="K5708">
        <v>1</v>
      </c>
    </row>
    <row r="5709" spans="1:11">
      <c r="A5709">
        <v>90</v>
      </c>
      <c r="B5709" t="b">
        <v>0</v>
      </c>
      <c r="C5709" t="s">
        <v>40311</v>
      </c>
      <c r="D5709">
        <v>1037022454355</v>
      </c>
      <c r="E5709">
        <v>1</v>
      </c>
      <c r="F5709">
        <v>6077956170</v>
      </c>
      <c r="G5709">
        <v>550000000</v>
      </c>
      <c r="H5709" t="s">
        <v>40293</v>
      </c>
      <c r="I5709">
        <v>41456</v>
      </c>
      <c r="J5709">
        <v>2</v>
      </c>
      <c r="K5709">
        <v>2</v>
      </c>
    </row>
    <row r="5710" spans="1:11">
      <c r="A5710">
        <v>90</v>
      </c>
      <c r="B5710" t="b">
        <v>0</v>
      </c>
      <c r="C5710" t="s">
        <v>40332</v>
      </c>
      <c r="D5710">
        <v>1037022454355</v>
      </c>
      <c r="E5710">
        <v>1</v>
      </c>
      <c r="F5710">
        <v>6107070642</v>
      </c>
      <c r="G5710">
        <v>549900000</v>
      </c>
      <c r="H5710" t="s">
        <v>40293</v>
      </c>
      <c r="I5710">
        <v>41456</v>
      </c>
      <c r="J5710">
        <v>2</v>
      </c>
      <c r="K5710">
        <v>2</v>
      </c>
    </row>
    <row r="5711" spans="1:11">
      <c r="A5711">
        <v>90</v>
      </c>
      <c r="B5711" t="b">
        <v>0</v>
      </c>
      <c r="C5711" t="s">
        <v>41111</v>
      </c>
      <c r="D5711">
        <v>1037022454355</v>
      </c>
      <c r="E5711">
        <v>1</v>
      </c>
      <c r="F5711">
        <v>6082611249</v>
      </c>
      <c r="G5711">
        <v>549800000</v>
      </c>
      <c r="H5711" t="s">
        <v>40293</v>
      </c>
      <c r="I5711">
        <v>41456</v>
      </c>
      <c r="J5711">
        <v>4</v>
      </c>
      <c r="K5711">
        <v>5</v>
      </c>
    </row>
    <row r="5712" spans="1:11">
      <c r="A5712">
        <v>90</v>
      </c>
      <c r="B5712" t="b">
        <v>0</v>
      </c>
      <c r="C5712" t="s">
        <v>40663</v>
      </c>
      <c r="D5712">
        <v>1037022454355</v>
      </c>
      <c r="E5712">
        <v>1</v>
      </c>
      <c r="F5712">
        <v>6116667380</v>
      </c>
      <c r="G5712">
        <v>399100000</v>
      </c>
      <c r="H5712" t="s">
        <v>40293</v>
      </c>
      <c r="I5712">
        <v>41459</v>
      </c>
      <c r="J5712">
        <v>1</v>
      </c>
      <c r="K5712">
        <v>1</v>
      </c>
    </row>
    <row r="5713" spans="1:11">
      <c r="A5713">
        <v>90</v>
      </c>
      <c r="B5713" t="b">
        <v>0</v>
      </c>
      <c r="C5713" t="s">
        <v>41357</v>
      </c>
      <c r="D5713">
        <v>1037022454355</v>
      </c>
      <c r="E5713">
        <v>1</v>
      </c>
      <c r="F5713">
        <v>6105225474</v>
      </c>
      <c r="G5713">
        <v>399000000</v>
      </c>
      <c r="H5713" t="s">
        <v>40293</v>
      </c>
      <c r="I5713">
        <v>41459</v>
      </c>
      <c r="J5713">
        <v>2</v>
      </c>
      <c r="K5713">
        <v>4</v>
      </c>
    </row>
    <row r="5714" spans="1:11">
      <c r="A5714">
        <v>90</v>
      </c>
      <c r="B5714" t="b">
        <v>0</v>
      </c>
      <c r="C5714" t="s">
        <v>46379</v>
      </c>
      <c r="D5714">
        <v>1037022454355</v>
      </c>
      <c r="E5714">
        <v>1</v>
      </c>
      <c r="F5714">
        <v>6153402263</v>
      </c>
      <c r="G5714">
        <v>398000000</v>
      </c>
      <c r="H5714" t="s">
        <v>40293</v>
      </c>
      <c r="I5714">
        <v>41459</v>
      </c>
      <c r="J5714">
        <v>1</v>
      </c>
      <c r="K5714">
        <v>1</v>
      </c>
    </row>
    <row r="5715" spans="1:11">
      <c r="A5715">
        <v>90</v>
      </c>
      <c r="B5715" t="b">
        <v>0</v>
      </c>
      <c r="C5715" t="s">
        <v>44129</v>
      </c>
      <c r="D5715">
        <v>1037022454355</v>
      </c>
      <c r="E5715">
        <v>1</v>
      </c>
      <c r="F5715">
        <v>6156125352</v>
      </c>
      <c r="G5715">
        <v>397000000</v>
      </c>
      <c r="H5715" t="s">
        <v>40293</v>
      </c>
      <c r="I5715">
        <v>41459</v>
      </c>
      <c r="J5715">
        <v>3</v>
      </c>
      <c r="K5715">
        <v>3</v>
      </c>
    </row>
    <row r="5716" spans="1:11">
      <c r="A5716">
        <v>90</v>
      </c>
      <c r="B5716" t="b">
        <v>0</v>
      </c>
      <c r="C5716" t="s">
        <v>41096</v>
      </c>
      <c r="D5716">
        <v>1037022454355</v>
      </c>
      <c r="E5716">
        <v>1</v>
      </c>
      <c r="F5716">
        <v>6083692278</v>
      </c>
      <c r="G5716">
        <v>68170000</v>
      </c>
      <c r="H5716" t="s">
        <v>40293</v>
      </c>
      <c r="I5716">
        <v>41463</v>
      </c>
      <c r="J5716">
        <v>1</v>
      </c>
      <c r="K5716">
        <v>1</v>
      </c>
    </row>
    <row r="5717" spans="1:11">
      <c r="A5717">
        <v>90</v>
      </c>
      <c r="B5717" t="b">
        <v>0</v>
      </c>
      <c r="C5717" t="s">
        <v>41028</v>
      </c>
      <c r="D5717">
        <v>1037022454355</v>
      </c>
      <c r="E5717">
        <v>1</v>
      </c>
      <c r="F5717">
        <v>6118968037</v>
      </c>
      <c r="G5717">
        <v>45000000</v>
      </c>
      <c r="H5717" t="s">
        <v>40293</v>
      </c>
      <c r="I5717">
        <v>41465</v>
      </c>
      <c r="J5717">
        <v>6</v>
      </c>
      <c r="K5717">
        <v>6</v>
      </c>
    </row>
    <row r="5718" spans="1:11">
      <c r="A5718">
        <v>90</v>
      </c>
      <c r="B5718" t="b">
        <v>0</v>
      </c>
      <c r="C5718" t="s">
        <v>44587</v>
      </c>
      <c r="D5718">
        <v>1037022454355</v>
      </c>
      <c r="E5718">
        <v>1</v>
      </c>
      <c r="F5718">
        <v>6150495850</v>
      </c>
      <c r="G5718">
        <v>106000000</v>
      </c>
      <c r="H5718" t="s">
        <v>40293</v>
      </c>
      <c r="I5718">
        <v>41466</v>
      </c>
      <c r="J5718">
        <v>4</v>
      </c>
      <c r="K5718">
        <v>4</v>
      </c>
    </row>
    <row r="5719" spans="1:11">
      <c r="A5719">
        <v>90</v>
      </c>
      <c r="B5719" t="b">
        <v>0</v>
      </c>
      <c r="C5719" t="s">
        <v>40696</v>
      </c>
      <c r="D5719">
        <v>1037022454355</v>
      </c>
      <c r="E5719">
        <v>1</v>
      </c>
      <c r="F5719">
        <v>6089548519</v>
      </c>
      <c r="G5719">
        <v>1700000</v>
      </c>
      <c r="H5719" t="s">
        <v>40293</v>
      </c>
      <c r="I5719">
        <v>41482</v>
      </c>
      <c r="J5719">
        <v>2</v>
      </c>
      <c r="K5719">
        <v>2</v>
      </c>
    </row>
    <row r="5720" spans="1:11">
      <c r="A5720">
        <v>90</v>
      </c>
      <c r="B5720" t="b">
        <v>0</v>
      </c>
      <c r="C5720" t="s">
        <v>41483</v>
      </c>
      <c r="D5720">
        <v>1037022454355</v>
      </c>
      <c r="E5720">
        <v>1</v>
      </c>
      <c r="F5720">
        <v>6073083500</v>
      </c>
      <c r="G5720">
        <v>1650000</v>
      </c>
      <c r="H5720" t="s">
        <v>40293</v>
      </c>
      <c r="I5720">
        <v>41482</v>
      </c>
      <c r="J5720">
        <v>15</v>
      </c>
      <c r="K5720">
        <v>20</v>
      </c>
    </row>
    <row r="5721" spans="1:11">
      <c r="A5721">
        <v>90</v>
      </c>
      <c r="B5721" t="b">
        <v>0</v>
      </c>
      <c r="C5721" t="s">
        <v>43209</v>
      </c>
      <c r="D5721">
        <v>1037022454355</v>
      </c>
      <c r="E5721">
        <v>1</v>
      </c>
      <c r="F5721">
        <v>6109111681</v>
      </c>
      <c r="G5721">
        <v>1501000</v>
      </c>
      <c r="H5721" t="s">
        <v>40293</v>
      </c>
      <c r="I5721">
        <v>41482</v>
      </c>
      <c r="J5721">
        <v>1</v>
      </c>
      <c r="K5721">
        <v>1</v>
      </c>
    </row>
    <row r="5722" spans="1:11">
      <c r="A5722">
        <v>90</v>
      </c>
      <c r="B5722" t="b">
        <v>0</v>
      </c>
      <c r="C5722" t="s">
        <v>43212</v>
      </c>
      <c r="D5722">
        <v>1037022454355</v>
      </c>
      <c r="E5722">
        <v>1</v>
      </c>
      <c r="F5722">
        <v>6103901663</v>
      </c>
      <c r="G5722">
        <v>1500000</v>
      </c>
      <c r="H5722" t="s">
        <v>40293</v>
      </c>
      <c r="I5722">
        <v>41482</v>
      </c>
      <c r="J5722">
        <v>1</v>
      </c>
      <c r="K5722">
        <v>1</v>
      </c>
    </row>
    <row r="5723" spans="1:11">
      <c r="A5723">
        <v>90</v>
      </c>
      <c r="B5723" t="b">
        <v>0</v>
      </c>
      <c r="C5723" t="s">
        <v>46498</v>
      </c>
      <c r="D5723">
        <v>1037022454355</v>
      </c>
      <c r="E5723">
        <v>1</v>
      </c>
      <c r="F5723">
        <v>6156471534</v>
      </c>
      <c r="G5723">
        <v>23000000</v>
      </c>
      <c r="H5723" t="s">
        <v>40293</v>
      </c>
      <c r="I5723">
        <v>41486</v>
      </c>
      <c r="J5723">
        <v>1</v>
      </c>
      <c r="K5723">
        <v>1</v>
      </c>
    </row>
    <row r="5724" spans="1:11">
      <c r="A5724">
        <v>90</v>
      </c>
      <c r="B5724" t="b">
        <v>0</v>
      </c>
      <c r="C5724" t="s">
        <v>46055</v>
      </c>
      <c r="D5724">
        <v>1037022454355</v>
      </c>
      <c r="E5724">
        <v>1</v>
      </c>
      <c r="F5724">
        <v>6153921837</v>
      </c>
      <c r="G5724">
        <v>11910</v>
      </c>
      <c r="H5724" t="s">
        <v>40293</v>
      </c>
      <c r="I5724">
        <v>41489</v>
      </c>
      <c r="J5724">
        <v>4217</v>
      </c>
      <c r="K5724">
        <v>5000</v>
      </c>
    </row>
    <row r="5725" spans="1:11">
      <c r="A5725">
        <v>90</v>
      </c>
      <c r="B5725" t="b">
        <v>0</v>
      </c>
      <c r="C5725" t="s">
        <v>40426</v>
      </c>
      <c r="D5725">
        <v>1037022454355</v>
      </c>
      <c r="E5725">
        <v>1</v>
      </c>
      <c r="F5725">
        <v>6121622811</v>
      </c>
      <c r="G5725">
        <v>1280000</v>
      </c>
      <c r="H5725" t="s">
        <v>40293</v>
      </c>
      <c r="I5725">
        <v>41490</v>
      </c>
      <c r="J5725">
        <v>77</v>
      </c>
      <c r="K5725">
        <v>80</v>
      </c>
    </row>
    <row r="5726" spans="1:11">
      <c r="A5726">
        <v>90</v>
      </c>
      <c r="B5726" t="b">
        <v>0</v>
      </c>
      <c r="C5726" t="s">
        <v>41670</v>
      </c>
      <c r="D5726">
        <v>1037022454355</v>
      </c>
      <c r="E5726">
        <v>1</v>
      </c>
      <c r="F5726">
        <v>6122043230</v>
      </c>
      <c r="G5726">
        <v>1264000</v>
      </c>
      <c r="H5726" t="s">
        <v>40293</v>
      </c>
      <c r="I5726">
        <v>41490</v>
      </c>
      <c r="J5726">
        <v>850</v>
      </c>
      <c r="K5726">
        <v>1166</v>
      </c>
    </row>
    <row r="5727" spans="1:11">
      <c r="A5727">
        <v>90</v>
      </c>
      <c r="B5727" t="b">
        <v>0</v>
      </c>
      <c r="C5727" t="s">
        <v>42850</v>
      </c>
      <c r="D5727">
        <v>1037022454355</v>
      </c>
      <c r="E5727">
        <v>1</v>
      </c>
      <c r="F5727">
        <v>6135282741</v>
      </c>
      <c r="G5727">
        <v>1250000</v>
      </c>
      <c r="H5727" t="s">
        <v>40293</v>
      </c>
      <c r="I5727">
        <v>41490</v>
      </c>
      <c r="J5727">
        <v>26</v>
      </c>
      <c r="K5727">
        <v>80</v>
      </c>
    </row>
    <row r="5728" spans="1:11">
      <c r="A5728">
        <v>90</v>
      </c>
      <c r="B5728" t="b">
        <v>0</v>
      </c>
      <c r="C5728" t="s">
        <v>45402</v>
      </c>
      <c r="D5728">
        <v>1037022454355</v>
      </c>
      <c r="E5728">
        <v>1</v>
      </c>
      <c r="F5728">
        <v>6156471243</v>
      </c>
      <c r="G5728">
        <v>1199000</v>
      </c>
      <c r="H5728" t="s">
        <v>40293</v>
      </c>
      <c r="I5728">
        <v>41490</v>
      </c>
      <c r="J5728">
        <v>148</v>
      </c>
      <c r="K5728">
        <v>150</v>
      </c>
    </row>
    <row r="5729" spans="1:11">
      <c r="A5729">
        <v>90</v>
      </c>
      <c r="B5729" t="b">
        <v>0</v>
      </c>
      <c r="C5729" t="s">
        <v>41024</v>
      </c>
      <c r="D5729">
        <v>1037022454355</v>
      </c>
      <c r="E5729">
        <v>1</v>
      </c>
      <c r="F5729">
        <v>6086607089</v>
      </c>
      <c r="G5729">
        <v>54170000</v>
      </c>
      <c r="H5729" t="s">
        <v>40293</v>
      </c>
      <c r="I5729">
        <v>41491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43937</v>
      </c>
      <c r="D5730">
        <v>1037022454355</v>
      </c>
      <c r="E5730">
        <v>1</v>
      </c>
      <c r="F5730">
        <v>6081052458</v>
      </c>
      <c r="G5730">
        <v>53900000</v>
      </c>
      <c r="H5730" t="s">
        <v>40293</v>
      </c>
      <c r="I5730">
        <v>41491</v>
      </c>
      <c r="J5730">
        <v>1</v>
      </c>
      <c r="K5730">
        <v>2</v>
      </c>
    </row>
    <row r="5731" spans="1:11">
      <c r="A5731">
        <v>90</v>
      </c>
      <c r="B5731" t="b">
        <v>0</v>
      </c>
      <c r="C5731" t="s">
        <v>45445</v>
      </c>
      <c r="D5731">
        <v>1037022454355</v>
      </c>
      <c r="E5731">
        <v>1</v>
      </c>
      <c r="F5731">
        <v>6154897555</v>
      </c>
      <c r="G5731">
        <v>75000000</v>
      </c>
      <c r="H5731" t="s">
        <v>40293</v>
      </c>
      <c r="I5731">
        <v>41492</v>
      </c>
      <c r="J5731">
        <v>1</v>
      </c>
      <c r="K5731">
        <v>1</v>
      </c>
    </row>
    <row r="5732" spans="1:11">
      <c r="A5732">
        <v>90</v>
      </c>
      <c r="B5732" t="b">
        <v>0</v>
      </c>
      <c r="C5732" t="s">
        <v>41092</v>
      </c>
      <c r="D5732">
        <v>1037022454355</v>
      </c>
      <c r="E5732">
        <v>1</v>
      </c>
      <c r="F5732">
        <v>6082610867</v>
      </c>
      <c r="G5732">
        <v>128400000</v>
      </c>
      <c r="H5732" t="s">
        <v>40293</v>
      </c>
      <c r="I5732">
        <v>41493</v>
      </c>
      <c r="J5732">
        <v>3</v>
      </c>
      <c r="K5732">
        <v>3</v>
      </c>
    </row>
    <row r="5733" spans="1:11">
      <c r="A5733">
        <v>90</v>
      </c>
      <c r="B5733" t="b">
        <v>0</v>
      </c>
      <c r="C5733" t="s">
        <v>44871</v>
      </c>
      <c r="D5733">
        <v>1037022454355</v>
      </c>
      <c r="E5733">
        <v>1</v>
      </c>
      <c r="F5733">
        <v>6154897224</v>
      </c>
      <c r="G5733">
        <v>128000000</v>
      </c>
      <c r="H5733" t="s">
        <v>40293</v>
      </c>
      <c r="I5733">
        <v>41493</v>
      </c>
      <c r="J5733">
        <v>1</v>
      </c>
      <c r="K5733">
        <v>1</v>
      </c>
    </row>
    <row r="5734" spans="1:11">
      <c r="A5734">
        <v>90</v>
      </c>
      <c r="B5734" t="b">
        <v>0</v>
      </c>
      <c r="C5734" t="s">
        <v>46449</v>
      </c>
      <c r="D5734">
        <v>1037022454355</v>
      </c>
      <c r="E5734">
        <v>1</v>
      </c>
      <c r="F5734">
        <v>6156122876</v>
      </c>
      <c r="G5734">
        <v>172800000</v>
      </c>
      <c r="H5734" t="s">
        <v>40293</v>
      </c>
      <c r="I5734">
        <v>41498</v>
      </c>
      <c r="J5734">
        <v>3</v>
      </c>
      <c r="K5734">
        <v>3</v>
      </c>
    </row>
    <row r="5735" spans="1:11">
      <c r="A5735">
        <v>30</v>
      </c>
      <c r="B5735" t="b">
        <v>0</v>
      </c>
      <c r="C5735" t="s">
        <v>44190</v>
      </c>
      <c r="D5735">
        <v>1037022454355</v>
      </c>
      <c r="E5735">
        <v>1</v>
      </c>
      <c r="F5735">
        <v>6148458514</v>
      </c>
      <c r="G5735">
        <v>172700000</v>
      </c>
      <c r="H5735" t="s">
        <v>40293</v>
      </c>
      <c r="I5735">
        <v>41498</v>
      </c>
      <c r="J5735">
        <v>4</v>
      </c>
      <c r="K5735">
        <v>5</v>
      </c>
    </row>
    <row r="5736" spans="1:11">
      <c r="A5736">
        <v>30</v>
      </c>
      <c r="B5736" t="b">
        <v>0</v>
      </c>
      <c r="C5736" t="s">
        <v>45575</v>
      </c>
      <c r="D5736">
        <v>1037022454355</v>
      </c>
      <c r="E5736">
        <v>1</v>
      </c>
      <c r="F5736">
        <v>6154538607</v>
      </c>
      <c r="G5736">
        <v>49610000</v>
      </c>
      <c r="H5736" t="s">
        <v>40293</v>
      </c>
      <c r="I5736">
        <v>41503</v>
      </c>
      <c r="J5736">
        <v>3</v>
      </c>
      <c r="K5736">
        <v>3</v>
      </c>
    </row>
    <row r="5737" spans="1:11">
      <c r="A5737">
        <v>30</v>
      </c>
      <c r="B5737" t="b">
        <v>0</v>
      </c>
      <c r="C5737" t="s">
        <v>44256</v>
      </c>
      <c r="D5737">
        <v>1037022454355</v>
      </c>
      <c r="E5737">
        <v>1</v>
      </c>
      <c r="F5737">
        <v>6148459305</v>
      </c>
      <c r="G5737">
        <v>49600000</v>
      </c>
      <c r="H5737" t="s">
        <v>40293</v>
      </c>
      <c r="I5737">
        <v>41503</v>
      </c>
      <c r="J5737">
        <v>3</v>
      </c>
      <c r="K5737">
        <v>5</v>
      </c>
    </row>
    <row r="5738" spans="1:11">
      <c r="A5738">
        <v>90</v>
      </c>
      <c r="B5738" t="b">
        <v>0</v>
      </c>
      <c r="C5738" t="s">
        <v>42058</v>
      </c>
      <c r="D5738">
        <v>1037022454355</v>
      </c>
      <c r="E5738">
        <v>1</v>
      </c>
      <c r="F5738">
        <v>6072998545</v>
      </c>
      <c r="G5738">
        <v>63950000</v>
      </c>
      <c r="H5738" t="s">
        <v>40293</v>
      </c>
      <c r="I5738">
        <v>41504</v>
      </c>
      <c r="J5738">
        <v>1</v>
      </c>
      <c r="K5738">
        <v>1</v>
      </c>
    </row>
    <row r="5739" spans="1:11">
      <c r="A5739">
        <v>90</v>
      </c>
      <c r="B5739" t="b">
        <v>0</v>
      </c>
      <c r="C5739" t="s">
        <v>44730</v>
      </c>
      <c r="D5739">
        <v>1037022454355</v>
      </c>
      <c r="E5739">
        <v>1</v>
      </c>
      <c r="F5739">
        <v>6156100798</v>
      </c>
      <c r="G5739">
        <v>62000000</v>
      </c>
      <c r="H5739" t="s">
        <v>40293</v>
      </c>
      <c r="I5739">
        <v>41504</v>
      </c>
      <c r="J5739">
        <v>1</v>
      </c>
      <c r="K5739">
        <v>1</v>
      </c>
    </row>
    <row r="5740" spans="1:11">
      <c r="A5740">
        <v>90</v>
      </c>
      <c r="B5740" t="b">
        <v>0</v>
      </c>
      <c r="C5740" t="s">
        <v>43374</v>
      </c>
      <c r="D5740">
        <v>1037022454355</v>
      </c>
      <c r="E5740">
        <v>1</v>
      </c>
      <c r="F5740">
        <v>6142014805</v>
      </c>
      <c r="G5740">
        <v>62000000</v>
      </c>
      <c r="H5740" t="s">
        <v>40293</v>
      </c>
      <c r="I5740">
        <v>41504</v>
      </c>
      <c r="J5740">
        <v>1</v>
      </c>
      <c r="K5740">
        <v>1</v>
      </c>
    </row>
    <row r="5741" spans="1:11">
      <c r="A5741">
        <v>90</v>
      </c>
      <c r="B5741" t="b">
        <v>0</v>
      </c>
      <c r="C5741" t="s">
        <v>45312</v>
      </c>
      <c r="D5741">
        <v>1037022454355</v>
      </c>
      <c r="E5741">
        <v>1</v>
      </c>
      <c r="F5741">
        <v>6153222389</v>
      </c>
      <c r="G5741">
        <v>89000000</v>
      </c>
      <c r="H5741" t="s">
        <v>40293</v>
      </c>
      <c r="I5741">
        <v>41506</v>
      </c>
      <c r="J5741">
        <v>1</v>
      </c>
      <c r="K5741">
        <v>1</v>
      </c>
    </row>
    <row r="5742" spans="1:11">
      <c r="A5742">
        <v>90</v>
      </c>
      <c r="B5742" t="b">
        <v>0</v>
      </c>
      <c r="C5742" t="s">
        <v>44949</v>
      </c>
      <c r="D5742">
        <v>1037022454355</v>
      </c>
      <c r="E5742">
        <v>1</v>
      </c>
      <c r="F5742">
        <v>6153776978</v>
      </c>
      <c r="G5742">
        <v>175000000</v>
      </c>
      <c r="H5742" t="s">
        <v>40293</v>
      </c>
      <c r="I5742">
        <v>41507</v>
      </c>
      <c r="J5742">
        <v>1</v>
      </c>
      <c r="K5742">
        <v>1</v>
      </c>
    </row>
    <row r="5743" spans="1:11">
      <c r="A5743">
        <v>90</v>
      </c>
      <c r="B5743" t="b">
        <v>0</v>
      </c>
      <c r="C5743" t="s">
        <v>40569</v>
      </c>
      <c r="D5743">
        <v>1037022454355</v>
      </c>
      <c r="E5743">
        <v>1</v>
      </c>
      <c r="F5743">
        <v>6116579514</v>
      </c>
      <c r="G5743">
        <v>165000000</v>
      </c>
      <c r="H5743" t="s">
        <v>40293</v>
      </c>
      <c r="I5743">
        <v>41525</v>
      </c>
      <c r="J5743">
        <v>1</v>
      </c>
      <c r="K5743">
        <v>1</v>
      </c>
    </row>
    <row r="5744" spans="1:11">
      <c r="A5744">
        <v>90</v>
      </c>
      <c r="B5744" t="b">
        <v>0</v>
      </c>
      <c r="C5744" t="s">
        <v>43310</v>
      </c>
      <c r="D5744">
        <v>1037022454355</v>
      </c>
      <c r="E5744">
        <v>1</v>
      </c>
      <c r="F5744">
        <v>6145912682</v>
      </c>
      <c r="G5744">
        <v>120000000</v>
      </c>
      <c r="H5744" t="s">
        <v>40293</v>
      </c>
      <c r="I5744">
        <v>41533</v>
      </c>
      <c r="J5744">
        <v>1</v>
      </c>
      <c r="K5744">
        <v>1</v>
      </c>
    </row>
    <row r="5745" spans="1:11">
      <c r="A5745">
        <v>90</v>
      </c>
      <c r="B5745" t="b">
        <v>0</v>
      </c>
      <c r="C5745" t="s">
        <v>43952</v>
      </c>
      <c r="D5745">
        <v>1037022454355</v>
      </c>
      <c r="E5745">
        <v>1</v>
      </c>
      <c r="F5745">
        <v>6142634530</v>
      </c>
      <c r="G5745">
        <v>230000000</v>
      </c>
      <c r="H5745" t="s">
        <v>40293</v>
      </c>
      <c r="I5745">
        <v>41534</v>
      </c>
      <c r="J5745">
        <v>1</v>
      </c>
      <c r="K5745">
        <v>1</v>
      </c>
    </row>
    <row r="5746" spans="1:11">
      <c r="A5746">
        <v>90</v>
      </c>
      <c r="B5746" t="b">
        <v>0</v>
      </c>
      <c r="C5746" t="s">
        <v>41912</v>
      </c>
      <c r="D5746">
        <v>1037022454355</v>
      </c>
      <c r="E5746">
        <v>1</v>
      </c>
      <c r="F5746">
        <v>6127045932</v>
      </c>
      <c r="G5746">
        <v>125000000</v>
      </c>
      <c r="H5746" t="s">
        <v>40293</v>
      </c>
      <c r="I5746">
        <v>41680</v>
      </c>
      <c r="J5746">
        <v>1</v>
      </c>
      <c r="K5746">
        <v>1</v>
      </c>
    </row>
    <row r="5747" spans="1:11">
      <c r="A5747">
        <v>90</v>
      </c>
      <c r="B5747" t="b">
        <v>0</v>
      </c>
      <c r="C5747" t="s">
        <v>46396</v>
      </c>
      <c r="D5747">
        <v>1037022454355</v>
      </c>
      <c r="E5747">
        <v>1</v>
      </c>
      <c r="F5747">
        <v>6150223989</v>
      </c>
      <c r="G5747">
        <v>139400000</v>
      </c>
      <c r="H5747" t="s">
        <v>40293</v>
      </c>
      <c r="I5747">
        <v>42244</v>
      </c>
      <c r="J5747">
        <v>5</v>
      </c>
      <c r="K5747">
        <v>9</v>
      </c>
    </row>
    <row r="5748" spans="1:11">
      <c r="A5748">
        <v>90</v>
      </c>
      <c r="B5748" t="b">
        <v>0</v>
      </c>
      <c r="C5748" t="s">
        <v>44788</v>
      </c>
      <c r="D5748">
        <v>1037022454355</v>
      </c>
      <c r="E5748">
        <v>1</v>
      </c>
      <c r="F5748">
        <v>6149173554</v>
      </c>
      <c r="G5748">
        <v>139300000</v>
      </c>
      <c r="H5748" t="s">
        <v>40293</v>
      </c>
      <c r="I5748">
        <v>42244</v>
      </c>
      <c r="J5748">
        <v>4</v>
      </c>
      <c r="K5748">
        <v>10</v>
      </c>
    </row>
    <row r="5749" spans="1:11">
      <c r="A5749">
        <v>90</v>
      </c>
      <c r="B5749" t="b">
        <v>0</v>
      </c>
      <c r="C5749" t="s">
        <v>40612</v>
      </c>
      <c r="D5749">
        <v>1037022454355</v>
      </c>
      <c r="E5749">
        <v>1</v>
      </c>
      <c r="F5749">
        <v>6108388432</v>
      </c>
      <c r="G5749">
        <v>131800000</v>
      </c>
      <c r="H5749" t="s">
        <v>40293</v>
      </c>
      <c r="I5749">
        <v>42522</v>
      </c>
      <c r="J5749">
        <v>1</v>
      </c>
      <c r="K5749">
        <v>1</v>
      </c>
    </row>
    <row r="5750" spans="1:11">
      <c r="A5750">
        <v>90</v>
      </c>
      <c r="B5750" t="b">
        <v>0</v>
      </c>
      <c r="C5750" t="s">
        <v>40469</v>
      </c>
      <c r="D5750">
        <v>1037022454355</v>
      </c>
      <c r="E5750">
        <v>1</v>
      </c>
      <c r="F5750">
        <v>6119919678</v>
      </c>
      <c r="G5750">
        <v>131200000</v>
      </c>
      <c r="H5750" t="s">
        <v>40293</v>
      </c>
      <c r="I5750">
        <v>42522</v>
      </c>
      <c r="J5750">
        <v>1</v>
      </c>
      <c r="K5750">
        <v>1</v>
      </c>
    </row>
    <row r="5751" spans="1:11">
      <c r="A5751">
        <v>90</v>
      </c>
      <c r="B5751" t="b">
        <v>0</v>
      </c>
      <c r="C5751" t="s">
        <v>40939</v>
      </c>
      <c r="D5751">
        <v>1037022454355</v>
      </c>
      <c r="E5751">
        <v>1</v>
      </c>
      <c r="F5751">
        <v>6081034707</v>
      </c>
      <c r="G5751">
        <v>130900000</v>
      </c>
      <c r="H5751" t="s">
        <v>40293</v>
      </c>
      <c r="I5751">
        <v>42522</v>
      </c>
      <c r="J5751">
        <v>1</v>
      </c>
      <c r="K5751">
        <v>1</v>
      </c>
    </row>
    <row r="5752" spans="1:11">
      <c r="A5752">
        <v>90</v>
      </c>
      <c r="B5752" t="b">
        <v>0</v>
      </c>
      <c r="C5752" t="s">
        <v>41856</v>
      </c>
      <c r="D5752">
        <v>1037022454355</v>
      </c>
      <c r="E5752">
        <v>1</v>
      </c>
      <c r="F5752">
        <v>6127464653</v>
      </c>
      <c r="G5752">
        <v>119900000</v>
      </c>
      <c r="H5752" t="s">
        <v>40293</v>
      </c>
      <c r="I5752">
        <v>42522</v>
      </c>
      <c r="J5752">
        <v>6</v>
      </c>
      <c r="K5752">
        <v>6</v>
      </c>
    </row>
    <row r="5753" spans="1:11">
      <c r="A5753">
        <v>90</v>
      </c>
      <c r="B5753" t="b">
        <v>0</v>
      </c>
      <c r="C5753" t="s">
        <v>42103</v>
      </c>
      <c r="D5753">
        <v>1037022454355</v>
      </c>
      <c r="E5753">
        <v>1</v>
      </c>
      <c r="F5753">
        <v>6086176836</v>
      </c>
      <c r="G5753">
        <v>118000000</v>
      </c>
      <c r="H5753" t="s">
        <v>40293</v>
      </c>
      <c r="I5753">
        <v>42522</v>
      </c>
      <c r="J5753">
        <v>1</v>
      </c>
      <c r="K5753">
        <v>1</v>
      </c>
    </row>
    <row r="5754" spans="1:11">
      <c r="A5754">
        <v>90</v>
      </c>
      <c r="B5754" t="b">
        <v>0</v>
      </c>
      <c r="C5754" t="s">
        <v>42982</v>
      </c>
      <c r="D5754">
        <v>1037022454355</v>
      </c>
      <c r="E5754">
        <v>1</v>
      </c>
      <c r="F5754">
        <v>6142014618</v>
      </c>
      <c r="G5754">
        <v>115000000</v>
      </c>
      <c r="H5754" t="s">
        <v>40293</v>
      </c>
      <c r="I5754">
        <v>42522</v>
      </c>
      <c r="J5754">
        <v>1</v>
      </c>
      <c r="K5754">
        <v>1</v>
      </c>
    </row>
    <row r="5755" spans="1:11">
      <c r="A5755">
        <v>30</v>
      </c>
      <c r="B5755" t="b">
        <v>0</v>
      </c>
      <c r="C5755" t="s">
        <v>43312</v>
      </c>
      <c r="D5755">
        <v>1037022454355</v>
      </c>
      <c r="E5755">
        <v>1</v>
      </c>
      <c r="F5755">
        <v>6113734530</v>
      </c>
      <c r="G5755">
        <v>114800000</v>
      </c>
      <c r="H5755" t="s">
        <v>40293</v>
      </c>
      <c r="I5755">
        <v>42522</v>
      </c>
      <c r="J5755">
        <v>1</v>
      </c>
      <c r="K5755">
        <v>1</v>
      </c>
    </row>
    <row r="5756" spans="1:11">
      <c r="A5756">
        <v>90</v>
      </c>
      <c r="B5756" t="b">
        <v>0</v>
      </c>
      <c r="C5756" t="s">
        <v>45426</v>
      </c>
      <c r="D5756">
        <v>1037022454355</v>
      </c>
      <c r="E5756">
        <v>1</v>
      </c>
      <c r="F5756">
        <v>6154897411</v>
      </c>
      <c r="G5756">
        <v>114000000</v>
      </c>
      <c r="H5756" t="s">
        <v>40293</v>
      </c>
      <c r="I5756">
        <v>42522</v>
      </c>
      <c r="J5756">
        <v>1</v>
      </c>
      <c r="K5756">
        <v>1</v>
      </c>
    </row>
    <row r="5757" spans="1:11">
      <c r="A5757">
        <v>90</v>
      </c>
      <c r="B5757" t="b">
        <v>0</v>
      </c>
      <c r="C5757" t="s">
        <v>41840</v>
      </c>
      <c r="D5757">
        <v>1037022454355</v>
      </c>
      <c r="E5757">
        <v>1</v>
      </c>
      <c r="F5757">
        <v>6127461208</v>
      </c>
      <c r="G5757">
        <v>749900</v>
      </c>
      <c r="H5757" t="s">
        <v>40293</v>
      </c>
      <c r="I5757">
        <v>42527</v>
      </c>
      <c r="J5757">
        <v>32</v>
      </c>
      <c r="K5757">
        <v>37</v>
      </c>
    </row>
    <row r="5758" spans="1:11">
      <c r="A5758">
        <v>90</v>
      </c>
      <c r="B5758" t="b">
        <v>0</v>
      </c>
      <c r="C5758" t="s">
        <v>44519</v>
      </c>
      <c r="D5758">
        <v>1037022454355</v>
      </c>
      <c r="E5758">
        <v>1</v>
      </c>
      <c r="F5758">
        <v>6149675672</v>
      </c>
      <c r="G5758">
        <v>749800</v>
      </c>
      <c r="H5758" t="s">
        <v>40293</v>
      </c>
      <c r="I5758">
        <v>42527</v>
      </c>
      <c r="J5758">
        <v>4</v>
      </c>
      <c r="K5758">
        <v>4</v>
      </c>
    </row>
    <row r="5759" spans="1:11">
      <c r="A5759">
        <v>90</v>
      </c>
      <c r="B5759" t="b">
        <v>0</v>
      </c>
      <c r="C5759" t="s">
        <v>41581</v>
      </c>
      <c r="D5759">
        <v>1037022454355</v>
      </c>
      <c r="E5759">
        <v>1</v>
      </c>
      <c r="F5759">
        <v>6089306069</v>
      </c>
      <c r="G5759">
        <v>1290000</v>
      </c>
      <c r="H5759" t="s">
        <v>40293</v>
      </c>
      <c r="I5759">
        <v>42528</v>
      </c>
      <c r="J5759">
        <v>3</v>
      </c>
      <c r="K5759">
        <v>46</v>
      </c>
    </row>
    <row r="5760" spans="1:11">
      <c r="A5760">
        <v>90</v>
      </c>
      <c r="B5760" t="b">
        <v>0</v>
      </c>
      <c r="C5760" t="s">
        <v>45983</v>
      </c>
      <c r="D5760">
        <v>1037022454355</v>
      </c>
      <c r="E5760">
        <v>1</v>
      </c>
      <c r="F5760">
        <v>6153331026</v>
      </c>
      <c r="G5760">
        <v>1289000</v>
      </c>
      <c r="H5760" t="s">
        <v>40293</v>
      </c>
      <c r="I5760">
        <v>42528</v>
      </c>
      <c r="J5760">
        <v>1</v>
      </c>
      <c r="K5760">
        <v>1</v>
      </c>
    </row>
    <row r="5761" spans="1:11">
      <c r="A5761">
        <v>90</v>
      </c>
      <c r="B5761" t="b">
        <v>0</v>
      </c>
      <c r="C5761" t="s">
        <v>41502</v>
      </c>
      <c r="D5761">
        <v>1037022454355</v>
      </c>
      <c r="E5761">
        <v>1</v>
      </c>
      <c r="F5761">
        <v>6111356908</v>
      </c>
      <c r="G5761">
        <v>1000000</v>
      </c>
      <c r="H5761" t="s">
        <v>40293</v>
      </c>
      <c r="I5761">
        <v>42530</v>
      </c>
      <c r="J5761">
        <v>1</v>
      </c>
      <c r="K5761">
        <v>1</v>
      </c>
    </row>
    <row r="5762" spans="1:11">
      <c r="A5762">
        <v>90</v>
      </c>
      <c r="B5762" t="b">
        <v>0</v>
      </c>
      <c r="C5762" t="s">
        <v>41059</v>
      </c>
      <c r="D5762">
        <v>1037022454355</v>
      </c>
      <c r="E5762">
        <v>1</v>
      </c>
      <c r="F5762">
        <v>6112265115</v>
      </c>
      <c r="G5762">
        <v>769000</v>
      </c>
      <c r="H5762" t="s">
        <v>40293</v>
      </c>
      <c r="I5762">
        <v>42530</v>
      </c>
      <c r="J5762">
        <v>54</v>
      </c>
      <c r="K5762">
        <v>62</v>
      </c>
    </row>
    <row r="5763" spans="1:11">
      <c r="A5763">
        <v>90</v>
      </c>
      <c r="B5763" t="b">
        <v>0</v>
      </c>
      <c r="C5763" t="s">
        <v>41833</v>
      </c>
      <c r="D5763">
        <v>1037022454355</v>
      </c>
      <c r="E5763">
        <v>1</v>
      </c>
      <c r="F5763">
        <v>6127460515</v>
      </c>
      <c r="G5763">
        <v>768900</v>
      </c>
      <c r="H5763" t="s">
        <v>40293</v>
      </c>
      <c r="I5763">
        <v>42530</v>
      </c>
      <c r="J5763">
        <v>10</v>
      </c>
      <c r="K5763">
        <v>17</v>
      </c>
    </row>
    <row r="5764" spans="1:11">
      <c r="A5764">
        <v>90</v>
      </c>
      <c r="B5764" t="b">
        <v>0</v>
      </c>
      <c r="C5764" t="s">
        <v>44499</v>
      </c>
      <c r="D5764">
        <v>1037022454355</v>
      </c>
      <c r="E5764">
        <v>1</v>
      </c>
      <c r="F5764">
        <v>6149675361</v>
      </c>
      <c r="G5764">
        <v>768000</v>
      </c>
      <c r="H5764" t="s">
        <v>40293</v>
      </c>
      <c r="I5764">
        <v>42530</v>
      </c>
      <c r="J5764">
        <v>1</v>
      </c>
      <c r="K5764">
        <v>4</v>
      </c>
    </row>
    <row r="5765" spans="1:11">
      <c r="A5765">
        <v>90</v>
      </c>
      <c r="B5765" t="b">
        <v>0</v>
      </c>
      <c r="C5765" t="s">
        <v>40338</v>
      </c>
      <c r="D5765">
        <v>1037022454355</v>
      </c>
      <c r="E5765">
        <v>1</v>
      </c>
      <c r="F5765">
        <v>6116982981</v>
      </c>
      <c r="G5765">
        <v>18900000</v>
      </c>
      <c r="H5765" t="s">
        <v>40293</v>
      </c>
      <c r="I5765">
        <v>42685</v>
      </c>
      <c r="J5765">
        <v>3</v>
      </c>
      <c r="K5765">
        <v>3</v>
      </c>
    </row>
    <row r="5766" spans="1:11">
      <c r="A5766">
        <v>90</v>
      </c>
      <c r="B5766" t="b">
        <v>0</v>
      </c>
      <c r="C5766" t="s">
        <v>41125</v>
      </c>
      <c r="D5766">
        <v>1037022454355</v>
      </c>
      <c r="E5766">
        <v>1</v>
      </c>
      <c r="F5766">
        <v>6118459690</v>
      </c>
      <c r="G5766">
        <v>16000000</v>
      </c>
      <c r="H5766" t="s">
        <v>40293</v>
      </c>
      <c r="I5766">
        <v>42685</v>
      </c>
      <c r="J5766">
        <v>1</v>
      </c>
      <c r="K5766">
        <v>1</v>
      </c>
    </row>
    <row r="5767" spans="1:11">
      <c r="A5767">
        <v>90</v>
      </c>
      <c r="B5767" t="b">
        <v>0</v>
      </c>
      <c r="C5767" t="s">
        <v>41012</v>
      </c>
      <c r="D5767">
        <v>1037022454355</v>
      </c>
      <c r="E5767">
        <v>1</v>
      </c>
      <c r="F5767">
        <v>6118555641</v>
      </c>
      <c r="G5767">
        <v>15000000</v>
      </c>
      <c r="H5767" t="s">
        <v>40293</v>
      </c>
      <c r="I5767">
        <v>42685</v>
      </c>
      <c r="J5767">
        <v>1</v>
      </c>
      <c r="K5767">
        <v>1</v>
      </c>
    </row>
    <row r="5768" spans="1:11">
      <c r="A5768">
        <v>90</v>
      </c>
      <c r="B5768" t="b">
        <v>0</v>
      </c>
      <c r="C5768" t="s">
        <v>43940</v>
      </c>
      <c r="D5768">
        <v>1037022454355</v>
      </c>
      <c r="E5768">
        <v>1</v>
      </c>
      <c r="F5768">
        <v>6142262093</v>
      </c>
      <c r="G5768">
        <v>14170000</v>
      </c>
      <c r="H5768" t="s">
        <v>40293</v>
      </c>
      <c r="I5768">
        <v>42685</v>
      </c>
      <c r="J5768">
        <v>2</v>
      </c>
      <c r="K5768">
        <v>2</v>
      </c>
    </row>
    <row r="5769" spans="1:11">
      <c r="A5769">
        <v>90</v>
      </c>
      <c r="B5769" t="b">
        <v>0</v>
      </c>
      <c r="C5769" t="s">
        <v>44445</v>
      </c>
      <c r="D5769">
        <v>1037022454355</v>
      </c>
      <c r="E5769">
        <v>1</v>
      </c>
      <c r="F5769">
        <v>6152492603</v>
      </c>
      <c r="G5769">
        <v>10000000</v>
      </c>
      <c r="H5769" t="s">
        <v>40293</v>
      </c>
      <c r="I5769">
        <v>42685</v>
      </c>
      <c r="J5769">
        <v>2</v>
      </c>
      <c r="K5769">
        <v>2</v>
      </c>
    </row>
    <row r="5770" spans="1:11">
      <c r="A5770">
        <v>90</v>
      </c>
      <c r="B5770" t="b">
        <v>0</v>
      </c>
      <c r="C5770" t="s">
        <v>46020</v>
      </c>
      <c r="D5770">
        <v>1037022454355</v>
      </c>
      <c r="E5770">
        <v>1</v>
      </c>
      <c r="F5770">
        <v>6149792529</v>
      </c>
      <c r="G5770">
        <v>10000000</v>
      </c>
      <c r="H5770" t="s">
        <v>40293</v>
      </c>
      <c r="I5770">
        <v>42685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41663</v>
      </c>
      <c r="D5771">
        <v>1037022454355</v>
      </c>
      <c r="E5771">
        <v>1</v>
      </c>
      <c r="F5771">
        <v>6101788051</v>
      </c>
      <c r="G5771">
        <v>4500</v>
      </c>
      <c r="H5771" t="s">
        <v>40293</v>
      </c>
      <c r="I5771">
        <v>42694</v>
      </c>
      <c r="J5771">
        <v>600</v>
      </c>
      <c r="K5771">
        <v>6000</v>
      </c>
    </row>
    <row r="5772" spans="1:11">
      <c r="A5772">
        <v>90</v>
      </c>
      <c r="B5772" t="b">
        <v>0</v>
      </c>
      <c r="C5772" t="s">
        <v>41995</v>
      </c>
      <c r="D5772">
        <v>1037022454355</v>
      </c>
      <c r="E5772">
        <v>1</v>
      </c>
      <c r="F5772">
        <v>6130696454</v>
      </c>
      <c r="G5772">
        <v>4499</v>
      </c>
      <c r="H5772" t="s">
        <v>40293</v>
      </c>
      <c r="I5772">
        <v>42694</v>
      </c>
      <c r="J5772">
        <v>4400</v>
      </c>
      <c r="K5772">
        <v>5000</v>
      </c>
    </row>
    <row r="5773" spans="1:11">
      <c r="A5773">
        <v>90</v>
      </c>
      <c r="B5773" t="b">
        <v>0</v>
      </c>
      <c r="C5773" t="s">
        <v>42328</v>
      </c>
      <c r="D5773">
        <v>1037022454355</v>
      </c>
      <c r="E5773">
        <v>1</v>
      </c>
      <c r="F5773">
        <v>6136105480</v>
      </c>
      <c r="G5773">
        <v>3400</v>
      </c>
      <c r="H5773" t="s">
        <v>40293</v>
      </c>
      <c r="I5773">
        <v>42694</v>
      </c>
      <c r="J5773">
        <v>1139</v>
      </c>
      <c r="K5773">
        <v>1139</v>
      </c>
    </row>
    <row r="5774" spans="1:11">
      <c r="A5774">
        <v>90</v>
      </c>
      <c r="B5774" t="b">
        <v>0</v>
      </c>
      <c r="C5774" t="s">
        <v>43669</v>
      </c>
      <c r="D5774">
        <v>1037022454355</v>
      </c>
      <c r="E5774">
        <v>1</v>
      </c>
      <c r="F5774">
        <v>6140746630</v>
      </c>
      <c r="G5774">
        <v>3299</v>
      </c>
      <c r="H5774" t="s">
        <v>40293</v>
      </c>
      <c r="I5774">
        <v>42694</v>
      </c>
      <c r="J5774">
        <v>1000</v>
      </c>
      <c r="K5774">
        <v>1000</v>
      </c>
    </row>
    <row r="5775" spans="1:11">
      <c r="A5775">
        <v>90</v>
      </c>
      <c r="B5775" t="b">
        <v>0</v>
      </c>
      <c r="C5775" t="s">
        <v>44846</v>
      </c>
      <c r="D5775">
        <v>1037022454355</v>
      </c>
      <c r="E5775">
        <v>1</v>
      </c>
      <c r="F5775">
        <v>6131427927</v>
      </c>
      <c r="G5775">
        <v>2998</v>
      </c>
      <c r="H5775" t="s">
        <v>40293</v>
      </c>
      <c r="I5775">
        <v>42694</v>
      </c>
      <c r="J5775">
        <v>500</v>
      </c>
      <c r="K5775">
        <v>1000</v>
      </c>
    </row>
    <row r="5776" spans="1:11">
      <c r="A5776">
        <v>7</v>
      </c>
      <c r="B5776" t="b">
        <v>0</v>
      </c>
      <c r="C5776" t="s">
        <v>44791</v>
      </c>
      <c r="D5776">
        <v>1037022454355</v>
      </c>
      <c r="E5776">
        <v>1</v>
      </c>
      <c r="F5776">
        <v>6153578314</v>
      </c>
      <c r="G5776">
        <v>2950</v>
      </c>
      <c r="H5776" t="s">
        <v>40293</v>
      </c>
      <c r="I5776">
        <v>42694</v>
      </c>
      <c r="J5776">
        <v>4496</v>
      </c>
      <c r="K5776">
        <v>5900</v>
      </c>
    </row>
    <row r="5777" spans="1:11">
      <c r="A5777">
        <v>90</v>
      </c>
      <c r="B5777" t="b">
        <v>0</v>
      </c>
      <c r="C5777" t="s">
        <v>44989</v>
      </c>
      <c r="D5777">
        <v>1037022454355</v>
      </c>
      <c r="E5777">
        <v>1</v>
      </c>
      <c r="F5777">
        <v>6130708766</v>
      </c>
      <c r="G5777">
        <v>2950</v>
      </c>
      <c r="H5777" t="s">
        <v>40293</v>
      </c>
      <c r="I5777">
        <v>42694</v>
      </c>
      <c r="J5777">
        <v>1011</v>
      </c>
      <c r="K5777">
        <v>7449</v>
      </c>
    </row>
    <row r="5778" spans="1:11">
      <c r="A5778">
        <v>90</v>
      </c>
      <c r="B5778" t="b">
        <v>0</v>
      </c>
      <c r="C5778" t="s">
        <v>43239</v>
      </c>
      <c r="D5778">
        <v>1037022454355</v>
      </c>
      <c r="E5778">
        <v>1</v>
      </c>
      <c r="F5778">
        <v>6146533684</v>
      </c>
      <c r="G5778">
        <v>1500</v>
      </c>
      <c r="H5778" t="s">
        <v>40293</v>
      </c>
      <c r="I5778">
        <v>42695</v>
      </c>
      <c r="J5778">
        <v>2000</v>
      </c>
      <c r="K5778">
        <v>2000</v>
      </c>
    </row>
    <row r="5779" spans="1:11">
      <c r="A5779">
        <v>90</v>
      </c>
      <c r="B5779" t="b">
        <v>0</v>
      </c>
      <c r="C5779" t="s">
        <v>46140</v>
      </c>
      <c r="D5779">
        <v>1037022454355</v>
      </c>
      <c r="E5779">
        <v>1</v>
      </c>
      <c r="F5779">
        <v>6154031546</v>
      </c>
      <c r="G5779">
        <v>1499</v>
      </c>
      <c r="H5779" t="s">
        <v>40293</v>
      </c>
      <c r="I5779">
        <v>42695</v>
      </c>
      <c r="J5779">
        <v>1327</v>
      </c>
      <c r="K5779">
        <v>5000</v>
      </c>
    </row>
    <row r="5780" spans="1:11">
      <c r="A5780">
        <v>90</v>
      </c>
      <c r="B5780" t="b">
        <v>0</v>
      </c>
      <c r="C5780" t="s">
        <v>45769</v>
      </c>
      <c r="D5780">
        <v>1037022454355</v>
      </c>
      <c r="E5780">
        <v>1</v>
      </c>
      <c r="F5780">
        <v>6154901453</v>
      </c>
      <c r="G5780">
        <v>2365</v>
      </c>
      <c r="H5780" t="s">
        <v>40293</v>
      </c>
      <c r="I5780">
        <v>42696</v>
      </c>
      <c r="J5780">
        <v>1808</v>
      </c>
      <c r="K5780">
        <v>2966</v>
      </c>
    </row>
    <row r="5781" spans="1:11">
      <c r="A5781">
        <v>90</v>
      </c>
      <c r="B5781" t="b">
        <v>0</v>
      </c>
      <c r="C5781" t="s">
        <v>41596</v>
      </c>
      <c r="D5781">
        <v>1037022454355</v>
      </c>
      <c r="E5781">
        <v>1</v>
      </c>
      <c r="F5781">
        <v>6116438246</v>
      </c>
      <c r="G5781">
        <v>34100000</v>
      </c>
      <c r="H5781" t="s">
        <v>40293</v>
      </c>
      <c r="I5781">
        <v>42781</v>
      </c>
      <c r="J5781">
        <v>1</v>
      </c>
      <c r="K5781">
        <v>1</v>
      </c>
    </row>
    <row r="5782" spans="1:11">
      <c r="A5782">
        <v>90</v>
      </c>
      <c r="B5782" t="b">
        <v>0</v>
      </c>
      <c r="C5782" t="s">
        <v>45254</v>
      </c>
      <c r="D5782">
        <v>1037022454355</v>
      </c>
      <c r="E5782">
        <v>1</v>
      </c>
      <c r="F5782">
        <v>6152101867</v>
      </c>
      <c r="G5782">
        <v>270</v>
      </c>
      <c r="H5782" t="s">
        <v>40293</v>
      </c>
      <c r="I5782">
        <v>42829</v>
      </c>
      <c r="J5782">
        <v>180000</v>
      </c>
      <c r="K5782">
        <v>180000</v>
      </c>
    </row>
    <row r="5783" spans="1:11">
      <c r="A5783">
        <v>90</v>
      </c>
      <c r="B5783" t="b">
        <v>0</v>
      </c>
      <c r="C5783" t="s">
        <v>40581</v>
      </c>
      <c r="D5783">
        <v>1037022454355</v>
      </c>
      <c r="E5783">
        <v>1</v>
      </c>
      <c r="F5783">
        <v>6091839898</v>
      </c>
      <c r="G5783">
        <v>270</v>
      </c>
      <c r="H5783" t="s">
        <v>40293</v>
      </c>
      <c r="I5783">
        <v>42829</v>
      </c>
      <c r="J5783">
        <v>107074</v>
      </c>
      <c r="K5783">
        <v>753000</v>
      </c>
    </row>
    <row r="5784" spans="1:11">
      <c r="A5784">
        <v>90</v>
      </c>
      <c r="B5784" t="b">
        <v>0</v>
      </c>
      <c r="C5784" t="s">
        <v>45888</v>
      </c>
      <c r="D5784">
        <v>1037022454355</v>
      </c>
      <c r="E5784">
        <v>1</v>
      </c>
      <c r="F5784">
        <v>6152102021</v>
      </c>
      <c r="G5784">
        <v>300</v>
      </c>
      <c r="H5784" t="s">
        <v>40293</v>
      </c>
      <c r="I5784">
        <v>42830</v>
      </c>
      <c r="J5784">
        <v>340602</v>
      </c>
      <c r="K5784">
        <v>340602</v>
      </c>
    </row>
    <row r="5785" spans="1:11">
      <c r="A5785">
        <v>90</v>
      </c>
      <c r="B5785" t="b">
        <v>0</v>
      </c>
      <c r="C5785" t="s">
        <v>40510</v>
      </c>
      <c r="D5785">
        <v>1037022454355</v>
      </c>
      <c r="E5785">
        <v>1</v>
      </c>
      <c r="F5785">
        <v>6091839654</v>
      </c>
      <c r="G5785">
        <v>299.89999999999998</v>
      </c>
      <c r="H5785" t="s">
        <v>40293</v>
      </c>
      <c r="I5785">
        <v>42830</v>
      </c>
      <c r="J5785">
        <v>228314</v>
      </c>
      <c r="K5785">
        <v>1300000</v>
      </c>
    </row>
    <row r="5786" spans="1:11">
      <c r="A5786">
        <v>90</v>
      </c>
      <c r="B5786" t="b">
        <v>0</v>
      </c>
      <c r="C5786" t="s">
        <v>46277</v>
      </c>
      <c r="D5786">
        <v>1037022454355</v>
      </c>
      <c r="E5786">
        <v>1</v>
      </c>
      <c r="F5786">
        <v>6156087708</v>
      </c>
      <c r="G5786">
        <v>1389</v>
      </c>
      <c r="H5786" t="s">
        <v>40293</v>
      </c>
      <c r="I5786">
        <v>42831</v>
      </c>
      <c r="J5786">
        <v>25000</v>
      </c>
      <c r="K5786">
        <v>25000</v>
      </c>
    </row>
    <row r="5787" spans="1:11">
      <c r="A5787">
        <v>90</v>
      </c>
      <c r="B5787" t="b">
        <v>0</v>
      </c>
      <c r="C5787" t="s">
        <v>44160</v>
      </c>
      <c r="D5787">
        <v>1037022454355</v>
      </c>
      <c r="E5787">
        <v>1</v>
      </c>
      <c r="F5787">
        <v>6156289663</v>
      </c>
      <c r="G5787">
        <v>1388</v>
      </c>
      <c r="H5787" t="s">
        <v>40293</v>
      </c>
      <c r="I5787">
        <v>42831</v>
      </c>
      <c r="J5787">
        <v>5000</v>
      </c>
      <c r="K5787">
        <v>5000</v>
      </c>
    </row>
    <row r="5788" spans="1:11">
      <c r="A5788">
        <v>7</v>
      </c>
      <c r="B5788" t="b">
        <v>0</v>
      </c>
      <c r="C5788" t="s">
        <v>46080</v>
      </c>
      <c r="D5788">
        <v>1037022454355</v>
      </c>
      <c r="E5788">
        <v>1</v>
      </c>
      <c r="F5788">
        <v>6152611597</v>
      </c>
      <c r="G5788">
        <v>1200</v>
      </c>
      <c r="H5788" t="s">
        <v>40293</v>
      </c>
      <c r="I5788">
        <v>42831</v>
      </c>
      <c r="J5788">
        <v>2345</v>
      </c>
      <c r="K5788">
        <v>12848</v>
      </c>
    </row>
    <row r="5789" spans="1:11">
      <c r="A5789">
        <v>90</v>
      </c>
      <c r="B5789" t="b">
        <v>0</v>
      </c>
      <c r="C5789" t="s">
        <v>43603</v>
      </c>
      <c r="D5789">
        <v>1037022454355</v>
      </c>
      <c r="E5789">
        <v>1</v>
      </c>
      <c r="F5789">
        <v>6140154032</v>
      </c>
      <c r="G5789">
        <v>850</v>
      </c>
      <c r="H5789" t="s">
        <v>40293</v>
      </c>
      <c r="I5789">
        <v>42832</v>
      </c>
      <c r="J5789">
        <v>90118</v>
      </c>
      <c r="K5789">
        <v>97072</v>
      </c>
    </row>
    <row r="5790" spans="1:11">
      <c r="A5790">
        <v>90</v>
      </c>
      <c r="B5790" t="b">
        <v>0</v>
      </c>
      <c r="C5790" t="s">
        <v>43607</v>
      </c>
      <c r="D5790">
        <v>1037022454355</v>
      </c>
      <c r="E5790">
        <v>1</v>
      </c>
      <c r="F5790">
        <v>6140154217</v>
      </c>
      <c r="G5790">
        <v>989</v>
      </c>
      <c r="H5790" t="s">
        <v>40293</v>
      </c>
      <c r="I5790">
        <v>42833</v>
      </c>
      <c r="J5790">
        <v>73564</v>
      </c>
      <c r="K5790">
        <v>83460</v>
      </c>
    </row>
    <row r="5791" spans="1:11">
      <c r="A5791">
        <v>90</v>
      </c>
      <c r="B5791" t="b">
        <v>0</v>
      </c>
      <c r="C5791" t="s">
        <v>43604</v>
      </c>
      <c r="D5791">
        <v>1037022454355</v>
      </c>
      <c r="E5791">
        <v>1</v>
      </c>
      <c r="F5791">
        <v>6140154112</v>
      </c>
      <c r="G5791">
        <v>749</v>
      </c>
      <c r="H5791" t="s">
        <v>40293</v>
      </c>
      <c r="I5791">
        <v>42834</v>
      </c>
      <c r="J5791">
        <v>89633</v>
      </c>
      <c r="K5791">
        <v>95833</v>
      </c>
    </row>
    <row r="5792" spans="1:11">
      <c r="A5792">
        <v>90</v>
      </c>
      <c r="B5792" t="b">
        <v>0</v>
      </c>
      <c r="C5792" t="s">
        <v>45338</v>
      </c>
      <c r="D5792">
        <v>1037022454355</v>
      </c>
      <c r="E5792">
        <v>1</v>
      </c>
      <c r="F5792">
        <v>6152340423</v>
      </c>
      <c r="G5792">
        <v>700</v>
      </c>
      <c r="H5792" t="s">
        <v>40293</v>
      </c>
      <c r="I5792">
        <v>42835</v>
      </c>
      <c r="J5792">
        <v>7000</v>
      </c>
      <c r="K5792">
        <v>8600</v>
      </c>
    </row>
    <row r="5793" spans="1:11">
      <c r="A5793">
        <v>90</v>
      </c>
      <c r="B5793" t="b">
        <v>0</v>
      </c>
      <c r="C5793" t="s">
        <v>45214</v>
      </c>
      <c r="D5793">
        <v>1037022454355</v>
      </c>
      <c r="E5793">
        <v>1</v>
      </c>
      <c r="F5793">
        <v>6149782798</v>
      </c>
      <c r="G5793">
        <v>650</v>
      </c>
      <c r="H5793" t="s">
        <v>40293</v>
      </c>
      <c r="I5793">
        <v>42835</v>
      </c>
      <c r="J5793">
        <v>2139</v>
      </c>
      <c r="K5793">
        <v>3399</v>
      </c>
    </row>
    <row r="5794" spans="1:11">
      <c r="A5794">
        <v>90</v>
      </c>
      <c r="B5794" t="b">
        <v>0</v>
      </c>
      <c r="C5794" t="s">
        <v>43059</v>
      </c>
      <c r="D5794">
        <v>1037022454355</v>
      </c>
      <c r="E5794">
        <v>1</v>
      </c>
      <c r="F5794">
        <v>6145447253</v>
      </c>
      <c r="G5794">
        <v>700.1</v>
      </c>
      <c r="H5794" t="s">
        <v>40293</v>
      </c>
      <c r="I5794">
        <v>42836</v>
      </c>
      <c r="J5794">
        <v>5969</v>
      </c>
      <c r="K5794">
        <v>7515</v>
      </c>
    </row>
    <row r="5795" spans="1:11">
      <c r="A5795">
        <v>90</v>
      </c>
      <c r="B5795" t="b">
        <v>0</v>
      </c>
      <c r="C5795" t="s">
        <v>43066</v>
      </c>
      <c r="D5795">
        <v>1037022454355</v>
      </c>
      <c r="E5795">
        <v>1</v>
      </c>
      <c r="F5795">
        <v>6145447442</v>
      </c>
      <c r="G5795">
        <v>700.1</v>
      </c>
      <c r="H5795" t="s">
        <v>40293</v>
      </c>
      <c r="I5795">
        <v>42837</v>
      </c>
      <c r="J5795">
        <v>4083</v>
      </c>
      <c r="K5795">
        <v>6071</v>
      </c>
    </row>
    <row r="5796" spans="1:11">
      <c r="A5796">
        <v>90</v>
      </c>
      <c r="B5796" t="b">
        <v>0</v>
      </c>
      <c r="C5796" t="s">
        <v>45062</v>
      </c>
      <c r="D5796">
        <v>1037022454355</v>
      </c>
      <c r="E5796">
        <v>1</v>
      </c>
      <c r="F5796">
        <v>6151124213</v>
      </c>
      <c r="G5796">
        <v>777</v>
      </c>
      <c r="H5796" t="s">
        <v>40293</v>
      </c>
      <c r="I5796">
        <v>42838</v>
      </c>
      <c r="J5796">
        <v>11766</v>
      </c>
      <c r="K5796">
        <v>14775</v>
      </c>
    </row>
    <row r="5797" spans="1:11">
      <c r="A5797">
        <v>90</v>
      </c>
      <c r="B5797" t="b">
        <v>0</v>
      </c>
      <c r="C5797" t="s">
        <v>45897</v>
      </c>
      <c r="D5797">
        <v>1037022454355</v>
      </c>
      <c r="E5797">
        <v>1</v>
      </c>
      <c r="F5797">
        <v>6154214724</v>
      </c>
      <c r="G5797">
        <v>975</v>
      </c>
      <c r="H5797" t="s">
        <v>40293</v>
      </c>
      <c r="I5797">
        <v>42839</v>
      </c>
      <c r="J5797">
        <v>1699</v>
      </c>
      <c r="K5797">
        <v>1699</v>
      </c>
    </row>
    <row r="5798" spans="1:11">
      <c r="A5798">
        <v>90</v>
      </c>
      <c r="B5798" t="b">
        <v>0</v>
      </c>
      <c r="C5798" t="s">
        <v>45308</v>
      </c>
      <c r="D5798">
        <v>1037022454355</v>
      </c>
      <c r="E5798">
        <v>1</v>
      </c>
      <c r="F5798">
        <v>6155234973</v>
      </c>
      <c r="G5798">
        <v>700</v>
      </c>
      <c r="H5798" t="s">
        <v>40293</v>
      </c>
      <c r="I5798">
        <v>42839</v>
      </c>
      <c r="J5798">
        <v>25326</v>
      </c>
      <c r="K5798">
        <v>25926</v>
      </c>
    </row>
    <row r="5799" spans="1:11">
      <c r="A5799">
        <v>90</v>
      </c>
      <c r="B5799" t="b">
        <v>0</v>
      </c>
      <c r="C5799" t="s">
        <v>44314</v>
      </c>
      <c r="D5799">
        <v>1037022454355</v>
      </c>
      <c r="E5799">
        <v>1</v>
      </c>
      <c r="F5799">
        <v>6148362056</v>
      </c>
      <c r="G5799">
        <v>1490</v>
      </c>
      <c r="H5799" t="s">
        <v>40293</v>
      </c>
      <c r="I5799">
        <v>42840</v>
      </c>
      <c r="J5799">
        <v>590</v>
      </c>
      <c r="K5799">
        <v>590</v>
      </c>
    </row>
    <row r="5800" spans="1:11">
      <c r="A5800">
        <v>90</v>
      </c>
      <c r="B5800" t="b">
        <v>0</v>
      </c>
      <c r="C5800" t="s">
        <v>46497</v>
      </c>
      <c r="D5800">
        <v>1037022454355</v>
      </c>
      <c r="E5800">
        <v>1</v>
      </c>
      <c r="F5800">
        <v>6149307709</v>
      </c>
      <c r="G5800">
        <v>1484</v>
      </c>
      <c r="H5800" t="s">
        <v>40293</v>
      </c>
      <c r="I5800">
        <v>42840</v>
      </c>
      <c r="J5800">
        <v>68435</v>
      </c>
      <c r="K5800">
        <v>68735</v>
      </c>
    </row>
    <row r="5801" spans="1:11">
      <c r="A5801">
        <v>90</v>
      </c>
      <c r="B5801" t="b">
        <v>0</v>
      </c>
      <c r="C5801" t="s">
        <v>45117</v>
      </c>
      <c r="D5801">
        <v>1037022454355</v>
      </c>
      <c r="E5801">
        <v>1</v>
      </c>
      <c r="F5801">
        <v>6149650270</v>
      </c>
      <c r="G5801">
        <v>700</v>
      </c>
      <c r="H5801" t="s">
        <v>40293</v>
      </c>
      <c r="I5801">
        <v>42840</v>
      </c>
      <c r="J5801">
        <v>22500</v>
      </c>
      <c r="K5801">
        <v>25000</v>
      </c>
    </row>
    <row r="5802" spans="1:11">
      <c r="A5802">
        <v>90</v>
      </c>
      <c r="B5802" t="b">
        <v>0</v>
      </c>
      <c r="C5802" t="s">
        <v>45930</v>
      </c>
      <c r="D5802">
        <v>1037022454355</v>
      </c>
      <c r="E5802">
        <v>1</v>
      </c>
      <c r="F5802">
        <v>6154215065</v>
      </c>
      <c r="G5802">
        <v>650</v>
      </c>
      <c r="H5802" t="s">
        <v>40293</v>
      </c>
      <c r="I5802">
        <v>42840</v>
      </c>
      <c r="J5802">
        <v>1100</v>
      </c>
      <c r="K5802">
        <v>1700</v>
      </c>
    </row>
    <row r="5803" spans="1:11">
      <c r="A5803">
        <v>90</v>
      </c>
      <c r="B5803" t="b">
        <v>0</v>
      </c>
      <c r="C5803" t="s">
        <v>44503</v>
      </c>
      <c r="D5803">
        <v>1037022454355</v>
      </c>
      <c r="E5803">
        <v>1</v>
      </c>
      <c r="F5803">
        <v>6145841569</v>
      </c>
      <c r="G5803">
        <v>649.70000000000005</v>
      </c>
      <c r="H5803" t="s">
        <v>40293</v>
      </c>
      <c r="I5803">
        <v>42840</v>
      </c>
      <c r="J5803">
        <v>1568</v>
      </c>
      <c r="K5803">
        <v>4098</v>
      </c>
    </row>
    <row r="5804" spans="1:11">
      <c r="A5804">
        <v>90</v>
      </c>
      <c r="B5804" t="b">
        <v>0</v>
      </c>
      <c r="C5804" t="s">
        <v>40477</v>
      </c>
      <c r="D5804">
        <v>1037022454355</v>
      </c>
      <c r="E5804">
        <v>1</v>
      </c>
      <c r="F5804">
        <v>6119919801</v>
      </c>
      <c r="G5804">
        <v>149000000</v>
      </c>
      <c r="H5804" t="s">
        <v>40293</v>
      </c>
      <c r="I5804">
        <v>42890</v>
      </c>
      <c r="J5804">
        <v>1</v>
      </c>
      <c r="K5804">
        <v>1</v>
      </c>
    </row>
    <row r="5805" spans="1:11">
      <c r="A5805">
        <v>90</v>
      </c>
      <c r="B5805" t="b">
        <v>0</v>
      </c>
      <c r="C5805" t="s">
        <v>40779</v>
      </c>
      <c r="D5805">
        <v>1037022454355</v>
      </c>
      <c r="E5805">
        <v>1</v>
      </c>
      <c r="F5805">
        <v>6080572058</v>
      </c>
      <c r="G5805">
        <v>148500000</v>
      </c>
      <c r="H5805" t="s">
        <v>40293</v>
      </c>
      <c r="I5805">
        <v>42890</v>
      </c>
      <c r="J5805">
        <v>3</v>
      </c>
      <c r="K5805">
        <v>3</v>
      </c>
    </row>
    <row r="5806" spans="1:11">
      <c r="A5806">
        <v>90</v>
      </c>
      <c r="B5806" t="b">
        <v>0</v>
      </c>
      <c r="C5806" t="s">
        <v>42114</v>
      </c>
      <c r="D5806">
        <v>1037022454355</v>
      </c>
      <c r="E5806">
        <v>1</v>
      </c>
      <c r="F5806">
        <v>6100240643</v>
      </c>
      <c r="G5806">
        <v>147800000</v>
      </c>
      <c r="H5806" t="s">
        <v>40293</v>
      </c>
      <c r="I5806">
        <v>42890</v>
      </c>
      <c r="J5806">
        <v>1</v>
      </c>
      <c r="K5806">
        <v>1</v>
      </c>
    </row>
    <row r="5807" spans="1:11">
      <c r="A5807">
        <v>90</v>
      </c>
      <c r="B5807" t="b">
        <v>0</v>
      </c>
      <c r="C5807" t="s">
        <v>45595</v>
      </c>
      <c r="D5807">
        <v>1037022454355</v>
      </c>
      <c r="E5807">
        <v>1</v>
      </c>
      <c r="F5807">
        <v>6148902798</v>
      </c>
      <c r="G5807">
        <v>147700000</v>
      </c>
      <c r="H5807" t="s">
        <v>40293</v>
      </c>
      <c r="I5807">
        <v>42890</v>
      </c>
      <c r="J5807">
        <v>1</v>
      </c>
      <c r="K5807">
        <v>1</v>
      </c>
    </row>
    <row r="5808" spans="1:11">
      <c r="A5808">
        <v>90</v>
      </c>
      <c r="B5808" t="b">
        <v>0</v>
      </c>
      <c r="C5808" t="s">
        <v>44148</v>
      </c>
      <c r="D5808">
        <v>1037022454355</v>
      </c>
      <c r="E5808">
        <v>1</v>
      </c>
      <c r="F5808">
        <v>6153864625</v>
      </c>
      <c r="G5808">
        <v>147500000</v>
      </c>
      <c r="H5808" t="s">
        <v>40293</v>
      </c>
      <c r="I5808">
        <v>42890</v>
      </c>
      <c r="J5808">
        <v>1</v>
      </c>
      <c r="K5808">
        <v>1</v>
      </c>
    </row>
    <row r="5809" spans="1:11">
      <c r="A5809">
        <v>90</v>
      </c>
      <c r="B5809" t="b">
        <v>0</v>
      </c>
      <c r="C5809" t="s">
        <v>45420</v>
      </c>
      <c r="D5809">
        <v>1037022454355</v>
      </c>
      <c r="E5809">
        <v>1</v>
      </c>
      <c r="F5809">
        <v>6154897324</v>
      </c>
      <c r="G5809">
        <v>147000000</v>
      </c>
      <c r="H5809" t="s">
        <v>40293</v>
      </c>
      <c r="I5809">
        <v>42890</v>
      </c>
      <c r="J5809">
        <v>1</v>
      </c>
      <c r="K5809">
        <v>1</v>
      </c>
    </row>
    <row r="5810" spans="1:11">
      <c r="A5810">
        <v>90</v>
      </c>
      <c r="B5810" t="b">
        <v>0</v>
      </c>
      <c r="C5810" t="s">
        <v>45018</v>
      </c>
      <c r="D5810">
        <v>1037022454355</v>
      </c>
      <c r="E5810">
        <v>1</v>
      </c>
      <c r="F5810">
        <v>6151156326</v>
      </c>
      <c r="G5810">
        <v>146900000</v>
      </c>
      <c r="H5810" t="s">
        <v>40293</v>
      </c>
      <c r="I5810">
        <v>42890</v>
      </c>
      <c r="J5810">
        <v>1</v>
      </c>
      <c r="K5810">
        <v>1</v>
      </c>
    </row>
    <row r="5811" spans="1:11">
      <c r="A5811">
        <v>90</v>
      </c>
      <c r="B5811" t="b">
        <v>0</v>
      </c>
      <c r="C5811" t="s">
        <v>44462</v>
      </c>
      <c r="D5811">
        <v>1037022454355</v>
      </c>
      <c r="E5811">
        <v>1</v>
      </c>
      <c r="F5811">
        <v>6151378784</v>
      </c>
      <c r="G5811">
        <v>4100000</v>
      </c>
      <c r="H5811" t="s">
        <v>40293</v>
      </c>
      <c r="I5811">
        <v>43551</v>
      </c>
      <c r="J5811">
        <v>19</v>
      </c>
      <c r="K5811">
        <v>20</v>
      </c>
    </row>
    <row r="5812" spans="1:11">
      <c r="A5812">
        <v>90</v>
      </c>
      <c r="B5812" t="b">
        <v>0</v>
      </c>
      <c r="C5812" t="s">
        <v>41491</v>
      </c>
      <c r="D5812">
        <v>1037022454355</v>
      </c>
      <c r="E5812">
        <v>1</v>
      </c>
      <c r="F5812">
        <v>6111356665</v>
      </c>
      <c r="G5812">
        <v>3450000</v>
      </c>
      <c r="H5812" t="s">
        <v>40293</v>
      </c>
      <c r="I5812">
        <v>43552</v>
      </c>
      <c r="J5812">
        <v>1</v>
      </c>
      <c r="K5812">
        <v>1</v>
      </c>
    </row>
    <row r="5813" spans="1:11">
      <c r="A5813">
        <v>90</v>
      </c>
      <c r="B5813" t="b">
        <v>0</v>
      </c>
      <c r="C5813" t="s">
        <v>43359</v>
      </c>
      <c r="D5813">
        <v>1037022454355</v>
      </c>
      <c r="E5813">
        <v>1</v>
      </c>
      <c r="F5813">
        <v>6115767273</v>
      </c>
      <c r="G5813">
        <v>3420000</v>
      </c>
      <c r="H5813" t="s">
        <v>40293</v>
      </c>
      <c r="I5813">
        <v>43552</v>
      </c>
      <c r="J5813">
        <v>19</v>
      </c>
      <c r="K5813">
        <v>62</v>
      </c>
    </row>
    <row r="5814" spans="1:11">
      <c r="A5814">
        <v>90</v>
      </c>
      <c r="B5814" t="b">
        <v>0</v>
      </c>
      <c r="C5814" t="s">
        <v>45649</v>
      </c>
      <c r="D5814">
        <v>1037022454355</v>
      </c>
      <c r="E5814">
        <v>1</v>
      </c>
      <c r="F5814">
        <v>6140416544</v>
      </c>
      <c r="G5814">
        <v>3419000</v>
      </c>
      <c r="H5814" t="s">
        <v>40293</v>
      </c>
      <c r="I5814">
        <v>43552</v>
      </c>
      <c r="J5814">
        <v>3</v>
      </c>
      <c r="K5814">
        <v>15</v>
      </c>
    </row>
    <row r="5815" spans="1:11">
      <c r="A5815">
        <v>90</v>
      </c>
      <c r="B5815" t="b">
        <v>0</v>
      </c>
      <c r="C5815" t="s">
        <v>41068</v>
      </c>
      <c r="D5815">
        <v>1037022454355</v>
      </c>
      <c r="E5815">
        <v>1</v>
      </c>
      <c r="F5815">
        <v>6119933087</v>
      </c>
      <c r="G5815">
        <v>3998000</v>
      </c>
      <c r="H5815" t="s">
        <v>40293</v>
      </c>
      <c r="I5815">
        <v>43554</v>
      </c>
      <c r="J5815">
        <v>7</v>
      </c>
      <c r="K5815">
        <v>7</v>
      </c>
    </row>
    <row r="5816" spans="1:11">
      <c r="A5816">
        <v>90</v>
      </c>
      <c r="B5816" t="b">
        <v>0</v>
      </c>
      <c r="C5816" t="s">
        <v>42847</v>
      </c>
      <c r="D5816">
        <v>1037022454355</v>
      </c>
      <c r="E5816">
        <v>1</v>
      </c>
      <c r="F5816">
        <v>6137609201</v>
      </c>
      <c r="G5816">
        <v>3199000</v>
      </c>
      <c r="H5816" t="s">
        <v>40293</v>
      </c>
      <c r="I5816">
        <v>43554</v>
      </c>
      <c r="J5816">
        <v>25</v>
      </c>
      <c r="K5816">
        <v>25</v>
      </c>
    </row>
    <row r="5817" spans="1:11">
      <c r="A5817">
        <v>90</v>
      </c>
      <c r="B5817" t="b">
        <v>0</v>
      </c>
      <c r="C5817" t="s">
        <v>42933</v>
      </c>
      <c r="D5817">
        <v>1037022454355</v>
      </c>
      <c r="E5817">
        <v>1</v>
      </c>
      <c r="F5817">
        <v>6138266958</v>
      </c>
      <c r="G5817">
        <v>3100000</v>
      </c>
      <c r="H5817" t="s">
        <v>40293</v>
      </c>
      <c r="I5817">
        <v>43554</v>
      </c>
      <c r="J5817">
        <v>2</v>
      </c>
      <c r="K5817">
        <v>14</v>
      </c>
    </row>
    <row r="5818" spans="1:11">
      <c r="A5818">
        <v>90</v>
      </c>
      <c r="B5818" t="b">
        <v>0</v>
      </c>
      <c r="C5818" t="s">
        <v>43321</v>
      </c>
      <c r="D5818">
        <v>1037022454355</v>
      </c>
      <c r="E5818">
        <v>1</v>
      </c>
      <c r="F5818">
        <v>6140309576</v>
      </c>
      <c r="G5818">
        <v>3995000</v>
      </c>
      <c r="H5818" t="s">
        <v>40293</v>
      </c>
      <c r="I5818">
        <v>43555</v>
      </c>
      <c r="J5818">
        <v>5</v>
      </c>
      <c r="K5818">
        <v>8</v>
      </c>
    </row>
    <row r="5819" spans="1:11">
      <c r="A5819">
        <v>90</v>
      </c>
      <c r="B5819" t="b">
        <v>0</v>
      </c>
      <c r="C5819" t="s">
        <v>43152</v>
      </c>
      <c r="D5819">
        <v>1037022454355</v>
      </c>
      <c r="E5819">
        <v>1</v>
      </c>
      <c r="F5819">
        <v>6146203254</v>
      </c>
      <c r="G5819">
        <v>3993000</v>
      </c>
      <c r="H5819" t="s">
        <v>40293</v>
      </c>
      <c r="I5819">
        <v>43555</v>
      </c>
      <c r="J5819">
        <v>1</v>
      </c>
      <c r="K5819">
        <v>1</v>
      </c>
    </row>
    <row r="5820" spans="1:11">
      <c r="A5820">
        <v>90</v>
      </c>
      <c r="B5820" t="b">
        <v>0</v>
      </c>
      <c r="C5820" t="s">
        <v>46425</v>
      </c>
      <c r="D5820">
        <v>1037022454355</v>
      </c>
      <c r="E5820">
        <v>1</v>
      </c>
      <c r="F5820">
        <v>6134135299</v>
      </c>
      <c r="G5820">
        <v>3295000</v>
      </c>
      <c r="H5820" t="s">
        <v>40293</v>
      </c>
      <c r="I5820">
        <v>43555</v>
      </c>
      <c r="J5820">
        <v>6</v>
      </c>
      <c r="K5820">
        <v>25</v>
      </c>
    </row>
    <row r="5821" spans="1:11">
      <c r="A5821">
        <v>90</v>
      </c>
      <c r="B5821" t="b">
        <v>0</v>
      </c>
      <c r="C5821" t="s">
        <v>46003</v>
      </c>
      <c r="D5821">
        <v>1037022454355</v>
      </c>
      <c r="E5821">
        <v>1</v>
      </c>
      <c r="F5821">
        <v>6148809301</v>
      </c>
      <c r="G5821">
        <v>3293000</v>
      </c>
      <c r="H5821" t="s">
        <v>40293</v>
      </c>
      <c r="I5821">
        <v>43555</v>
      </c>
      <c r="J5821">
        <v>3</v>
      </c>
      <c r="K5821">
        <v>22</v>
      </c>
    </row>
    <row r="5822" spans="1:11">
      <c r="A5822">
        <v>90</v>
      </c>
      <c r="B5822" t="b">
        <v>0</v>
      </c>
      <c r="C5822" t="s">
        <v>40630</v>
      </c>
      <c r="D5822">
        <v>1037022454355</v>
      </c>
      <c r="E5822">
        <v>1</v>
      </c>
      <c r="F5822">
        <v>6119933169</v>
      </c>
      <c r="G5822">
        <v>4399000</v>
      </c>
      <c r="H5822" t="s">
        <v>40293</v>
      </c>
      <c r="I5822">
        <v>43556</v>
      </c>
      <c r="J5822">
        <v>3</v>
      </c>
      <c r="K5822">
        <v>5</v>
      </c>
    </row>
    <row r="5823" spans="1:11">
      <c r="A5823">
        <v>90</v>
      </c>
      <c r="B5823" t="b">
        <v>0</v>
      </c>
      <c r="C5823" t="s">
        <v>41588</v>
      </c>
      <c r="D5823">
        <v>1037022454355</v>
      </c>
      <c r="E5823">
        <v>1</v>
      </c>
      <c r="F5823">
        <v>6123515965</v>
      </c>
      <c r="G5823">
        <v>3997000</v>
      </c>
      <c r="H5823" t="s">
        <v>40293</v>
      </c>
      <c r="I5823">
        <v>43556</v>
      </c>
      <c r="J5823">
        <v>1</v>
      </c>
      <c r="K5823">
        <v>1</v>
      </c>
    </row>
    <row r="5824" spans="1:11">
      <c r="A5824">
        <v>90</v>
      </c>
      <c r="B5824" t="b">
        <v>0</v>
      </c>
      <c r="C5824" t="s">
        <v>40727</v>
      </c>
      <c r="D5824">
        <v>1037022454355</v>
      </c>
      <c r="E5824">
        <v>1</v>
      </c>
      <c r="F5824">
        <v>6124938629</v>
      </c>
      <c r="G5824">
        <v>3334000</v>
      </c>
      <c r="H5824" t="s">
        <v>40293</v>
      </c>
      <c r="I5824">
        <v>43556</v>
      </c>
      <c r="J5824">
        <v>2</v>
      </c>
      <c r="K5824">
        <v>2</v>
      </c>
    </row>
    <row r="5825" spans="1:11">
      <c r="A5825">
        <v>90</v>
      </c>
      <c r="B5825" t="b">
        <v>0</v>
      </c>
      <c r="C5825" t="s">
        <v>43202</v>
      </c>
      <c r="D5825">
        <v>1037022454355</v>
      </c>
      <c r="E5825">
        <v>1</v>
      </c>
      <c r="F5825">
        <v>6138242114</v>
      </c>
      <c r="G5825">
        <v>3041000</v>
      </c>
      <c r="H5825" t="s">
        <v>40293</v>
      </c>
      <c r="I5825">
        <v>43556</v>
      </c>
      <c r="J5825">
        <v>49</v>
      </c>
      <c r="K5825">
        <v>66</v>
      </c>
    </row>
    <row r="5826" spans="1:11">
      <c r="A5826">
        <v>90</v>
      </c>
      <c r="B5826" t="b">
        <v>0</v>
      </c>
      <c r="C5826" t="s">
        <v>46418</v>
      </c>
      <c r="D5826">
        <v>1037022454355</v>
      </c>
      <c r="E5826">
        <v>1</v>
      </c>
      <c r="F5826">
        <v>6134135212</v>
      </c>
      <c r="G5826">
        <v>3035000</v>
      </c>
      <c r="H5826" t="s">
        <v>40293</v>
      </c>
      <c r="I5826">
        <v>43556</v>
      </c>
      <c r="J5826">
        <v>10</v>
      </c>
      <c r="K5826">
        <v>25</v>
      </c>
    </row>
    <row r="5827" spans="1:11">
      <c r="A5827">
        <v>90</v>
      </c>
      <c r="B5827" t="b">
        <v>0</v>
      </c>
      <c r="C5827" t="s">
        <v>45899</v>
      </c>
      <c r="D5827">
        <v>1037022454355</v>
      </c>
      <c r="E5827">
        <v>1</v>
      </c>
      <c r="F5827">
        <v>6153592159</v>
      </c>
      <c r="G5827">
        <v>3000000</v>
      </c>
      <c r="H5827" t="s">
        <v>40293</v>
      </c>
      <c r="I5827">
        <v>43556</v>
      </c>
      <c r="J5827">
        <v>8</v>
      </c>
      <c r="K5827">
        <v>12</v>
      </c>
    </row>
    <row r="5828" spans="1:11">
      <c r="A5828">
        <v>90</v>
      </c>
      <c r="B5828" t="b">
        <v>0</v>
      </c>
      <c r="C5828" t="s">
        <v>40430</v>
      </c>
      <c r="D5828">
        <v>1037022454355</v>
      </c>
      <c r="E5828">
        <v>1</v>
      </c>
      <c r="F5828">
        <v>6112578970</v>
      </c>
      <c r="G5828">
        <v>591500000</v>
      </c>
      <c r="H5828" t="s">
        <v>40293</v>
      </c>
      <c r="I5828">
        <v>43681</v>
      </c>
      <c r="J5828">
        <v>2</v>
      </c>
      <c r="K5828">
        <v>2</v>
      </c>
    </row>
    <row r="5829" spans="1:11">
      <c r="A5829">
        <v>90</v>
      </c>
      <c r="B5829" t="b">
        <v>0</v>
      </c>
      <c r="C5829" t="s">
        <v>41225</v>
      </c>
      <c r="D5829">
        <v>1037022454355</v>
      </c>
      <c r="E5829">
        <v>1</v>
      </c>
      <c r="F5829">
        <v>6114627720</v>
      </c>
      <c r="G5829">
        <v>576000000</v>
      </c>
      <c r="H5829" t="s">
        <v>40293</v>
      </c>
      <c r="I5829">
        <v>43681</v>
      </c>
      <c r="J5829">
        <v>5</v>
      </c>
      <c r="K5829">
        <v>5</v>
      </c>
    </row>
    <row r="5830" spans="1:11">
      <c r="A5830">
        <v>90</v>
      </c>
      <c r="B5830" t="b">
        <v>0</v>
      </c>
      <c r="C5830" t="s">
        <v>41048</v>
      </c>
      <c r="D5830">
        <v>1037022454355</v>
      </c>
      <c r="E5830">
        <v>1</v>
      </c>
      <c r="F5830">
        <v>6119899865</v>
      </c>
      <c r="G5830">
        <v>572000000</v>
      </c>
      <c r="H5830" t="s">
        <v>40293</v>
      </c>
      <c r="I5830">
        <v>43681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42336</v>
      </c>
      <c r="D5831">
        <v>1037022454355</v>
      </c>
      <c r="E5831">
        <v>1</v>
      </c>
      <c r="F5831">
        <v>6074633212</v>
      </c>
      <c r="G5831">
        <v>570500000</v>
      </c>
      <c r="H5831" t="s">
        <v>40293</v>
      </c>
      <c r="I5831">
        <v>43681</v>
      </c>
      <c r="J5831">
        <v>5</v>
      </c>
      <c r="K5831">
        <v>20</v>
      </c>
    </row>
    <row r="5832" spans="1:11">
      <c r="A5832">
        <v>30</v>
      </c>
      <c r="B5832" t="b">
        <v>0</v>
      </c>
      <c r="C5832" t="s">
        <v>43284</v>
      </c>
      <c r="D5832">
        <v>1037022454355</v>
      </c>
      <c r="E5832">
        <v>1</v>
      </c>
      <c r="F5832">
        <v>6113733777</v>
      </c>
      <c r="G5832">
        <v>570200000</v>
      </c>
      <c r="H5832" t="s">
        <v>40293</v>
      </c>
      <c r="I5832">
        <v>43681</v>
      </c>
      <c r="J5832">
        <v>3</v>
      </c>
      <c r="K5832">
        <v>5</v>
      </c>
    </row>
    <row r="5833" spans="1:11">
      <c r="A5833">
        <v>90</v>
      </c>
      <c r="B5833" t="b">
        <v>0</v>
      </c>
      <c r="C5833" t="s">
        <v>45221</v>
      </c>
      <c r="D5833">
        <v>1037022454355</v>
      </c>
      <c r="E5833">
        <v>1</v>
      </c>
      <c r="F5833">
        <v>6151978320</v>
      </c>
      <c r="G5833">
        <v>570100000</v>
      </c>
      <c r="H5833" t="s">
        <v>40293</v>
      </c>
      <c r="I5833">
        <v>43681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45397</v>
      </c>
      <c r="D5834">
        <v>1037022454355</v>
      </c>
      <c r="E5834">
        <v>1</v>
      </c>
      <c r="F5834">
        <v>6156514926</v>
      </c>
      <c r="G5834">
        <v>570000000</v>
      </c>
      <c r="H5834" t="s">
        <v>40293</v>
      </c>
      <c r="I5834">
        <v>43681</v>
      </c>
      <c r="J5834">
        <v>5</v>
      </c>
      <c r="K5834">
        <v>5</v>
      </c>
    </row>
    <row r="5835" spans="1:11">
      <c r="A5835">
        <v>90</v>
      </c>
      <c r="B5835" t="b">
        <v>0</v>
      </c>
      <c r="C5835" t="s">
        <v>43702</v>
      </c>
      <c r="D5835">
        <v>1037022454355</v>
      </c>
      <c r="E5835">
        <v>1</v>
      </c>
      <c r="F5835">
        <v>6140878852</v>
      </c>
      <c r="G5835">
        <v>35000000</v>
      </c>
      <c r="H5835" t="s">
        <v>40293</v>
      </c>
      <c r="I5835">
        <v>43694</v>
      </c>
      <c r="J5835">
        <v>10</v>
      </c>
      <c r="K5835">
        <v>10</v>
      </c>
    </row>
    <row r="5836" spans="1:11">
      <c r="A5836">
        <v>90</v>
      </c>
      <c r="B5836" t="b">
        <v>0</v>
      </c>
      <c r="C5836" t="s">
        <v>41756</v>
      </c>
      <c r="D5836">
        <v>1037022454355</v>
      </c>
      <c r="E5836">
        <v>1</v>
      </c>
      <c r="F5836">
        <v>6118309726</v>
      </c>
      <c r="G5836">
        <v>35000000</v>
      </c>
      <c r="H5836" t="s">
        <v>40293</v>
      </c>
      <c r="I5836">
        <v>43694</v>
      </c>
      <c r="J5836">
        <v>10</v>
      </c>
      <c r="K5836">
        <v>10</v>
      </c>
    </row>
    <row r="5837" spans="1:11">
      <c r="A5837">
        <v>30</v>
      </c>
      <c r="B5837" t="b">
        <v>0</v>
      </c>
      <c r="C5837" t="s">
        <v>45464</v>
      </c>
      <c r="D5837">
        <v>1037022454355</v>
      </c>
      <c r="E5837">
        <v>1</v>
      </c>
      <c r="F5837">
        <v>6152341928</v>
      </c>
      <c r="G5837">
        <v>34900000</v>
      </c>
      <c r="H5837" t="s">
        <v>40293</v>
      </c>
      <c r="I5837">
        <v>43694</v>
      </c>
      <c r="J5837">
        <v>10</v>
      </c>
      <c r="K5837">
        <v>10</v>
      </c>
    </row>
    <row r="5838" spans="1:11">
      <c r="A5838">
        <v>90</v>
      </c>
      <c r="B5838" t="b">
        <v>0</v>
      </c>
      <c r="C5838" t="s">
        <v>41291</v>
      </c>
      <c r="D5838">
        <v>1037022454355</v>
      </c>
      <c r="E5838">
        <v>1</v>
      </c>
      <c r="F5838">
        <v>6123771016</v>
      </c>
      <c r="G5838">
        <v>34900000</v>
      </c>
      <c r="H5838" t="s">
        <v>40293</v>
      </c>
      <c r="I5838">
        <v>43694</v>
      </c>
      <c r="J5838">
        <v>2</v>
      </c>
      <c r="K5838">
        <v>60</v>
      </c>
    </row>
    <row r="5839" spans="1:11">
      <c r="A5839">
        <v>90</v>
      </c>
      <c r="B5839" t="b">
        <v>0</v>
      </c>
      <c r="C5839" t="s">
        <v>44112</v>
      </c>
      <c r="D5839">
        <v>1037022454355</v>
      </c>
      <c r="E5839">
        <v>1</v>
      </c>
      <c r="F5839">
        <v>6155502527</v>
      </c>
      <c r="G5839">
        <v>34890000</v>
      </c>
      <c r="H5839" t="s">
        <v>40293</v>
      </c>
      <c r="I5839">
        <v>43694</v>
      </c>
      <c r="J5839">
        <v>5</v>
      </c>
      <c r="K5839">
        <v>5</v>
      </c>
    </row>
    <row r="5840" spans="1:11">
      <c r="A5840">
        <v>90</v>
      </c>
      <c r="B5840" t="b">
        <v>0</v>
      </c>
      <c r="C5840" t="s">
        <v>40642</v>
      </c>
      <c r="D5840">
        <v>1037022454355</v>
      </c>
      <c r="E5840">
        <v>1</v>
      </c>
      <c r="F5840">
        <v>6107668114</v>
      </c>
      <c r="G5840">
        <v>196800</v>
      </c>
      <c r="H5840" t="s">
        <v>40293</v>
      </c>
      <c r="I5840">
        <v>43699</v>
      </c>
      <c r="J5840">
        <v>6</v>
      </c>
      <c r="K5840">
        <v>10</v>
      </c>
    </row>
    <row r="5841" spans="1:11">
      <c r="A5841">
        <v>90</v>
      </c>
      <c r="B5841" t="b">
        <v>0</v>
      </c>
      <c r="C5841" t="s">
        <v>45339</v>
      </c>
      <c r="D5841">
        <v>1037022454355</v>
      </c>
      <c r="E5841">
        <v>1</v>
      </c>
      <c r="F5841">
        <v>6152635345</v>
      </c>
      <c r="G5841">
        <v>176700</v>
      </c>
      <c r="H5841" t="s">
        <v>40293</v>
      </c>
      <c r="I5841">
        <v>43699</v>
      </c>
      <c r="J5841">
        <v>5</v>
      </c>
      <c r="K5841">
        <v>6</v>
      </c>
    </row>
    <row r="5842" spans="1:11">
      <c r="A5842">
        <v>90</v>
      </c>
      <c r="B5842" t="b">
        <v>0</v>
      </c>
      <c r="C5842" t="s">
        <v>41823</v>
      </c>
      <c r="D5842">
        <v>1037022454355</v>
      </c>
      <c r="E5842">
        <v>1</v>
      </c>
      <c r="F5842">
        <v>6127459385</v>
      </c>
      <c r="G5842">
        <v>5999000</v>
      </c>
      <c r="H5842" t="s">
        <v>40293</v>
      </c>
      <c r="I5842">
        <v>43700</v>
      </c>
      <c r="J5842">
        <v>8</v>
      </c>
      <c r="K5842">
        <v>30</v>
      </c>
    </row>
    <row r="5843" spans="1:11">
      <c r="A5843">
        <v>90</v>
      </c>
      <c r="B5843" t="b">
        <v>0</v>
      </c>
      <c r="C5843" t="s">
        <v>45339</v>
      </c>
      <c r="D5843">
        <v>1037022454355</v>
      </c>
      <c r="E5843">
        <v>1</v>
      </c>
      <c r="F5843">
        <v>6152635346</v>
      </c>
      <c r="G5843">
        <v>5999000</v>
      </c>
      <c r="H5843" t="s">
        <v>40293</v>
      </c>
      <c r="I5843">
        <v>43700</v>
      </c>
      <c r="J5843">
        <v>12</v>
      </c>
      <c r="K5843">
        <v>12</v>
      </c>
    </row>
    <row r="5844" spans="1:11">
      <c r="A5844">
        <v>90</v>
      </c>
      <c r="B5844" t="b">
        <v>0</v>
      </c>
      <c r="C5844" t="s">
        <v>45302</v>
      </c>
      <c r="D5844">
        <v>1037022454355</v>
      </c>
      <c r="E5844">
        <v>1</v>
      </c>
      <c r="F5844">
        <v>6149456397</v>
      </c>
      <c r="G5844">
        <v>100100000</v>
      </c>
      <c r="H5844" t="s">
        <v>40293</v>
      </c>
      <c r="I5844">
        <v>43851</v>
      </c>
      <c r="J5844">
        <v>1</v>
      </c>
      <c r="K5844">
        <v>1</v>
      </c>
    </row>
    <row r="5845" spans="1:11">
      <c r="A5845">
        <v>90</v>
      </c>
      <c r="B5845" t="b">
        <v>0</v>
      </c>
      <c r="C5845" t="s">
        <v>40660</v>
      </c>
      <c r="D5845">
        <v>1037022454355</v>
      </c>
      <c r="E5845">
        <v>1</v>
      </c>
      <c r="F5845">
        <v>6067855223</v>
      </c>
      <c r="G5845">
        <v>255700</v>
      </c>
      <c r="H5845" t="s">
        <v>40293</v>
      </c>
      <c r="I5845">
        <v>43894</v>
      </c>
      <c r="J5845">
        <v>94</v>
      </c>
      <c r="K5845">
        <v>161</v>
      </c>
    </row>
    <row r="5846" spans="1:11">
      <c r="A5846">
        <v>90</v>
      </c>
      <c r="B5846" t="b">
        <v>0</v>
      </c>
      <c r="C5846" t="s">
        <v>43673</v>
      </c>
      <c r="D5846">
        <v>1037022454355</v>
      </c>
      <c r="E5846">
        <v>1</v>
      </c>
      <c r="F5846">
        <v>6138256387</v>
      </c>
      <c r="G5846">
        <v>249600</v>
      </c>
      <c r="H5846" t="s">
        <v>40293</v>
      </c>
      <c r="I5846">
        <v>43894</v>
      </c>
      <c r="J5846">
        <v>370</v>
      </c>
      <c r="K5846">
        <v>377</v>
      </c>
    </row>
    <row r="5847" spans="1:11">
      <c r="A5847">
        <v>90</v>
      </c>
      <c r="B5847" t="b">
        <v>0</v>
      </c>
      <c r="C5847" t="s">
        <v>43366</v>
      </c>
      <c r="D5847">
        <v>1037022454355</v>
      </c>
      <c r="E5847">
        <v>1</v>
      </c>
      <c r="F5847">
        <v>6145498656</v>
      </c>
      <c r="G5847">
        <v>249500</v>
      </c>
      <c r="H5847" t="s">
        <v>40293</v>
      </c>
      <c r="I5847">
        <v>43894</v>
      </c>
      <c r="J5847">
        <v>1</v>
      </c>
      <c r="K5847">
        <v>13</v>
      </c>
    </row>
    <row r="5848" spans="1:11">
      <c r="A5848">
        <v>90</v>
      </c>
      <c r="B5848" t="b">
        <v>0</v>
      </c>
      <c r="C5848" t="s">
        <v>45599</v>
      </c>
      <c r="D5848">
        <v>1037022454355</v>
      </c>
      <c r="E5848">
        <v>1</v>
      </c>
      <c r="F5848">
        <v>6155653127</v>
      </c>
      <c r="G5848">
        <v>1001000</v>
      </c>
      <c r="H5848" t="s">
        <v>40293</v>
      </c>
      <c r="I5848">
        <v>43896</v>
      </c>
      <c r="J5848">
        <v>30</v>
      </c>
      <c r="K5848">
        <v>30</v>
      </c>
    </row>
    <row r="5849" spans="1:11">
      <c r="A5849">
        <v>90</v>
      </c>
      <c r="B5849" t="b">
        <v>0</v>
      </c>
      <c r="C5849" t="s">
        <v>40298</v>
      </c>
      <c r="D5849">
        <v>1037022454355</v>
      </c>
      <c r="E5849">
        <v>1</v>
      </c>
      <c r="F5849">
        <v>6119440394</v>
      </c>
      <c r="G5849">
        <v>1000000</v>
      </c>
      <c r="H5849" t="s">
        <v>40293</v>
      </c>
      <c r="I5849">
        <v>43896</v>
      </c>
      <c r="J5849">
        <v>5</v>
      </c>
      <c r="K5849">
        <v>50</v>
      </c>
    </row>
    <row r="5850" spans="1:11">
      <c r="A5850">
        <v>90</v>
      </c>
      <c r="B5850" t="b">
        <v>0</v>
      </c>
      <c r="C5850" t="s">
        <v>45210</v>
      </c>
      <c r="D5850">
        <v>1037022454355</v>
      </c>
      <c r="E5850">
        <v>1</v>
      </c>
      <c r="F5850">
        <v>6153420000</v>
      </c>
      <c r="G5850">
        <v>3497000000</v>
      </c>
      <c r="H5850" t="s">
        <v>40293</v>
      </c>
      <c r="I5850">
        <v>44102</v>
      </c>
      <c r="J5850">
        <v>3</v>
      </c>
      <c r="K5850">
        <v>3</v>
      </c>
    </row>
    <row r="5851" spans="1:11">
      <c r="A5851">
        <v>90</v>
      </c>
      <c r="B5851" t="b">
        <v>0</v>
      </c>
      <c r="C5851" t="s">
        <v>41472</v>
      </c>
      <c r="D5851">
        <v>1037022454355</v>
      </c>
      <c r="E5851">
        <v>1</v>
      </c>
      <c r="F5851">
        <v>6100739289</v>
      </c>
      <c r="G5851">
        <v>4100000</v>
      </c>
      <c r="H5851" t="s">
        <v>40293</v>
      </c>
      <c r="I5851">
        <v>44102</v>
      </c>
      <c r="J5851">
        <v>1</v>
      </c>
      <c r="K5851">
        <v>2</v>
      </c>
    </row>
    <row r="5852" spans="1:11">
      <c r="A5852">
        <v>90</v>
      </c>
      <c r="B5852" t="b">
        <v>0</v>
      </c>
      <c r="C5852" t="s">
        <v>45728</v>
      </c>
      <c r="D5852">
        <v>1037022454355</v>
      </c>
      <c r="E5852">
        <v>1</v>
      </c>
      <c r="F5852">
        <v>6152738375</v>
      </c>
      <c r="G5852">
        <v>4000000</v>
      </c>
      <c r="H5852" t="s">
        <v>40293</v>
      </c>
      <c r="I5852">
        <v>44102</v>
      </c>
      <c r="J5852">
        <v>12</v>
      </c>
      <c r="K5852">
        <v>18</v>
      </c>
    </row>
    <row r="5853" spans="1:11">
      <c r="A5853">
        <v>90</v>
      </c>
      <c r="B5853" t="b">
        <v>0</v>
      </c>
      <c r="C5853" t="s">
        <v>46023</v>
      </c>
      <c r="D5853">
        <v>1037022454355</v>
      </c>
      <c r="E5853">
        <v>1</v>
      </c>
      <c r="F5853">
        <v>6156739417</v>
      </c>
      <c r="G5853">
        <v>3999000</v>
      </c>
      <c r="H5853" t="s">
        <v>40293</v>
      </c>
      <c r="I5853">
        <v>44102</v>
      </c>
      <c r="J5853">
        <v>1</v>
      </c>
      <c r="K5853">
        <v>3</v>
      </c>
    </row>
    <row r="5854" spans="1:11">
      <c r="A5854">
        <v>30</v>
      </c>
      <c r="B5854" t="b">
        <v>0</v>
      </c>
      <c r="C5854" t="s">
        <v>43330</v>
      </c>
      <c r="D5854">
        <v>1037022454355</v>
      </c>
      <c r="E5854">
        <v>1</v>
      </c>
      <c r="F5854">
        <v>6144733506</v>
      </c>
      <c r="G5854">
        <v>100000</v>
      </c>
      <c r="H5854" t="s">
        <v>40293</v>
      </c>
      <c r="I5854">
        <v>44260</v>
      </c>
      <c r="J5854">
        <v>300</v>
      </c>
      <c r="K5854">
        <v>300</v>
      </c>
    </row>
    <row r="5855" spans="1:11">
      <c r="A5855">
        <v>90</v>
      </c>
      <c r="B5855" t="b">
        <v>0</v>
      </c>
      <c r="C5855" t="s">
        <v>42295</v>
      </c>
      <c r="D5855">
        <v>1037022454355</v>
      </c>
      <c r="E5855">
        <v>1</v>
      </c>
      <c r="F5855">
        <v>6137178886</v>
      </c>
      <c r="G5855">
        <v>90000</v>
      </c>
      <c r="H5855" t="s">
        <v>40293</v>
      </c>
      <c r="I5855">
        <v>44263</v>
      </c>
      <c r="J5855">
        <v>300</v>
      </c>
      <c r="K5855">
        <v>300</v>
      </c>
    </row>
    <row r="5856" spans="1:11">
      <c r="A5856">
        <v>90</v>
      </c>
      <c r="B5856" t="b">
        <v>0</v>
      </c>
      <c r="C5856" t="s">
        <v>43217</v>
      </c>
      <c r="D5856">
        <v>1037022454355</v>
      </c>
      <c r="E5856">
        <v>1</v>
      </c>
      <c r="F5856">
        <v>6143911702</v>
      </c>
      <c r="G5856">
        <v>88890</v>
      </c>
      <c r="H5856" t="s">
        <v>40293</v>
      </c>
      <c r="I5856">
        <v>44263</v>
      </c>
      <c r="J5856">
        <v>501</v>
      </c>
      <c r="K5856">
        <v>501</v>
      </c>
    </row>
    <row r="5857" spans="1:11">
      <c r="A5857">
        <v>30</v>
      </c>
      <c r="B5857" t="b">
        <v>0</v>
      </c>
      <c r="C5857" t="s">
        <v>43330</v>
      </c>
      <c r="D5857">
        <v>1037022454355</v>
      </c>
      <c r="E5857">
        <v>1</v>
      </c>
      <c r="F5857">
        <v>6144733510</v>
      </c>
      <c r="G5857">
        <v>88880</v>
      </c>
      <c r="H5857" t="s">
        <v>40293</v>
      </c>
      <c r="I5857">
        <v>44263</v>
      </c>
      <c r="J5857">
        <v>300</v>
      </c>
      <c r="K5857">
        <v>300</v>
      </c>
    </row>
    <row r="5858" spans="1:11">
      <c r="A5858">
        <v>90</v>
      </c>
      <c r="B5858" t="b">
        <v>0</v>
      </c>
      <c r="C5858" t="s">
        <v>44091</v>
      </c>
      <c r="D5858">
        <v>1037022454355</v>
      </c>
      <c r="E5858">
        <v>1</v>
      </c>
      <c r="F5858">
        <v>6108676768</v>
      </c>
      <c r="G5858">
        <v>85000</v>
      </c>
      <c r="H5858" t="s">
        <v>40293</v>
      </c>
      <c r="I5858">
        <v>44263</v>
      </c>
      <c r="J5858">
        <v>225</v>
      </c>
      <c r="K5858">
        <v>300</v>
      </c>
    </row>
    <row r="5859" spans="1:11">
      <c r="A5859">
        <v>30</v>
      </c>
      <c r="B5859" t="b">
        <v>0</v>
      </c>
      <c r="C5859" t="s">
        <v>43330</v>
      </c>
      <c r="D5859">
        <v>1037022454355</v>
      </c>
      <c r="E5859">
        <v>1</v>
      </c>
      <c r="F5859">
        <v>6144733507</v>
      </c>
      <c r="G5859">
        <v>100000</v>
      </c>
      <c r="H5859" t="s">
        <v>40293</v>
      </c>
      <c r="I5859">
        <v>44268</v>
      </c>
      <c r="J5859">
        <v>200</v>
      </c>
      <c r="K5859">
        <v>200</v>
      </c>
    </row>
    <row r="5860" spans="1:11">
      <c r="A5860">
        <v>30</v>
      </c>
      <c r="B5860" t="b">
        <v>0</v>
      </c>
      <c r="C5860" t="s">
        <v>43719</v>
      </c>
      <c r="D5860">
        <v>1037022454355</v>
      </c>
      <c r="E5860">
        <v>1</v>
      </c>
      <c r="F5860">
        <v>6144713196</v>
      </c>
      <c r="G5860">
        <v>100000</v>
      </c>
      <c r="H5860" t="s">
        <v>40293</v>
      </c>
      <c r="I5860">
        <v>44270</v>
      </c>
      <c r="J5860">
        <v>650</v>
      </c>
      <c r="K5860">
        <v>650</v>
      </c>
    </row>
    <row r="5861" spans="1:11">
      <c r="A5861">
        <v>90</v>
      </c>
      <c r="B5861" t="b">
        <v>0</v>
      </c>
      <c r="C5861" t="s">
        <v>45500</v>
      </c>
      <c r="D5861">
        <v>1037022454355</v>
      </c>
      <c r="E5861">
        <v>1</v>
      </c>
      <c r="F5861">
        <v>6152538896</v>
      </c>
      <c r="G5861">
        <v>3200000</v>
      </c>
      <c r="H5861" t="s">
        <v>40293</v>
      </c>
      <c r="I5861">
        <v>44992</v>
      </c>
      <c r="J5861">
        <v>75</v>
      </c>
      <c r="K5861">
        <v>500</v>
      </c>
    </row>
    <row r="5862" spans="1:11">
      <c r="A5862">
        <v>14</v>
      </c>
      <c r="B5862" t="b">
        <v>0</v>
      </c>
      <c r="C5862" t="s">
        <v>46162</v>
      </c>
      <c r="D5862">
        <v>1037022454355</v>
      </c>
      <c r="E5862">
        <v>1</v>
      </c>
      <c r="F5862">
        <v>6156184476</v>
      </c>
      <c r="G5862">
        <v>3045000</v>
      </c>
      <c r="H5862" t="s">
        <v>40293</v>
      </c>
      <c r="I5862">
        <v>44992</v>
      </c>
      <c r="J5862">
        <v>180</v>
      </c>
      <c r="K5862">
        <v>280</v>
      </c>
    </row>
    <row r="5863" spans="1:11">
      <c r="A5863">
        <v>90</v>
      </c>
      <c r="B5863" t="b">
        <v>0</v>
      </c>
      <c r="C5863" t="s">
        <v>45620</v>
      </c>
      <c r="D5863">
        <v>1037022454355</v>
      </c>
      <c r="E5863">
        <v>1</v>
      </c>
      <c r="F5863">
        <v>6157095132</v>
      </c>
      <c r="G5863">
        <v>3044000</v>
      </c>
      <c r="H5863" t="s">
        <v>40293</v>
      </c>
      <c r="I5863">
        <v>44992</v>
      </c>
      <c r="J5863">
        <v>250</v>
      </c>
      <c r="K5863">
        <v>250</v>
      </c>
    </row>
    <row r="5864" spans="1:11">
      <c r="A5864">
        <v>90</v>
      </c>
      <c r="B5864" t="b">
        <v>0</v>
      </c>
      <c r="C5864" t="s">
        <v>45622</v>
      </c>
      <c r="D5864">
        <v>1037022454355</v>
      </c>
      <c r="E5864">
        <v>1</v>
      </c>
      <c r="F5864">
        <v>6157095161</v>
      </c>
      <c r="G5864">
        <v>3044000</v>
      </c>
      <c r="H5864" t="s">
        <v>40293</v>
      </c>
      <c r="I5864">
        <v>44992</v>
      </c>
      <c r="J5864">
        <v>250</v>
      </c>
      <c r="K5864">
        <v>250</v>
      </c>
    </row>
    <row r="5865" spans="1:11">
      <c r="A5865">
        <v>90</v>
      </c>
      <c r="B5865" t="b">
        <v>0</v>
      </c>
      <c r="C5865" t="s">
        <v>42725</v>
      </c>
      <c r="D5865">
        <v>1037022454355</v>
      </c>
      <c r="E5865">
        <v>1</v>
      </c>
      <c r="F5865">
        <v>6132982107</v>
      </c>
      <c r="G5865">
        <v>209000</v>
      </c>
      <c r="H5865" t="s">
        <v>40293</v>
      </c>
      <c r="I5865">
        <v>45010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42665</v>
      </c>
      <c r="D5866">
        <v>1037022454355</v>
      </c>
      <c r="E5866">
        <v>1</v>
      </c>
      <c r="F5866">
        <v>6137597368</v>
      </c>
      <c r="G5866">
        <v>70000</v>
      </c>
      <c r="H5866" t="s">
        <v>40293</v>
      </c>
      <c r="I5866">
        <v>45010</v>
      </c>
      <c r="J5866">
        <v>107</v>
      </c>
      <c r="K5866">
        <v>109</v>
      </c>
    </row>
    <row r="5867" spans="1:11">
      <c r="A5867">
        <v>90</v>
      </c>
      <c r="B5867" t="b">
        <v>0</v>
      </c>
      <c r="C5867" t="s">
        <v>43408</v>
      </c>
      <c r="D5867">
        <v>1037022454355</v>
      </c>
      <c r="E5867">
        <v>1</v>
      </c>
      <c r="F5867">
        <v>6139132263</v>
      </c>
      <c r="G5867">
        <v>479500000</v>
      </c>
      <c r="H5867" t="s">
        <v>40293</v>
      </c>
      <c r="I5867">
        <v>45534</v>
      </c>
      <c r="J5867">
        <v>1</v>
      </c>
      <c r="K5867">
        <v>1</v>
      </c>
    </row>
    <row r="5868" spans="1:11">
      <c r="A5868">
        <v>90</v>
      </c>
      <c r="B5868" t="b">
        <v>0</v>
      </c>
      <c r="C5868" t="s">
        <v>45793</v>
      </c>
      <c r="D5868">
        <v>1037022454355</v>
      </c>
      <c r="E5868">
        <v>1</v>
      </c>
      <c r="F5868">
        <v>6154017084</v>
      </c>
      <c r="G5868">
        <v>479400000</v>
      </c>
      <c r="H5868" t="s">
        <v>40293</v>
      </c>
      <c r="I5868">
        <v>45534</v>
      </c>
      <c r="J5868">
        <v>2</v>
      </c>
      <c r="K5868">
        <v>2</v>
      </c>
    </row>
    <row r="5869" spans="1:11">
      <c r="A5869">
        <v>90</v>
      </c>
      <c r="B5869" t="b">
        <v>0</v>
      </c>
      <c r="C5869" t="s">
        <v>45422</v>
      </c>
      <c r="D5869">
        <v>1037022454355</v>
      </c>
      <c r="E5869">
        <v>1</v>
      </c>
      <c r="F5869">
        <v>6135564216</v>
      </c>
      <c r="G5869">
        <v>53930000</v>
      </c>
      <c r="H5869" t="s">
        <v>40293</v>
      </c>
      <c r="I5869">
        <v>45589</v>
      </c>
      <c r="J5869">
        <v>1</v>
      </c>
      <c r="K5869">
        <v>3</v>
      </c>
    </row>
    <row r="5870" spans="1:11">
      <c r="A5870">
        <v>90</v>
      </c>
      <c r="B5870" t="b">
        <v>0</v>
      </c>
      <c r="C5870" t="s">
        <v>45485</v>
      </c>
      <c r="D5870">
        <v>1037022454355</v>
      </c>
      <c r="E5870">
        <v>1</v>
      </c>
      <c r="F5870">
        <v>6143888034</v>
      </c>
      <c r="G5870">
        <v>53910000</v>
      </c>
      <c r="H5870" t="s">
        <v>40293</v>
      </c>
      <c r="I5870">
        <v>45589</v>
      </c>
      <c r="J5870">
        <v>1</v>
      </c>
      <c r="K5870">
        <v>1</v>
      </c>
    </row>
    <row r="5871" spans="1:11">
      <c r="A5871">
        <v>90</v>
      </c>
      <c r="B5871" t="b">
        <v>0</v>
      </c>
      <c r="C5871" t="s">
        <v>44460</v>
      </c>
      <c r="D5871">
        <v>1037022454355</v>
      </c>
      <c r="E5871">
        <v>1</v>
      </c>
      <c r="F5871">
        <v>6153393327</v>
      </c>
      <c r="G5871">
        <v>53900000</v>
      </c>
      <c r="H5871" t="s">
        <v>40293</v>
      </c>
      <c r="I5871">
        <v>45589</v>
      </c>
      <c r="J5871">
        <v>2</v>
      </c>
      <c r="K5871">
        <v>2</v>
      </c>
    </row>
    <row r="5872" spans="1:11">
      <c r="A5872">
        <v>90</v>
      </c>
      <c r="B5872" t="b">
        <v>0</v>
      </c>
      <c r="C5872" t="s">
        <v>45472</v>
      </c>
      <c r="D5872">
        <v>1037022454355</v>
      </c>
      <c r="E5872">
        <v>1</v>
      </c>
      <c r="F5872">
        <v>6150834737</v>
      </c>
      <c r="G5872">
        <v>53890000</v>
      </c>
      <c r="H5872" t="s">
        <v>40293</v>
      </c>
      <c r="I5872">
        <v>45589</v>
      </c>
      <c r="J5872">
        <v>1</v>
      </c>
      <c r="K5872">
        <v>3</v>
      </c>
    </row>
    <row r="5873" spans="1:11">
      <c r="A5873">
        <v>90</v>
      </c>
      <c r="B5873" t="b">
        <v>0</v>
      </c>
      <c r="C5873" t="s">
        <v>45436</v>
      </c>
      <c r="D5873">
        <v>1037022454355</v>
      </c>
      <c r="E5873">
        <v>1</v>
      </c>
      <c r="F5873">
        <v>6135564348</v>
      </c>
      <c r="G5873">
        <v>45970000</v>
      </c>
      <c r="H5873" t="s">
        <v>40293</v>
      </c>
      <c r="I5873">
        <v>45590</v>
      </c>
      <c r="J5873">
        <v>2</v>
      </c>
      <c r="K5873">
        <v>3</v>
      </c>
    </row>
    <row r="5874" spans="1:11">
      <c r="A5874">
        <v>90</v>
      </c>
      <c r="B5874" t="b">
        <v>0</v>
      </c>
      <c r="C5874" t="s">
        <v>41141</v>
      </c>
      <c r="D5874">
        <v>1037022454355</v>
      </c>
      <c r="E5874">
        <v>1</v>
      </c>
      <c r="F5874">
        <v>6119934516</v>
      </c>
      <c r="G5874">
        <v>54970000</v>
      </c>
      <c r="H5874" t="s">
        <v>40293</v>
      </c>
      <c r="I5874">
        <v>45591</v>
      </c>
      <c r="J5874">
        <v>1</v>
      </c>
      <c r="K5874">
        <v>1</v>
      </c>
    </row>
    <row r="5875" spans="1:11">
      <c r="A5875">
        <v>90</v>
      </c>
      <c r="B5875" t="b">
        <v>0</v>
      </c>
      <c r="C5875" t="s">
        <v>42373</v>
      </c>
      <c r="D5875">
        <v>1037022454355</v>
      </c>
      <c r="E5875">
        <v>1</v>
      </c>
      <c r="F5875">
        <v>6112581246</v>
      </c>
      <c r="G5875">
        <v>53450000</v>
      </c>
      <c r="H5875" t="s">
        <v>40293</v>
      </c>
      <c r="I5875">
        <v>45591</v>
      </c>
      <c r="J5875">
        <v>2</v>
      </c>
      <c r="K5875">
        <v>3</v>
      </c>
    </row>
    <row r="5876" spans="1:11">
      <c r="A5876">
        <v>90</v>
      </c>
      <c r="B5876" t="b">
        <v>0</v>
      </c>
      <c r="C5876" t="s">
        <v>45929</v>
      </c>
      <c r="D5876">
        <v>1037022454355</v>
      </c>
      <c r="E5876">
        <v>1</v>
      </c>
      <c r="F5876">
        <v>6147268239</v>
      </c>
      <c r="G5876">
        <v>53420000</v>
      </c>
      <c r="H5876" t="s">
        <v>40293</v>
      </c>
      <c r="I5876">
        <v>45591</v>
      </c>
      <c r="J5876">
        <v>6</v>
      </c>
      <c r="K5876">
        <v>6</v>
      </c>
    </row>
    <row r="5877" spans="1:11">
      <c r="A5877">
        <v>90</v>
      </c>
      <c r="B5877" t="b">
        <v>0</v>
      </c>
      <c r="C5877" t="s">
        <v>45413</v>
      </c>
      <c r="D5877">
        <v>1037022454355</v>
      </c>
      <c r="E5877">
        <v>1</v>
      </c>
      <c r="F5877">
        <v>6135564077</v>
      </c>
      <c r="G5877">
        <v>53410000</v>
      </c>
      <c r="H5877" t="s">
        <v>40293</v>
      </c>
      <c r="I5877">
        <v>45591</v>
      </c>
      <c r="J5877">
        <v>2</v>
      </c>
      <c r="K5877">
        <v>3</v>
      </c>
    </row>
    <row r="5878" spans="1:11">
      <c r="A5878">
        <v>90</v>
      </c>
      <c r="B5878" t="b">
        <v>0</v>
      </c>
      <c r="C5878" t="s">
        <v>43372</v>
      </c>
      <c r="D5878">
        <v>1037022454355</v>
      </c>
      <c r="E5878">
        <v>1</v>
      </c>
      <c r="F5878">
        <v>6141916449</v>
      </c>
      <c r="G5878">
        <v>45000000</v>
      </c>
      <c r="H5878" t="s">
        <v>40293</v>
      </c>
      <c r="I5878">
        <v>45592</v>
      </c>
      <c r="J5878">
        <v>1</v>
      </c>
      <c r="K5878">
        <v>1</v>
      </c>
    </row>
    <row r="5879" spans="1:11">
      <c r="A5879">
        <v>90</v>
      </c>
      <c r="B5879" t="b">
        <v>0</v>
      </c>
      <c r="C5879" t="s">
        <v>42225</v>
      </c>
      <c r="D5879">
        <v>1037022454355</v>
      </c>
      <c r="E5879">
        <v>1</v>
      </c>
      <c r="F5879">
        <v>6129417437</v>
      </c>
      <c r="G5879">
        <v>54750000</v>
      </c>
      <c r="H5879" t="s">
        <v>40293</v>
      </c>
      <c r="I5879">
        <v>45595</v>
      </c>
      <c r="J5879">
        <v>1</v>
      </c>
      <c r="K5879">
        <v>1</v>
      </c>
    </row>
    <row r="5880" spans="1:11">
      <c r="A5880">
        <v>90</v>
      </c>
      <c r="B5880" t="b">
        <v>0</v>
      </c>
      <c r="C5880" t="s">
        <v>45682</v>
      </c>
      <c r="D5880">
        <v>1037022454355</v>
      </c>
      <c r="E5880">
        <v>1</v>
      </c>
      <c r="F5880">
        <v>6153393234</v>
      </c>
      <c r="G5880">
        <v>54690000</v>
      </c>
      <c r="H5880" t="s">
        <v>40293</v>
      </c>
      <c r="I5880">
        <v>45595</v>
      </c>
      <c r="J5880">
        <v>1</v>
      </c>
      <c r="K5880">
        <v>2</v>
      </c>
    </row>
    <row r="5881" spans="1:11">
      <c r="A5881">
        <v>90</v>
      </c>
      <c r="B5881" t="b">
        <v>0</v>
      </c>
      <c r="C5881" t="s">
        <v>41278</v>
      </c>
      <c r="D5881">
        <v>1037022454355</v>
      </c>
      <c r="E5881">
        <v>1</v>
      </c>
      <c r="F5881">
        <v>6074651630</v>
      </c>
      <c r="G5881">
        <v>59960000</v>
      </c>
      <c r="H5881" t="s">
        <v>40293</v>
      </c>
      <c r="I5881">
        <v>45597</v>
      </c>
      <c r="J5881">
        <v>1</v>
      </c>
      <c r="K5881">
        <v>5</v>
      </c>
    </row>
    <row r="5882" spans="1:11">
      <c r="A5882">
        <v>90</v>
      </c>
      <c r="B5882" t="b">
        <v>0</v>
      </c>
      <c r="C5882" t="s">
        <v>42169</v>
      </c>
      <c r="D5882">
        <v>1037022454355</v>
      </c>
      <c r="E5882">
        <v>1</v>
      </c>
      <c r="F5882">
        <v>6129417507</v>
      </c>
      <c r="G5882">
        <v>58990000</v>
      </c>
      <c r="H5882" t="s">
        <v>40293</v>
      </c>
      <c r="I5882">
        <v>45597</v>
      </c>
      <c r="J5882">
        <v>1</v>
      </c>
      <c r="K5882">
        <v>1</v>
      </c>
    </row>
    <row r="5883" spans="1:11">
      <c r="A5883">
        <v>90</v>
      </c>
      <c r="B5883" t="b">
        <v>0</v>
      </c>
      <c r="C5883" t="s">
        <v>42096</v>
      </c>
      <c r="D5883">
        <v>1037022454355</v>
      </c>
      <c r="E5883">
        <v>1</v>
      </c>
      <c r="F5883">
        <v>6131133523</v>
      </c>
      <c r="G5883">
        <v>58980000</v>
      </c>
      <c r="H5883" t="s">
        <v>40293</v>
      </c>
      <c r="I5883">
        <v>45597</v>
      </c>
      <c r="J5883">
        <v>3</v>
      </c>
      <c r="K5883">
        <v>4</v>
      </c>
    </row>
    <row r="5884" spans="1:11">
      <c r="A5884">
        <v>90</v>
      </c>
      <c r="B5884" t="b">
        <v>0</v>
      </c>
      <c r="C5884" t="s">
        <v>41014</v>
      </c>
      <c r="D5884">
        <v>1037022454355</v>
      </c>
      <c r="E5884">
        <v>1</v>
      </c>
      <c r="F5884">
        <v>6119934636</v>
      </c>
      <c r="G5884">
        <v>66100000</v>
      </c>
      <c r="H5884" t="s">
        <v>40293</v>
      </c>
      <c r="I5884">
        <v>45601</v>
      </c>
      <c r="J5884">
        <v>1</v>
      </c>
      <c r="K5884">
        <v>1</v>
      </c>
    </row>
    <row r="5885" spans="1:11">
      <c r="A5885">
        <v>90</v>
      </c>
      <c r="B5885" t="b">
        <v>0</v>
      </c>
      <c r="C5885" t="s">
        <v>42124</v>
      </c>
      <c r="D5885">
        <v>1037022454355</v>
      </c>
      <c r="E5885">
        <v>1</v>
      </c>
      <c r="F5885">
        <v>6112581008</v>
      </c>
      <c r="G5885">
        <v>66010000</v>
      </c>
      <c r="H5885" t="s">
        <v>40293</v>
      </c>
      <c r="I5885">
        <v>45601</v>
      </c>
      <c r="J5885">
        <v>3</v>
      </c>
      <c r="K5885">
        <v>4</v>
      </c>
    </row>
    <row r="5886" spans="1:11">
      <c r="A5886">
        <v>90</v>
      </c>
      <c r="B5886" t="b">
        <v>0</v>
      </c>
      <c r="C5886" t="s">
        <v>45905</v>
      </c>
      <c r="D5886">
        <v>1037022454355</v>
      </c>
      <c r="E5886">
        <v>1</v>
      </c>
      <c r="F5886">
        <v>6147267991</v>
      </c>
      <c r="G5886">
        <v>65900000</v>
      </c>
      <c r="H5886" t="s">
        <v>40293</v>
      </c>
      <c r="I5886">
        <v>45601</v>
      </c>
      <c r="J5886">
        <v>7</v>
      </c>
      <c r="K5886">
        <v>8</v>
      </c>
    </row>
    <row r="5887" spans="1:11">
      <c r="A5887">
        <v>90</v>
      </c>
      <c r="B5887" t="b">
        <v>0</v>
      </c>
      <c r="C5887" t="s">
        <v>44088</v>
      </c>
      <c r="D5887">
        <v>1037022454355</v>
      </c>
      <c r="E5887">
        <v>1</v>
      </c>
      <c r="F5887">
        <v>6125748867</v>
      </c>
      <c r="G5887">
        <v>65890000</v>
      </c>
      <c r="H5887" t="s">
        <v>40293</v>
      </c>
      <c r="I5887">
        <v>45601</v>
      </c>
      <c r="J5887">
        <v>1</v>
      </c>
      <c r="K5887">
        <v>1</v>
      </c>
    </row>
    <row r="5888" spans="1:11">
      <c r="A5888">
        <v>90</v>
      </c>
      <c r="B5888" t="b">
        <v>0</v>
      </c>
      <c r="C5888" t="s">
        <v>41146</v>
      </c>
      <c r="D5888">
        <v>1037022454355</v>
      </c>
      <c r="E5888">
        <v>1</v>
      </c>
      <c r="F5888">
        <v>6119934602</v>
      </c>
      <c r="G5888">
        <v>34000000</v>
      </c>
      <c r="H5888" t="s">
        <v>40293</v>
      </c>
      <c r="I5888">
        <v>45602</v>
      </c>
      <c r="J5888">
        <v>1</v>
      </c>
      <c r="K5888">
        <v>1</v>
      </c>
    </row>
    <row r="5889" spans="1:11">
      <c r="A5889">
        <v>90</v>
      </c>
      <c r="B5889" t="b">
        <v>0</v>
      </c>
      <c r="C5889" t="s">
        <v>45713</v>
      </c>
      <c r="D5889">
        <v>1037022454355</v>
      </c>
      <c r="E5889">
        <v>1</v>
      </c>
      <c r="F5889">
        <v>6153393597</v>
      </c>
      <c r="G5889">
        <v>33800000</v>
      </c>
      <c r="H5889" t="s">
        <v>40293</v>
      </c>
      <c r="I5889">
        <v>45602</v>
      </c>
      <c r="J5889">
        <v>2</v>
      </c>
      <c r="K5889">
        <v>2</v>
      </c>
    </row>
    <row r="5890" spans="1:11">
      <c r="A5890">
        <v>90</v>
      </c>
      <c r="B5890" t="b">
        <v>0</v>
      </c>
      <c r="C5890" t="s">
        <v>45458</v>
      </c>
      <c r="D5890">
        <v>1037022454355</v>
      </c>
      <c r="E5890">
        <v>1</v>
      </c>
      <c r="F5890">
        <v>6135564648</v>
      </c>
      <c r="G5890">
        <v>33790000</v>
      </c>
      <c r="H5890" t="s">
        <v>40293</v>
      </c>
      <c r="I5890">
        <v>45602</v>
      </c>
      <c r="J5890">
        <v>3</v>
      </c>
      <c r="K5890">
        <v>3</v>
      </c>
    </row>
    <row r="5891" spans="1:11">
      <c r="A5891">
        <v>90</v>
      </c>
      <c r="B5891" t="b">
        <v>0</v>
      </c>
      <c r="C5891" t="s">
        <v>45031</v>
      </c>
      <c r="D5891">
        <v>1037022454355</v>
      </c>
      <c r="E5891">
        <v>1</v>
      </c>
      <c r="F5891">
        <v>6141915965</v>
      </c>
      <c r="G5891">
        <v>33750000</v>
      </c>
      <c r="H5891" t="s">
        <v>40293</v>
      </c>
      <c r="I5891">
        <v>45602</v>
      </c>
      <c r="J5891">
        <v>2</v>
      </c>
      <c r="K5891">
        <v>2</v>
      </c>
    </row>
    <row r="5892" spans="1:11">
      <c r="A5892">
        <v>90</v>
      </c>
      <c r="B5892" t="b">
        <v>0</v>
      </c>
      <c r="C5892" t="s">
        <v>40526</v>
      </c>
      <c r="D5892">
        <v>1037022454355</v>
      </c>
      <c r="E5892">
        <v>1</v>
      </c>
      <c r="F5892">
        <v>6112581075</v>
      </c>
      <c r="G5892">
        <v>41000000</v>
      </c>
      <c r="H5892" t="s">
        <v>40293</v>
      </c>
      <c r="I5892">
        <v>45603</v>
      </c>
      <c r="J5892">
        <v>4</v>
      </c>
      <c r="K5892">
        <v>5</v>
      </c>
    </row>
    <row r="5893" spans="1:11">
      <c r="A5893">
        <v>90</v>
      </c>
      <c r="B5893" t="b">
        <v>0</v>
      </c>
      <c r="C5893" t="s">
        <v>41106</v>
      </c>
      <c r="D5893">
        <v>1037022454355</v>
      </c>
      <c r="E5893">
        <v>1</v>
      </c>
      <c r="F5893">
        <v>6119933872</v>
      </c>
      <c r="G5893">
        <v>40990000</v>
      </c>
      <c r="H5893" t="s">
        <v>40293</v>
      </c>
      <c r="I5893">
        <v>45603</v>
      </c>
      <c r="J5893">
        <v>1</v>
      </c>
      <c r="K5893">
        <v>1</v>
      </c>
    </row>
    <row r="5894" spans="1:11">
      <c r="A5894">
        <v>90</v>
      </c>
      <c r="B5894" t="b">
        <v>0</v>
      </c>
      <c r="C5894" t="s">
        <v>42614</v>
      </c>
      <c r="D5894">
        <v>1037022454355</v>
      </c>
      <c r="E5894">
        <v>1</v>
      </c>
      <c r="F5894">
        <v>6135564781</v>
      </c>
      <c r="G5894">
        <v>40420000</v>
      </c>
      <c r="H5894" t="s">
        <v>40293</v>
      </c>
      <c r="I5894">
        <v>45603</v>
      </c>
      <c r="J5894">
        <v>3</v>
      </c>
      <c r="K5894">
        <v>3</v>
      </c>
    </row>
    <row r="5895" spans="1:11">
      <c r="A5895">
        <v>90</v>
      </c>
      <c r="B5895" t="b">
        <v>0</v>
      </c>
      <c r="C5895" t="s">
        <v>43399</v>
      </c>
      <c r="D5895">
        <v>1037022454355</v>
      </c>
      <c r="E5895">
        <v>1</v>
      </c>
      <c r="F5895">
        <v>6141917337</v>
      </c>
      <c r="G5895">
        <v>40000000</v>
      </c>
      <c r="H5895" t="s">
        <v>40293</v>
      </c>
      <c r="I5895">
        <v>45604</v>
      </c>
      <c r="J5895">
        <v>1</v>
      </c>
      <c r="K5895">
        <v>1</v>
      </c>
    </row>
    <row r="5896" spans="1:11">
      <c r="A5896">
        <v>90</v>
      </c>
      <c r="B5896" t="b">
        <v>0</v>
      </c>
      <c r="C5896" t="s">
        <v>41309</v>
      </c>
      <c r="D5896">
        <v>1037022454355</v>
      </c>
      <c r="E5896">
        <v>1</v>
      </c>
      <c r="F5896">
        <v>6091888027</v>
      </c>
      <c r="G5896">
        <v>36990000</v>
      </c>
      <c r="H5896" t="s">
        <v>40293</v>
      </c>
      <c r="I5896">
        <v>45607</v>
      </c>
      <c r="J5896">
        <v>1</v>
      </c>
      <c r="K5896">
        <v>2</v>
      </c>
    </row>
    <row r="5897" spans="1:11">
      <c r="A5897">
        <v>90</v>
      </c>
      <c r="B5897" t="b">
        <v>0</v>
      </c>
      <c r="C5897" t="s">
        <v>41667</v>
      </c>
      <c r="D5897">
        <v>1037022454355</v>
      </c>
      <c r="E5897">
        <v>1</v>
      </c>
      <c r="F5897">
        <v>6122534698</v>
      </c>
      <c r="G5897">
        <v>36950000</v>
      </c>
      <c r="H5897" t="s">
        <v>40293</v>
      </c>
      <c r="I5897">
        <v>45607</v>
      </c>
      <c r="J5897">
        <v>1</v>
      </c>
      <c r="K5897">
        <v>1</v>
      </c>
    </row>
    <row r="5898" spans="1:11">
      <c r="A5898">
        <v>90</v>
      </c>
      <c r="B5898" t="b">
        <v>0</v>
      </c>
      <c r="C5898" t="s">
        <v>43783</v>
      </c>
      <c r="D5898">
        <v>1037022454355</v>
      </c>
      <c r="E5898">
        <v>1</v>
      </c>
      <c r="F5898">
        <v>6146527648</v>
      </c>
      <c r="G5898">
        <v>36870000</v>
      </c>
      <c r="H5898" t="s">
        <v>40293</v>
      </c>
      <c r="I5898">
        <v>45607</v>
      </c>
      <c r="J5898">
        <v>5</v>
      </c>
      <c r="K5898">
        <v>5</v>
      </c>
    </row>
    <row r="5899" spans="1:11">
      <c r="A5899">
        <v>90</v>
      </c>
      <c r="B5899" t="b">
        <v>0</v>
      </c>
      <c r="C5899" t="s">
        <v>44912</v>
      </c>
      <c r="D5899">
        <v>1037022454355</v>
      </c>
      <c r="E5899">
        <v>1</v>
      </c>
      <c r="F5899">
        <v>6131133883</v>
      </c>
      <c r="G5899">
        <v>36830000</v>
      </c>
      <c r="H5899" t="s">
        <v>40293</v>
      </c>
      <c r="I5899">
        <v>45607</v>
      </c>
      <c r="J5899">
        <v>1</v>
      </c>
      <c r="K5899">
        <v>2</v>
      </c>
    </row>
    <row r="5900" spans="1:11">
      <c r="A5900">
        <v>90</v>
      </c>
      <c r="B5900" t="b">
        <v>0</v>
      </c>
      <c r="C5900" t="s">
        <v>44847</v>
      </c>
      <c r="D5900">
        <v>1037022454355</v>
      </c>
      <c r="E5900">
        <v>1</v>
      </c>
      <c r="F5900">
        <v>6141913690</v>
      </c>
      <c r="G5900">
        <v>36820000</v>
      </c>
      <c r="H5900" t="s">
        <v>40293</v>
      </c>
      <c r="I5900">
        <v>45607</v>
      </c>
      <c r="J5900">
        <v>1</v>
      </c>
      <c r="K5900">
        <v>3</v>
      </c>
    </row>
    <row r="5901" spans="1:11">
      <c r="A5901">
        <v>90</v>
      </c>
      <c r="B5901" t="b">
        <v>0</v>
      </c>
      <c r="C5901" t="s">
        <v>41664</v>
      </c>
      <c r="D5901">
        <v>1037022454355</v>
      </c>
      <c r="E5901">
        <v>1</v>
      </c>
      <c r="F5901">
        <v>6122534543</v>
      </c>
      <c r="G5901">
        <v>49820000</v>
      </c>
      <c r="H5901" t="s">
        <v>40293</v>
      </c>
      <c r="I5901">
        <v>45608</v>
      </c>
      <c r="J5901">
        <v>2</v>
      </c>
      <c r="K5901">
        <v>2</v>
      </c>
    </row>
    <row r="5902" spans="1:11">
      <c r="A5902">
        <v>90</v>
      </c>
      <c r="B5902" t="b">
        <v>0</v>
      </c>
      <c r="C5902" t="s">
        <v>45750</v>
      </c>
      <c r="D5902">
        <v>1037022454355</v>
      </c>
      <c r="E5902">
        <v>1</v>
      </c>
      <c r="F5902">
        <v>6147266360</v>
      </c>
      <c r="G5902">
        <v>49800000</v>
      </c>
      <c r="H5902" t="s">
        <v>40293</v>
      </c>
      <c r="I5902">
        <v>45608</v>
      </c>
      <c r="J5902">
        <v>5</v>
      </c>
      <c r="K5902">
        <v>5</v>
      </c>
    </row>
    <row r="5903" spans="1:11">
      <c r="A5903">
        <v>90</v>
      </c>
      <c r="B5903" t="b">
        <v>0</v>
      </c>
      <c r="C5903" t="s">
        <v>45760</v>
      </c>
      <c r="D5903">
        <v>1037022454355</v>
      </c>
      <c r="E5903">
        <v>1</v>
      </c>
      <c r="F5903">
        <v>6147266431</v>
      </c>
      <c r="G5903">
        <v>49790000</v>
      </c>
      <c r="H5903" t="s">
        <v>40293</v>
      </c>
      <c r="I5903">
        <v>45608</v>
      </c>
      <c r="J5903">
        <v>5</v>
      </c>
      <c r="K5903">
        <v>5</v>
      </c>
    </row>
    <row r="5904" spans="1:11">
      <c r="A5904">
        <v>90</v>
      </c>
      <c r="B5904" t="b">
        <v>0</v>
      </c>
      <c r="C5904" t="s">
        <v>40547</v>
      </c>
      <c r="D5904">
        <v>1037022454355</v>
      </c>
      <c r="E5904">
        <v>1</v>
      </c>
      <c r="F5904">
        <v>6112581434</v>
      </c>
      <c r="G5904">
        <v>53000000</v>
      </c>
      <c r="H5904" t="s">
        <v>40293</v>
      </c>
      <c r="I5904">
        <v>45609</v>
      </c>
      <c r="J5904">
        <v>5</v>
      </c>
      <c r="K5904">
        <v>6</v>
      </c>
    </row>
    <row r="5905" spans="1:11">
      <c r="A5905">
        <v>90</v>
      </c>
      <c r="B5905" t="b">
        <v>0</v>
      </c>
      <c r="C5905" t="s">
        <v>45700</v>
      </c>
      <c r="D5905">
        <v>1037022454355</v>
      </c>
      <c r="E5905">
        <v>1</v>
      </c>
      <c r="F5905">
        <v>6153393462</v>
      </c>
      <c r="G5905">
        <v>52800000</v>
      </c>
      <c r="H5905" t="s">
        <v>40293</v>
      </c>
      <c r="I5905">
        <v>45609</v>
      </c>
      <c r="J5905">
        <v>1</v>
      </c>
      <c r="K5905">
        <v>1</v>
      </c>
    </row>
    <row r="5906" spans="1:11">
      <c r="A5906">
        <v>90</v>
      </c>
      <c r="B5906" t="b">
        <v>0</v>
      </c>
      <c r="C5906" t="s">
        <v>41280</v>
      </c>
      <c r="D5906">
        <v>1037022454355</v>
      </c>
      <c r="E5906">
        <v>1</v>
      </c>
      <c r="F5906">
        <v>6074651638</v>
      </c>
      <c r="G5906">
        <v>33650000</v>
      </c>
      <c r="H5906" t="s">
        <v>40293</v>
      </c>
      <c r="I5906">
        <v>45613</v>
      </c>
      <c r="J5906">
        <v>1</v>
      </c>
      <c r="K5906">
        <v>1</v>
      </c>
    </row>
    <row r="5907" spans="1:11">
      <c r="A5907">
        <v>90</v>
      </c>
      <c r="B5907" t="b">
        <v>0</v>
      </c>
      <c r="C5907" t="s">
        <v>41121</v>
      </c>
      <c r="D5907">
        <v>1037022454355</v>
      </c>
      <c r="E5907">
        <v>1</v>
      </c>
      <c r="F5907">
        <v>6119934189</v>
      </c>
      <c r="G5907">
        <v>33380000</v>
      </c>
      <c r="H5907" t="s">
        <v>40293</v>
      </c>
      <c r="I5907">
        <v>45613</v>
      </c>
      <c r="J5907">
        <v>3</v>
      </c>
      <c r="K5907">
        <v>3</v>
      </c>
    </row>
    <row r="5908" spans="1:11">
      <c r="A5908">
        <v>90</v>
      </c>
      <c r="B5908" t="b">
        <v>0</v>
      </c>
      <c r="C5908" t="s">
        <v>43214</v>
      </c>
      <c r="D5908">
        <v>1037022454355</v>
      </c>
      <c r="E5908">
        <v>1</v>
      </c>
      <c r="F5908">
        <v>6138832455</v>
      </c>
      <c r="G5908">
        <v>30320000</v>
      </c>
      <c r="H5908" t="s">
        <v>40293</v>
      </c>
      <c r="I5908">
        <v>45613</v>
      </c>
      <c r="J5908">
        <v>1</v>
      </c>
      <c r="K5908">
        <v>1</v>
      </c>
    </row>
    <row r="5909" spans="1:11">
      <c r="A5909">
        <v>90</v>
      </c>
      <c r="B5909" t="b">
        <v>0</v>
      </c>
      <c r="C5909" t="s">
        <v>45885</v>
      </c>
      <c r="D5909">
        <v>1037022454355</v>
      </c>
      <c r="E5909">
        <v>1</v>
      </c>
      <c r="F5909">
        <v>6149987497</v>
      </c>
      <c r="G5909">
        <v>30200000</v>
      </c>
      <c r="H5909" t="s">
        <v>40293</v>
      </c>
      <c r="I5909">
        <v>45613</v>
      </c>
      <c r="J5909">
        <v>3</v>
      </c>
      <c r="K5909">
        <v>3</v>
      </c>
    </row>
    <row r="5910" spans="1:11">
      <c r="A5910">
        <v>90</v>
      </c>
      <c r="B5910" t="b">
        <v>0</v>
      </c>
      <c r="C5910" t="s">
        <v>45495</v>
      </c>
      <c r="D5910">
        <v>1037022454355</v>
      </c>
      <c r="E5910">
        <v>1</v>
      </c>
      <c r="F5910">
        <v>6135565042</v>
      </c>
      <c r="G5910">
        <v>30180000</v>
      </c>
      <c r="H5910" t="s">
        <v>40293</v>
      </c>
      <c r="I5910">
        <v>45613</v>
      </c>
      <c r="J5910">
        <v>3</v>
      </c>
      <c r="K5910">
        <v>3</v>
      </c>
    </row>
    <row r="5911" spans="1:11">
      <c r="A5911">
        <v>90</v>
      </c>
      <c r="B5911" t="b">
        <v>0</v>
      </c>
      <c r="C5911" t="s">
        <v>45048</v>
      </c>
      <c r="D5911">
        <v>1037022454355</v>
      </c>
      <c r="E5911">
        <v>1</v>
      </c>
      <c r="F5911">
        <v>6126416989</v>
      </c>
      <c r="G5911">
        <v>30130000</v>
      </c>
      <c r="H5911" t="s">
        <v>40293</v>
      </c>
      <c r="I5911">
        <v>45613</v>
      </c>
      <c r="J5911">
        <v>1</v>
      </c>
      <c r="K5911">
        <v>1</v>
      </c>
    </row>
    <row r="5912" spans="1:11">
      <c r="A5912">
        <v>90</v>
      </c>
      <c r="B5912" t="b">
        <v>0</v>
      </c>
      <c r="C5912" t="s">
        <v>45660</v>
      </c>
      <c r="D5912">
        <v>1037022454355</v>
      </c>
      <c r="E5912">
        <v>1</v>
      </c>
      <c r="F5912">
        <v>6153392919</v>
      </c>
      <c r="G5912">
        <v>30000000</v>
      </c>
      <c r="H5912" t="s">
        <v>40293</v>
      </c>
      <c r="I5912">
        <v>45613</v>
      </c>
      <c r="J5912">
        <v>2</v>
      </c>
      <c r="K5912">
        <v>2</v>
      </c>
    </row>
    <row r="5913" spans="1:11">
      <c r="A5913">
        <v>90</v>
      </c>
      <c r="B5913" t="b">
        <v>0</v>
      </c>
      <c r="C5913" t="s">
        <v>42620</v>
      </c>
      <c r="D5913">
        <v>1037022454355</v>
      </c>
      <c r="E5913">
        <v>1</v>
      </c>
      <c r="F5913">
        <v>6135564972</v>
      </c>
      <c r="G5913">
        <v>46990000</v>
      </c>
      <c r="H5913" t="s">
        <v>40293</v>
      </c>
      <c r="I5913">
        <v>45615</v>
      </c>
      <c r="J5913">
        <v>1</v>
      </c>
      <c r="K5913">
        <v>3</v>
      </c>
    </row>
    <row r="5914" spans="1:11">
      <c r="A5914">
        <v>90</v>
      </c>
      <c r="B5914" t="b">
        <v>0</v>
      </c>
      <c r="C5914" t="s">
        <v>43453</v>
      </c>
      <c r="D5914">
        <v>1037022454355</v>
      </c>
      <c r="E5914">
        <v>1</v>
      </c>
      <c r="F5914">
        <v>6141918696</v>
      </c>
      <c r="G5914">
        <v>30000000</v>
      </c>
      <c r="H5914" t="s">
        <v>40293</v>
      </c>
      <c r="I5914">
        <v>45616</v>
      </c>
      <c r="J5914">
        <v>1</v>
      </c>
      <c r="K5914">
        <v>1</v>
      </c>
    </row>
    <row r="5915" spans="1:11">
      <c r="A5915">
        <v>90</v>
      </c>
      <c r="B5915" t="b">
        <v>0</v>
      </c>
      <c r="C5915" t="s">
        <v>41001</v>
      </c>
      <c r="D5915">
        <v>1037022454355</v>
      </c>
      <c r="E5915">
        <v>1</v>
      </c>
      <c r="F5915">
        <v>6091063151</v>
      </c>
      <c r="G5915">
        <v>43900000</v>
      </c>
      <c r="H5915" t="s">
        <v>40293</v>
      </c>
      <c r="I5915">
        <v>45619</v>
      </c>
      <c r="J5915">
        <v>1</v>
      </c>
      <c r="K5915">
        <v>1</v>
      </c>
    </row>
    <row r="5916" spans="1:11">
      <c r="A5916">
        <v>90</v>
      </c>
      <c r="B5916" t="b">
        <v>0</v>
      </c>
      <c r="C5916" t="s">
        <v>41675</v>
      </c>
      <c r="D5916">
        <v>1037022454355</v>
      </c>
      <c r="E5916">
        <v>1</v>
      </c>
      <c r="F5916">
        <v>6074651635</v>
      </c>
      <c r="G5916">
        <v>43880000</v>
      </c>
      <c r="H5916" t="s">
        <v>40293</v>
      </c>
      <c r="I5916">
        <v>45619</v>
      </c>
      <c r="J5916">
        <v>4</v>
      </c>
      <c r="K5916">
        <v>4</v>
      </c>
    </row>
    <row r="5917" spans="1:11">
      <c r="A5917">
        <v>90</v>
      </c>
      <c r="B5917" t="b">
        <v>0</v>
      </c>
      <c r="C5917" t="s">
        <v>40897</v>
      </c>
      <c r="D5917">
        <v>1037022454355</v>
      </c>
      <c r="E5917">
        <v>1</v>
      </c>
      <c r="F5917">
        <v>6119934219</v>
      </c>
      <c r="G5917">
        <v>33870000</v>
      </c>
      <c r="H5917" t="s">
        <v>40293</v>
      </c>
      <c r="I5917">
        <v>45619</v>
      </c>
      <c r="J5917">
        <v>1</v>
      </c>
      <c r="K5917">
        <v>1</v>
      </c>
    </row>
    <row r="5918" spans="1:11">
      <c r="A5918">
        <v>90</v>
      </c>
      <c r="B5918" t="b">
        <v>0</v>
      </c>
      <c r="C5918" t="s">
        <v>42476</v>
      </c>
      <c r="D5918">
        <v>1037022454355</v>
      </c>
      <c r="E5918">
        <v>1</v>
      </c>
      <c r="F5918">
        <v>6068645373</v>
      </c>
      <c r="G5918">
        <v>33860000</v>
      </c>
      <c r="H5918" t="s">
        <v>40293</v>
      </c>
      <c r="I5918">
        <v>45619</v>
      </c>
      <c r="J5918">
        <v>1</v>
      </c>
      <c r="K5918">
        <v>2</v>
      </c>
    </row>
    <row r="5919" spans="1:11">
      <c r="A5919">
        <v>90</v>
      </c>
      <c r="B5919" t="b">
        <v>0</v>
      </c>
      <c r="C5919" t="s">
        <v>41351</v>
      </c>
      <c r="D5919">
        <v>1037022454355</v>
      </c>
      <c r="E5919">
        <v>1</v>
      </c>
      <c r="F5919">
        <v>6075177096</v>
      </c>
      <c r="G5919">
        <v>32300000</v>
      </c>
      <c r="H5919" t="s">
        <v>40293</v>
      </c>
      <c r="I5919">
        <v>45619</v>
      </c>
      <c r="J5919">
        <v>1</v>
      </c>
      <c r="K5919">
        <v>1</v>
      </c>
    </row>
    <row r="5920" spans="1:11">
      <c r="A5920">
        <v>90</v>
      </c>
      <c r="B5920" t="b">
        <v>0</v>
      </c>
      <c r="C5920" t="s">
        <v>41527</v>
      </c>
      <c r="D5920">
        <v>1037022454355</v>
      </c>
      <c r="E5920">
        <v>1</v>
      </c>
      <c r="F5920">
        <v>6109063814</v>
      </c>
      <c r="G5920">
        <v>32280000</v>
      </c>
      <c r="H5920" t="s">
        <v>40293</v>
      </c>
      <c r="I5920">
        <v>45619</v>
      </c>
      <c r="J5920">
        <v>1</v>
      </c>
      <c r="K5920">
        <v>1</v>
      </c>
    </row>
    <row r="5921" spans="1:11">
      <c r="A5921">
        <v>90</v>
      </c>
      <c r="B5921" t="b">
        <v>0</v>
      </c>
      <c r="C5921" t="s">
        <v>42480</v>
      </c>
      <c r="D5921">
        <v>1037022454355</v>
      </c>
      <c r="E5921">
        <v>1</v>
      </c>
      <c r="F5921">
        <v>6131134298</v>
      </c>
      <c r="G5921">
        <v>30960000</v>
      </c>
      <c r="H5921" t="s">
        <v>40293</v>
      </c>
      <c r="I5921">
        <v>45619</v>
      </c>
      <c r="J5921">
        <v>2</v>
      </c>
      <c r="K5921">
        <v>2</v>
      </c>
    </row>
    <row r="5922" spans="1:11">
      <c r="A5922">
        <v>90</v>
      </c>
      <c r="B5922" t="b">
        <v>0</v>
      </c>
      <c r="C5922" t="s">
        <v>43236</v>
      </c>
      <c r="D5922">
        <v>1037022454355</v>
      </c>
      <c r="E5922">
        <v>1</v>
      </c>
      <c r="F5922">
        <v>6121433309</v>
      </c>
      <c r="G5922">
        <v>30950000</v>
      </c>
      <c r="H5922" t="s">
        <v>40293</v>
      </c>
      <c r="I5922">
        <v>45619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45292</v>
      </c>
      <c r="D5923">
        <v>1037022454355</v>
      </c>
      <c r="E5923">
        <v>1</v>
      </c>
      <c r="F5923">
        <v>6150834916</v>
      </c>
      <c r="G5923">
        <v>30940000</v>
      </c>
      <c r="H5923" t="s">
        <v>40293</v>
      </c>
      <c r="I5923">
        <v>45619</v>
      </c>
      <c r="J5923">
        <v>3</v>
      </c>
      <c r="K5923">
        <v>3</v>
      </c>
    </row>
    <row r="5924" spans="1:11">
      <c r="A5924">
        <v>90</v>
      </c>
      <c r="B5924" t="b">
        <v>0</v>
      </c>
      <c r="C5924" t="s">
        <v>43020</v>
      </c>
      <c r="D5924">
        <v>1037022454355</v>
      </c>
      <c r="E5924">
        <v>1</v>
      </c>
      <c r="F5924">
        <v>6138859942</v>
      </c>
      <c r="G5924">
        <v>25000000</v>
      </c>
      <c r="H5924" t="s">
        <v>40293</v>
      </c>
      <c r="I5924">
        <v>45619</v>
      </c>
      <c r="J5924">
        <v>1</v>
      </c>
      <c r="K5924">
        <v>1</v>
      </c>
    </row>
    <row r="5925" spans="1:11">
      <c r="A5925">
        <v>90</v>
      </c>
      <c r="B5925" t="b">
        <v>0</v>
      </c>
      <c r="C5925" t="s">
        <v>43890</v>
      </c>
      <c r="D5925">
        <v>1037022454355</v>
      </c>
      <c r="E5925">
        <v>1</v>
      </c>
      <c r="F5925">
        <v>6122993159</v>
      </c>
      <c r="G5925">
        <v>24000000</v>
      </c>
      <c r="H5925" t="s">
        <v>40293</v>
      </c>
      <c r="I5925">
        <v>45619</v>
      </c>
      <c r="J5925">
        <v>2</v>
      </c>
      <c r="K5925">
        <v>2</v>
      </c>
    </row>
    <row r="5926" spans="1:11">
      <c r="A5926">
        <v>90</v>
      </c>
      <c r="B5926" t="b">
        <v>0</v>
      </c>
      <c r="C5926" t="s">
        <v>45723</v>
      </c>
      <c r="D5926">
        <v>1037022454355</v>
      </c>
      <c r="E5926">
        <v>1</v>
      </c>
      <c r="F5926">
        <v>6153393683</v>
      </c>
      <c r="G5926">
        <v>23800000</v>
      </c>
      <c r="H5926" t="s">
        <v>40293</v>
      </c>
      <c r="I5926">
        <v>45619</v>
      </c>
      <c r="J5926">
        <v>2</v>
      </c>
      <c r="K5926">
        <v>2</v>
      </c>
    </row>
    <row r="5927" spans="1:11">
      <c r="A5927">
        <v>90</v>
      </c>
      <c r="B5927" t="b">
        <v>0</v>
      </c>
      <c r="C5927" t="s">
        <v>45704</v>
      </c>
      <c r="D5927">
        <v>1037022454355</v>
      </c>
      <c r="E5927">
        <v>1</v>
      </c>
      <c r="F5927">
        <v>6147265871</v>
      </c>
      <c r="G5927">
        <v>53560000</v>
      </c>
      <c r="H5927" t="s">
        <v>40293</v>
      </c>
      <c r="I5927">
        <v>45621</v>
      </c>
      <c r="J5927">
        <v>6</v>
      </c>
      <c r="K5927">
        <v>6</v>
      </c>
    </row>
    <row r="5928" spans="1:11">
      <c r="A5928">
        <v>90</v>
      </c>
      <c r="B5928" t="b">
        <v>0</v>
      </c>
      <c r="C5928" t="s">
        <v>46470</v>
      </c>
      <c r="D5928">
        <v>1037022454355</v>
      </c>
      <c r="E5928">
        <v>1</v>
      </c>
      <c r="F5928">
        <v>6147265711</v>
      </c>
      <c r="G5928">
        <v>53550000</v>
      </c>
      <c r="H5928" t="s">
        <v>40293</v>
      </c>
      <c r="I5928">
        <v>45621</v>
      </c>
      <c r="J5928">
        <v>6</v>
      </c>
      <c r="K5928">
        <v>6</v>
      </c>
    </row>
    <row r="5929" spans="1:11">
      <c r="A5929">
        <v>90</v>
      </c>
      <c r="B5929" t="b">
        <v>0</v>
      </c>
      <c r="C5929" t="s">
        <v>44956</v>
      </c>
      <c r="D5929">
        <v>1037022454355</v>
      </c>
      <c r="E5929">
        <v>1</v>
      </c>
      <c r="F5929">
        <v>6131134380</v>
      </c>
      <c r="G5929">
        <v>53540000</v>
      </c>
      <c r="H5929" t="s">
        <v>40293</v>
      </c>
      <c r="I5929">
        <v>45621</v>
      </c>
      <c r="J5929">
        <v>2</v>
      </c>
      <c r="K5929">
        <v>2</v>
      </c>
    </row>
    <row r="5930" spans="1:11">
      <c r="A5930">
        <v>90</v>
      </c>
      <c r="B5930" t="b">
        <v>0</v>
      </c>
      <c r="C5930" t="s">
        <v>44775</v>
      </c>
      <c r="D5930">
        <v>1037022454355</v>
      </c>
      <c r="E5930">
        <v>1</v>
      </c>
      <c r="F5930">
        <v>6141912723</v>
      </c>
      <c r="G5930">
        <v>39900000</v>
      </c>
      <c r="H5930" t="s">
        <v>40293</v>
      </c>
      <c r="I5930">
        <v>45621</v>
      </c>
      <c r="J5930">
        <v>1</v>
      </c>
      <c r="K5930">
        <v>4</v>
      </c>
    </row>
    <row r="5931" spans="1:11">
      <c r="A5931">
        <v>30</v>
      </c>
      <c r="B5931" t="b">
        <v>0</v>
      </c>
      <c r="C5931" t="s">
        <v>45676</v>
      </c>
      <c r="D5931">
        <v>1037022454355</v>
      </c>
      <c r="E5931">
        <v>1</v>
      </c>
      <c r="F5931">
        <v>6140744700</v>
      </c>
      <c r="G5931">
        <v>35000000</v>
      </c>
      <c r="H5931" t="s">
        <v>40293</v>
      </c>
      <c r="I5931">
        <v>45621</v>
      </c>
      <c r="J5931">
        <v>1</v>
      </c>
      <c r="K5931">
        <v>1</v>
      </c>
    </row>
    <row r="5932" spans="1:11">
      <c r="A5932">
        <v>90</v>
      </c>
      <c r="B5932" t="b">
        <v>0</v>
      </c>
      <c r="C5932" t="s">
        <v>41720</v>
      </c>
      <c r="D5932">
        <v>1037022454355</v>
      </c>
      <c r="E5932">
        <v>1</v>
      </c>
      <c r="F5932">
        <v>6108216340</v>
      </c>
      <c r="G5932">
        <v>45000000</v>
      </c>
      <c r="H5932" t="s">
        <v>40293</v>
      </c>
      <c r="I5932">
        <v>45624</v>
      </c>
      <c r="J5932">
        <v>1</v>
      </c>
      <c r="K5932">
        <v>1</v>
      </c>
    </row>
    <row r="5933" spans="1:11">
      <c r="A5933">
        <v>90</v>
      </c>
      <c r="B5933" t="b">
        <v>0</v>
      </c>
      <c r="C5933" t="s">
        <v>41112</v>
      </c>
      <c r="D5933">
        <v>1037022454355</v>
      </c>
      <c r="E5933">
        <v>1</v>
      </c>
      <c r="F5933">
        <v>6119934025</v>
      </c>
      <c r="G5933">
        <v>24400000</v>
      </c>
      <c r="H5933" t="s">
        <v>40293</v>
      </c>
      <c r="I5933">
        <v>45625</v>
      </c>
      <c r="J5933">
        <v>2</v>
      </c>
      <c r="K5933">
        <v>2</v>
      </c>
    </row>
    <row r="5934" spans="1:11">
      <c r="A5934">
        <v>90</v>
      </c>
      <c r="B5934" t="b">
        <v>0</v>
      </c>
      <c r="C5934" t="s">
        <v>42466</v>
      </c>
      <c r="D5934">
        <v>1037022454355</v>
      </c>
      <c r="E5934">
        <v>1</v>
      </c>
      <c r="F5934">
        <v>6131133298</v>
      </c>
      <c r="G5934">
        <v>24180000</v>
      </c>
      <c r="H5934" t="s">
        <v>40293</v>
      </c>
      <c r="I5934">
        <v>45625</v>
      </c>
      <c r="J5934">
        <v>2</v>
      </c>
      <c r="K5934">
        <v>2</v>
      </c>
    </row>
    <row r="5935" spans="1:11">
      <c r="A5935">
        <v>90</v>
      </c>
      <c r="B5935" t="b">
        <v>0</v>
      </c>
      <c r="C5935" t="s">
        <v>45387</v>
      </c>
      <c r="D5935">
        <v>1037022454355</v>
      </c>
      <c r="E5935">
        <v>1</v>
      </c>
      <c r="F5935">
        <v>6135563791</v>
      </c>
      <c r="G5935">
        <v>23860000</v>
      </c>
      <c r="H5935" t="s">
        <v>40293</v>
      </c>
      <c r="I5935">
        <v>45625</v>
      </c>
      <c r="J5935">
        <v>3</v>
      </c>
      <c r="K5935">
        <v>3</v>
      </c>
    </row>
    <row r="5936" spans="1:11">
      <c r="A5936">
        <v>90</v>
      </c>
      <c r="B5936" t="b">
        <v>0</v>
      </c>
      <c r="C5936" t="s">
        <v>45056</v>
      </c>
      <c r="D5936">
        <v>1037022454355</v>
      </c>
      <c r="E5936">
        <v>1</v>
      </c>
      <c r="F5936">
        <v>6141916346</v>
      </c>
      <c r="G5936">
        <v>23840000</v>
      </c>
      <c r="H5936" t="s">
        <v>40293</v>
      </c>
      <c r="I5936">
        <v>45625</v>
      </c>
      <c r="J5936">
        <v>2</v>
      </c>
      <c r="K5936">
        <v>2</v>
      </c>
    </row>
    <row r="5937" spans="1:11">
      <c r="A5937">
        <v>90</v>
      </c>
      <c r="B5937" t="b">
        <v>0</v>
      </c>
      <c r="C5937" t="s">
        <v>45054</v>
      </c>
      <c r="D5937">
        <v>1037022454355</v>
      </c>
      <c r="E5937">
        <v>1</v>
      </c>
      <c r="F5937">
        <v>6147268123</v>
      </c>
      <c r="G5937">
        <v>47110000</v>
      </c>
      <c r="H5937" t="s">
        <v>40293</v>
      </c>
      <c r="I5937">
        <v>45626</v>
      </c>
      <c r="J5937">
        <v>6</v>
      </c>
      <c r="K5937">
        <v>8</v>
      </c>
    </row>
    <row r="5938" spans="1:11">
      <c r="A5938">
        <v>90</v>
      </c>
      <c r="B5938" t="b">
        <v>0</v>
      </c>
      <c r="C5938" t="s">
        <v>45669</v>
      </c>
      <c r="D5938">
        <v>1037022454355</v>
      </c>
      <c r="E5938">
        <v>1</v>
      </c>
      <c r="F5938">
        <v>6153393053</v>
      </c>
      <c r="G5938">
        <v>47080000</v>
      </c>
      <c r="H5938" t="s">
        <v>40293</v>
      </c>
      <c r="I5938">
        <v>45626</v>
      </c>
      <c r="J5938">
        <v>1</v>
      </c>
      <c r="K5938">
        <v>1</v>
      </c>
    </row>
    <row r="5939" spans="1:11">
      <c r="A5939">
        <v>90</v>
      </c>
      <c r="B5939" t="b">
        <v>0</v>
      </c>
      <c r="C5939" t="s">
        <v>44332</v>
      </c>
      <c r="D5939">
        <v>1037022454355</v>
      </c>
      <c r="E5939">
        <v>1</v>
      </c>
      <c r="F5939">
        <v>6153596245</v>
      </c>
      <c r="G5939">
        <v>47000000</v>
      </c>
      <c r="H5939" t="s">
        <v>40293</v>
      </c>
      <c r="I5939">
        <v>45626</v>
      </c>
      <c r="J5939">
        <v>1</v>
      </c>
      <c r="K5939">
        <v>1</v>
      </c>
    </row>
    <row r="5940" spans="1:11">
      <c r="A5940">
        <v>90</v>
      </c>
      <c r="B5940" t="b">
        <v>0</v>
      </c>
      <c r="C5940" t="s">
        <v>45478</v>
      </c>
      <c r="D5940">
        <v>1037022454355</v>
      </c>
      <c r="E5940">
        <v>1</v>
      </c>
      <c r="F5940">
        <v>6135565413</v>
      </c>
      <c r="G5940">
        <v>46990000</v>
      </c>
      <c r="H5940" t="s">
        <v>40293</v>
      </c>
      <c r="I5940">
        <v>45626</v>
      </c>
      <c r="J5940">
        <v>1</v>
      </c>
      <c r="K5940">
        <v>3</v>
      </c>
    </row>
    <row r="5941" spans="1:11">
      <c r="A5941">
        <v>90</v>
      </c>
      <c r="B5941" t="b">
        <v>0</v>
      </c>
      <c r="C5941" t="s">
        <v>42596</v>
      </c>
      <c r="D5941">
        <v>1037022454355</v>
      </c>
      <c r="E5941">
        <v>1</v>
      </c>
      <c r="F5941">
        <v>6135563947</v>
      </c>
      <c r="G5941">
        <v>40000000</v>
      </c>
      <c r="H5941" t="s">
        <v>40293</v>
      </c>
      <c r="I5941">
        <v>45627</v>
      </c>
      <c r="J5941">
        <v>2</v>
      </c>
      <c r="K5941">
        <v>3</v>
      </c>
    </row>
    <row r="5942" spans="1:11">
      <c r="A5942">
        <v>90</v>
      </c>
      <c r="B5942" t="b">
        <v>0</v>
      </c>
      <c r="C5942" t="s">
        <v>40339</v>
      </c>
      <c r="D5942">
        <v>1037022454355</v>
      </c>
      <c r="E5942">
        <v>1</v>
      </c>
      <c r="F5942">
        <v>6103417031</v>
      </c>
      <c r="G5942">
        <v>40000000</v>
      </c>
      <c r="H5942" t="s">
        <v>40293</v>
      </c>
      <c r="I5942">
        <v>45629</v>
      </c>
      <c r="J5942">
        <v>1</v>
      </c>
      <c r="K5942">
        <v>1</v>
      </c>
    </row>
    <row r="5943" spans="1:11">
      <c r="A5943">
        <v>90</v>
      </c>
      <c r="B5943" t="b">
        <v>0</v>
      </c>
      <c r="C5943" t="s">
        <v>43417</v>
      </c>
      <c r="D5943">
        <v>1037022454355</v>
      </c>
      <c r="E5943">
        <v>1</v>
      </c>
      <c r="F5943">
        <v>6141917787</v>
      </c>
      <c r="G5943">
        <v>39900000</v>
      </c>
      <c r="H5943" t="s">
        <v>40293</v>
      </c>
      <c r="I5943">
        <v>45629</v>
      </c>
      <c r="J5943">
        <v>1</v>
      </c>
      <c r="K5943">
        <v>1</v>
      </c>
    </row>
    <row r="5944" spans="1:11">
      <c r="A5944">
        <v>90</v>
      </c>
      <c r="B5944" t="b">
        <v>0</v>
      </c>
      <c r="C5944" t="s">
        <v>42277</v>
      </c>
      <c r="D5944">
        <v>1037022454355</v>
      </c>
      <c r="E5944">
        <v>1</v>
      </c>
      <c r="F5944">
        <v>6129417550</v>
      </c>
      <c r="G5944">
        <v>40980000</v>
      </c>
      <c r="H5944" t="s">
        <v>40293</v>
      </c>
      <c r="I5944">
        <v>45631</v>
      </c>
      <c r="J5944">
        <v>1</v>
      </c>
      <c r="K5944">
        <v>1</v>
      </c>
    </row>
    <row r="5945" spans="1:11">
      <c r="A5945">
        <v>90</v>
      </c>
      <c r="B5945" t="b">
        <v>0</v>
      </c>
      <c r="C5945" t="s">
        <v>43363</v>
      </c>
      <c r="D5945">
        <v>1037022454355</v>
      </c>
      <c r="E5945">
        <v>1</v>
      </c>
      <c r="F5945">
        <v>6141916234</v>
      </c>
      <c r="G5945">
        <v>40970000</v>
      </c>
      <c r="H5945" t="s">
        <v>40293</v>
      </c>
      <c r="I5945">
        <v>45631</v>
      </c>
      <c r="J5945">
        <v>1</v>
      </c>
      <c r="K5945">
        <v>2</v>
      </c>
    </row>
    <row r="5946" spans="1:11">
      <c r="A5946">
        <v>90</v>
      </c>
      <c r="B5946" t="b">
        <v>0</v>
      </c>
      <c r="C5946" t="s">
        <v>41277</v>
      </c>
      <c r="D5946">
        <v>1037022454355</v>
      </c>
      <c r="E5946">
        <v>1</v>
      </c>
      <c r="F5946">
        <v>6074651627</v>
      </c>
      <c r="G5946">
        <v>49460000</v>
      </c>
      <c r="H5946" t="s">
        <v>40293</v>
      </c>
      <c r="I5946">
        <v>45632</v>
      </c>
      <c r="J5946">
        <v>2</v>
      </c>
      <c r="K5946">
        <v>4</v>
      </c>
    </row>
    <row r="5947" spans="1:11">
      <c r="A5947">
        <v>90</v>
      </c>
      <c r="B5947" t="b">
        <v>0</v>
      </c>
      <c r="C5947" t="s">
        <v>41194</v>
      </c>
      <c r="D5947">
        <v>1037022454355</v>
      </c>
      <c r="E5947">
        <v>1</v>
      </c>
      <c r="F5947">
        <v>6122534454</v>
      </c>
      <c r="G5947">
        <v>49370000</v>
      </c>
      <c r="H5947" t="s">
        <v>40293</v>
      </c>
      <c r="I5947">
        <v>45632</v>
      </c>
      <c r="J5947">
        <v>2</v>
      </c>
      <c r="K5947">
        <v>2</v>
      </c>
    </row>
    <row r="5948" spans="1:11">
      <c r="A5948">
        <v>90</v>
      </c>
      <c r="B5948" t="b">
        <v>0</v>
      </c>
      <c r="C5948" t="s">
        <v>40551</v>
      </c>
      <c r="D5948">
        <v>1037022454355</v>
      </c>
      <c r="E5948">
        <v>1</v>
      </c>
      <c r="F5948">
        <v>6112581533</v>
      </c>
      <c r="G5948">
        <v>49600000</v>
      </c>
      <c r="H5948" t="s">
        <v>40293</v>
      </c>
      <c r="I5948">
        <v>45633</v>
      </c>
      <c r="J5948">
        <v>3</v>
      </c>
      <c r="K5948">
        <v>5</v>
      </c>
    </row>
    <row r="5949" spans="1:11">
      <c r="A5949">
        <v>90</v>
      </c>
      <c r="B5949" t="b">
        <v>0</v>
      </c>
      <c r="C5949" t="s">
        <v>41518</v>
      </c>
      <c r="D5949">
        <v>1037022454355</v>
      </c>
      <c r="E5949">
        <v>1</v>
      </c>
      <c r="F5949">
        <v>6113061206</v>
      </c>
      <c r="G5949">
        <v>7491000</v>
      </c>
      <c r="H5949" t="s">
        <v>40293</v>
      </c>
      <c r="I5949">
        <v>45998</v>
      </c>
      <c r="J5949">
        <v>6</v>
      </c>
      <c r="K5949">
        <v>6</v>
      </c>
    </row>
    <row r="5950" spans="1:11">
      <c r="A5950">
        <v>90</v>
      </c>
      <c r="B5950" t="b">
        <v>0</v>
      </c>
      <c r="C5950" t="s">
        <v>41822</v>
      </c>
      <c r="D5950">
        <v>1037022454355</v>
      </c>
      <c r="E5950">
        <v>1</v>
      </c>
      <c r="F5950">
        <v>6127721296</v>
      </c>
      <c r="G5950">
        <v>6999000</v>
      </c>
      <c r="H5950" t="s">
        <v>40293</v>
      </c>
      <c r="I5950">
        <v>45998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42267</v>
      </c>
      <c r="D5951">
        <v>1037022454355</v>
      </c>
      <c r="E5951">
        <v>1</v>
      </c>
      <c r="F5951">
        <v>6130727357</v>
      </c>
      <c r="G5951">
        <v>6800000</v>
      </c>
      <c r="H5951" t="s">
        <v>40293</v>
      </c>
      <c r="I5951">
        <v>45998</v>
      </c>
      <c r="J5951">
        <v>2</v>
      </c>
      <c r="K5951">
        <v>2</v>
      </c>
    </row>
    <row r="5952" spans="1:11">
      <c r="A5952">
        <v>90</v>
      </c>
      <c r="B5952" t="b">
        <v>0</v>
      </c>
      <c r="C5952" t="s">
        <v>42174</v>
      </c>
      <c r="D5952">
        <v>1037022454355</v>
      </c>
      <c r="E5952">
        <v>1</v>
      </c>
      <c r="F5952">
        <v>6122939312</v>
      </c>
      <c r="G5952">
        <v>6795000</v>
      </c>
      <c r="H5952" t="s">
        <v>40293</v>
      </c>
      <c r="I5952">
        <v>45998</v>
      </c>
      <c r="J5952">
        <v>1</v>
      </c>
      <c r="K5952">
        <v>16</v>
      </c>
    </row>
    <row r="5953" spans="1:11">
      <c r="A5953">
        <v>90</v>
      </c>
      <c r="B5953" t="b">
        <v>0</v>
      </c>
      <c r="C5953" t="s">
        <v>46293</v>
      </c>
      <c r="D5953">
        <v>1037022454355</v>
      </c>
      <c r="E5953">
        <v>1</v>
      </c>
      <c r="F5953">
        <v>6148354638</v>
      </c>
      <c r="G5953">
        <v>6694000</v>
      </c>
      <c r="H5953" t="s">
        <v>40293</v>
      </c>
      <c r="I5953">
        <v>45998</v>
      </c>
      <c r="J5953">
        <v>1</v>
      </c>
      <c r="K5953">
        <v>1</v>
      </c>
    </row>
    <row r="5954" spans="1:11">
      <c r="A5954">
        <v>90</v>
      </c>
      <c r="B5954" t="b">
        <v>0</v>
      </c>
      <c r="C5954" t="s">
        <v>45600</v>
      </c>
      <c r="D5954">
        <v>1037022454355</v>
      </c>
      <c r="E5954">
        <v>1</v>
      </c>
      <c r="F5954">
        <v>6148509715</v>
      </c>
      <c r="G5954">
        <v>6690000</v>
      </c>
      <c r="H5954" t="s">
        <v>40293</v>
      </c>
      <c r="I5954">
        <v>45998</v>
      </c>
      <c r="J5954">
        <v>4</v>
      </c>
      <c r="K5954">
        <v>5</v>
      </c>
    </row>
    <row r="5955" spans="1:11">
      <c r="A5955">
        <v>90</v>
      </c>
      <c r="B5955" t="b">
        <v>0</v>
      </c>
      <c r="C5955" t="s">
        <v>45440</v>
      </c>
      <c r="D5955">
        <v>1037022454355</v>
      </c>
      <c r="E5955">
        <v>1</v>
      </c>
      <c r="F5955">
        <v>6150342755</v>
      </c>
      <c r="G5955">
        <v>6638000</v>
      </c>
      <c r="H5955" t="s">
        <v>40293</v>
      </c>
      <c r="I5955">
        <v>45998</v>
      </c>
      <c r="J5955">
        <v>1</v>
      </c>
      <c r="K5955">
        <v>1</v>
      </c>
    </row>
    <row r="5956" spans="1:11">
      <c r="A5956">
        <v>90</v>
      </c>
      <c r="B5956" t="b">
        <v>0</v>
      </c>
      <c r="C5956" t="s">
        <v>45849</v>
      </c>
      <c r="D5956">
        <v>1037022454355</v>
      </c>
      <c r="E5956">
        <v>1</v>
      </c>
      <c r="F5956">
        <v>6150314822</v>
      </c>
      <c r="G5956">
        <v>6638000</v>
      </c>
      <c r="H5956" t="s">
        <v>40293</v>
      </c>
      <c r="I5956">
        <v>45998</v>
      </c>
      <c r="J5956">
        <v>2</v>
      </c>
      <c r="K5956">
        <v>2</v>
      </c>
    </row>
    <row r="5957" spans="1:11">
      <c r="A5957">
        <v>90</v>
      </c>
      <c r="B5957" t="b">
        <v>0</v>
      </c>
      <c r="C5957" t="s">
        <v>46434</v>
      </c>
      <c r="D5957">
        <v>1037022454355</v>
      </c>
      <c r="E5957">
        <v>1</v>
      </c>
      <c r="F5957">
        <v>6150552190</v>
      </c>
      <c r="G5957">
        <v>6634000</v>
      </c>
      <c r="H5957" t="s">
        <v>40293</v>
      </c>
      <c r="I5957">
        <v>45998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44156</v>
      </c>
      <c r="D5958">
        <v>1037022454355</v>
      </c>
      <c r="E5958">
        <v>1</v>
      </c>
      <c r="F5958">
        <v>6154094144</v>
      </c>
      <c r="G5958">
        <v>6508000</v>
      </c>
      <c r="H5958" t="s">
        <v>40293</v>
      </c>
      <c r="I5958">
        <v>45998</v>
      </c>
      <c r="J5958">
        <v>1</v>
      </c>
      <c r="K5958">
        <v>1</v>
      </c>
    </row>
    <row r="5959" spans="1:11">
      <c r="A5959">
        <v>90</v>
      </c>
      <c r="B5959" t="b">
        <v>0</v>
      </c>
      <c r="C5959" t="s">
        <v>44238</v>
      </c>
      <c r="D5959">
        <v>1037022454355</v>
      </c>
      <c r="E5959">
        <v>1</v>
      </c>
      <c r="F5959">
        <v>6151244446</v>
      </c>
      <c r="G5959">
        <v>6500000</v>
      </c>
      <c r="H5959" t="s">
        <v>40293</v>
      </c>
      <c r="I5959">
        <v>45998</v>
      </c>
      <c r="J5959">
        <v>14</v>
      </c>
      <c r="K5959">
        <v>14</v>
      </c>
    </row>
    <row r="5960" spans="1:11">
      <c r="A5960">
        <v>90</v>
      </c>
      <c r="B5960" t="b">
        <v>0</v>
      </c>
      <c r="C5960" t="s">
        <v>46315</v>
      </c>
      <c r="D5960">
        <v>1037022454355</v>
      </c>
      <c r="E5960">
        <v>1</v>
      </c>
      <c r="F5960">
        <v>6153335596</v>
      </c>
      <c r="G5960">
        <v>6484000</v>
      </c>
      <c r="H5960" t="s">
        <v>40293</v>
      </c>
      <c r="I5960">
        <v>45998</v>
      </c>
      <c r="J5960">
        <v>1</v>
      </c>
      <c r="K5960">
        <v>1</v>
      </c>
    </row>
    <row r="5961" spans="1:11">
      <c r="A5961">
        <v>90</v>
      </c>
      <c r="B5961" t="b">
        <v>0</v>
      </c>
      <c r="C5961" t="s">
        <v>44384</v>
      </c>
      <c r="D5961">
        <v>1037022454355</v>
      </c>
      <c r="E5961">
        <v>1</v>
      </c>
      <c r="F5961">
        <v>6154049657</v>
      </c>
      <c r="G5961">
        <v>6483000</v>
      </c>
      <c r="H5961" t="s">
        <v>40293</v>
      </c>
      <c r="I5961">
        <v>45998</v>
      </c>
      <c r="J5961">
        <v>5</v>
      </c>
      <c r="K5961">
        <v>5</v>
      </c>
    </row>
    <row r="5962" spans="1:11">
      <c r="A5962">
        <v>90</v>
      </c>
      <c r="B5962" t="b">
        <v>0</v>
      </c>
      <c r="C5962" t="s">
        <v>44036</v>
      </c>
      <c r="D5962">
        <v>1037022454355</v>
      </c>
      <c r="E5962">
        <v>1</v>
      </c>
      <c r="F5962">
        <v>6152323100</v>
      </c>
      <c r="G5962">
        <v>6400000</v>
      </c>
      <c r="H5962" t="s">
        <v>40293</v>
      </c>
      <c r="I5962">
        <v>45998</v>
      </c>
      <c r="J5962">
        <v>10</v>
      </c>
      <c r="K5962">
        <v>11</v>
      </c>
    </row>
    <row r="5963" spans="1:11">
      <c r="A5963">
        <v>90</v>
      </c>
      <c r="B5963" t="b">
        <v>0</v>
      </c>
      <c r="C5963" t="s">
        <v>45728</v>
      </c>
      <c r="D5963">
        <v>1037022454355</v>
      </c>
      <c r="E5963">
        <v>1</v>
      </c>
      <c r="F5963">
        <v>6152738368</v>
      </c>
      <c r="G5963">
        <v>6395000</v>
      </c>
      <c r="H5963" t="s">
        <v>40293</v>
      </c>
      <c r="I5963">
        <v>45998</v>
      </c>
      <c r="J5963">
        <v>4</v>
      </c>
      <c r="K5963">
        <v>4</v>
      </c>
    </row>
    <row r="5964" spans="1:11">
      <c r="A5964">
        <v>30</v>
      </c>
      <c r="B5964" t="b">
        <v>0</v>
      </c>
      <c r="C5964" t="s">
        <v>44530</v>
      </c>
      <c r="D5964">
        <v>1037022454355</v>
      </c>
      <c r="E5964">
        <v>1</v>
      </c>
      <c r="F5964">
        <v>6154296121</v>
      </c>
      <c r="G5964">
        <v>4504000</v>
      </c>
      <c r="H5964" t="s">
        <v>40293</v>
      </c>
      <c r="I5964">
        <v>45998</v>
      </c>
      <c r="J5964">
        <v>30</v>
      </c>
      <c r="K5964">
        <v>30</v>
      </c>
    </row>
    <row r="5965" spans="1:11">
      <c r="A5965">
        <v>90</v>
      </c>
      <c r="B5965" t="b">
        <v>0</v>
      </c>
      <c r="C5965" t="s">
        <v>44104</v>
      </c>
      <c r="D5965">
        <v>1037022454355</v>
      </c>
      <c r="E5965">
        <v>1</v>
      </c>
      <c r="F5965">
        <v>6155240312</v>
      </c>
      <c r="G5965">
        <v>4407000</v>
      </c>
      <c r="H5965" t="s">
        <v>40293</v>
      </c>
      <c r="I5965">
        <v>45998</v>
      </c>
      <c r="J5965">
        <v>2</v>
      </c>
      <c r="K5965">
        <v>5</v>
      </c>
    </row>
    <row r="5966" spans="1:11">
      <c r="A5966">
        <v>90</v>
      </c>
      <c r="B5966" t="b">
        <v>0</v>
      </c>
      <c r="C5966" t="s">
        <v>44954</v>
      </c>
      <c r="D5966">
        <v>1037022454355</v>
      </c>
      <c r="E5966">
        <v>1</v>
      </c>
      <c r="F5966">
        <v>6155480999</v>
      </c>
      <c r="G5966">
        <v>4406000</v>
      </c>
      <c r="H5966" t="s">
        <v>40293</v>
      </c>
      <c r="I5966">
        <v>45998</v>
      </c>
      <c r="J5966">
        <v>4</v>
      </c>
      <c r="K5966">
        <v>4</v>
      </c>
    </row>
    <row r="5967" spans="1:11">
      <c r="A5967">
        <v>14</v>
      </c>
      <c r="B5967" t="b">
        <v>0</v>
      </c>
      <c r="C5967" t="s">
        <v>45203</v>
      </c>
      <c r="D5967">
        <v>1037022454355</v>
      </c>
      <c r="E5967">
        <v>1</v>
      </c>
      <c r="F5967">
        <v>6153911340</v>
      </c>
      <c r="G5967">
        <v>4008000</v>
      </c>
      <c r="H5967" t="s">
        <v>40293</v>
      </c>
      <c r="I5967">
        <v>45998</v>
      </c>
      <c r="J5967">
        <v>45</v>
      </c>
      <c r="K5967">
        <v>45</v>
      </c>
    </row>
    <row r="5968" spans="1:11">
      <c r="A5968">
        <v>90</v>
      </c>
      <c r="B5968" t="b">
        <v>0</v>
      </c>
      <c r="C5968" t="s">
        <v>44941</v>
      </c>
      <c r="D5968">
        <v>1037022454355</v>
      </c>
      <c r="E5968">
        <v>1</v>
      </c>
      <c r="F5968">
        <v>6149746449</v>
      </c>
      <c r="G5968">
        <v>21990000</v>
      </c>
      <c r="H5968" t="s">
        <v>40293</v>
      </c>
      <c r="I5968">
        <v>45999</v>
      </c>
      <c r="J5968">
        <v>7</v>
      </c>
      <c r="K5968">
        <v>15</v>
      </c>
    </row>
    <row r="5969" spans="1:11">
      <c r="A5969">
        <v>90</v>
      </c>
      <c r="B5969" t="b">
        <v>0</v>
      </c>
      <c r="C5969" t="s">
        <v>44126</v>
      </c>
      <c r="D5969">
        <v>1037022454355</v>
      </c>
      <c r="E5969">
        <v>1</v>
      </c>
      <c r="F5969">
        <v>6157534321</v>
      </c>
      <c r="G5969">
        <v>21980000</v>
      </c>
      <c r="H5969" t="s">
        <v>40293</v>
      </c>
      <c r="I5969">
        <v>45999</v>
      </c>
      <c r="J5969">
        <v>1</v>
      </c>
      <c r="K5969">
        <v>1</v>
      </c>
    </row>
    <row r="5970" spans="1:11">
      <c r="A5970">
        <v>90</v>
      </c>
      <c r="B5970" t="b">
        <v>0</v>
      </c>
      <c r="C5970" t="s">
        <v>43963</v>
      </c>
      <c r="D5970">
        <v>1037022454355</v>
      </c>
      <c r="E5970">
        <v>1</v>
      </c>
      <c r="F5970">
        <v>6144425527</v>
      </c>
      <c r="G5970">
        <v>36990000</v>
      </c>
      <c r="H5970" t="s">
        <v>40293</v>
      </c>
      <c r="I5970">
        <v>46000</v>
      </c>
      <c r="J5970">
        <v>6</v>
      </c>
      <c r="K5970">
        <v>6</v>
      </c>
    </row>
    <row r="5971" spans="1:11">
      <c r="A5971">
        <v>7</v>
      </c>
      <c r="B5971" t="b">
        <v>0</v>
      </c>
      <c r="C5971" t="s">
        <v>44056</v>
      </c>
      <c r="D5971">
        <v>1037022454355</v>
      </c>
      <c r="E5971">
        <v>1</v>
      </c>
      <c r="F5971">
        <v>6152585532</v>
      </c>
      <c r="G5971">
        <v>30620000</v>
      </c>
      <c r="H5971" t="s">
        <v>40293</v>
      </c>
      <c r="I5971">
        <v>46000</v>
      </c>
      <c r="J5971">
        <v>1</v>
      </c>
      <c r="K5971">
        <v>1</v>
      </c>
    </row>
    <row r="5972" spans="1:11">
      <c r="A5972">
        <v>14</v>
      </c>
      <c r="B5972" t="b">
        <v>0</v>
      </c>
      <c r="C5972" t="s">
        <v>44441</v>
      </c>
      <c r="D5972">
        <v>1037022454355</v>
      </c>
      <c r="E5972">
        <v>1</v>
      </c>
      <c r="F5972">
        <v>6152590834</v>
      </c>
      <c r="G5972">
        <v>30600000</v>
      </c>
      <c r="H5972" t="s">
        <v>40293</v>
      </c>
      <c r="I5972">
        <v>46000</v>
      </c>
      <c r="J5972">
        <v>1</v>
      </c>
      <c r="K5972">
        <v>1</v>
      </c>
    </row>
    <row r="5973" spans="1:11">
      <c r="A5973">
        <v>90</v>
      </c>
      <c r="B5973" t="b">
        <v>0</v>
      </c>
      <c r="C5973" t="s">
        <v>45728</v>
      </c>
      <c r="D5973">
        <v>1037022454355</v>
      </c>
      <c r="E5973">
        <v>1</v>
      </c>
      <c r="F5973">
        <v>6152738369</v>
      </c>
      <c r="G5973">
        <v>30000000</v>
      </c>
      <c r="H5973" t="s">
        <v>40293</v>
      </c>
      <c r="I5973">
        <v>46000</v>
      </c>
      <c r="J5973">
        <v>1</v>
      </c>
      <c r="K5973">
        <v>1</v>
      </c>
    </row>
    <row r="5974" spans="1:11">
      <c r="A5974">
        <v>90</v>
      </c>
      <c r="B5974" t="b">
        <v>0</v>
      </c>
      <c r="C5974" t="s">
        <v>46305</v>
      </c>
      <c r="D5974">
        <v>1037022454355</v>
      </c>
      <c r="E5974">
        <v>1</v>
      </c>
      <c r="F5974">
        <v>6153335477</v>
      </c>
      <c r="G5974">
        <v>29530000</v>
      </c>
      <c r="H5974" t="s">
        <v>40293</v>
      </c>
      <c r="I5974">
        <v>46000</v>
      </c>
      <c r="J5974">
        <v>1</v>
      </c>
      <c r="K5974">
        <v>1</v>
      </c>
    </row>
    <row r="5975" spans="1:11">
      <c r="A5975">
        <v>14</v>
      </c>
      <c r="B5975" t="b">
        <v>0</v>
      </c>
      <c r="C5975" t="s">
        <v>46422</v>
      </c>
      <c r="D5975">
        <v>1037022454355</v>
      </c>
      <c r="E5975">
        <v>1</v>
      </c>
      <c r="F5975">
        <v>6153632217</v>
      </c>
      <c r="G5975">
        <v>29530000</v>
      </c>
      <c r="H5975" t="s">
        <v>40293</v>
      </c>
      <c r="I5975">
        <v>46000</v>
      </c>
      <c r="J5975">
        <v>1</v>
      </c>
      <c r="K5975">
        <v>1</v>
      </c>
    </row>
    <row r="5976" spans="1:11">
      <c r="A5976">
        <v>90</v>
      </c>
      <c r="B5976" t="b">
        <v>0</v>
      </c>
      <c r="C5976" t="s">
        <v>46058</v>
      </c>
      <c r="D5976">
        <v>1037022454355</v>
      </c>
      <c r="E5976">
        <v>1</v>
      </c>
      <c r="F5976">
        <v>6149072202</v>
      </c>
      <c r="G5976">
        <v>29520000</v>
      </c>
      <c r="H5976" t="s">
        <v>40293</v>
      </c>
      <c r="I5976">
        <v>46000</v>
      </c>
      <c r="J5976">
        <v>1</v>
      </c>
      <c r="K5976">
        <v>1</v>
      </c>
    </row>
    <row r="5977" spans="1:11">
      <c r="A5977">
        <v>90</v>
      </c>
      <c r="B5977" t="b">
        <v>0</v>
      </c>
      <c r="C5977" t="s">
        <v>44064</v>
      </c>
      <c r="D5977">
        <v>1037022454355</v>
      </c>
      <c r="E5977">
        <v>1</v>
      </c>
      <c r="F5977">
        <v>6154879355</v>
      </c>
      <c r="G5977">
        <v>29510000</v>
      </c>
      <c r="H5977" t="s">
        <v>40293</v>
      </c>
      <c r="I5977">
        <v>46000</v>
      </c>
      <c r="J5977">
        <v>2</v>
      </c>
      <c r="K5977">
        <v>2</v>
      </c>
    </row>
    <row r="5978" spans="1:11">
      <c r="A5978">
        <v>90</v>
      </c>
      <c r="B5978" t="b">
        <v>0</v>
      </c>
      <c r="C5978" t="s">
        <v>44415</v>
      </c>
      <c r="D5978">
        <v>1037022454355</v>
      </c>
      <c r="E5978">
        <v>1</v>
      </c>
      <c r="F5978">
        <v>6156293282</v>
      </c>
      <c r="G5978">
        <v>29500000</v>
      </c>
      <c r="H5978" t="s">
        <v>40293</v>
      </c>
      <c r="I5978">
        <v>46000</v>
      </c>
      <c r="J5978">
        <v>2</v>
      </c>
      <c r="K5978">
        <v>2</v>
      </c>
    </row>
    <row r="5979" spans="1:11">
      <c r="A5979">
        <v>90</v>
      </c>
      <c r="B5979" t="b">
        <v>0</v>
      </c>
      <c r="C5979" t="s">
        <v>44930</v>
      </c>
      <c r="D5979">
        <v>1037022454355</v>
      </c>
      <c r="E5979">
        <v>1</v>
      </c>
      <c r="F5979">
        <v>6155841182</v>
      </c>
      <c r="G5979">
        <v>19530000</v>
      </c>
      <c r="H5979" t="s">
        <v>40293</v>
      </c>
      <c r="I5979">
        <v>46000</v>
      </c>
      <c r="J5979">
        <v>1</v>
      </c>
      <c r="K5979">
        <v>1</v>
      </c>
    </row>
    <row r="5980" spans="1:11">
      <c r="A5980">
        <v>90</v>
      </c>
      <c r="B5980" t="b">
        <v>0</v>
      </c>
      <c r="C5980" t="s">
        <v>44230</v>
      </c>
      <c r="D5980">
        <v>1037022454355</v>
      </c>
      <c r="E5980">
        <v>1</v>
      </c>
      <c r="F5980">
        <v>6152292941</v>
      </c>
      <c r="G5980">
        <v>19520000</v>
      </c>
      <c r="H5980" t="s">
        <v>40293</v>
      </c>
      <c r="I5980">
        <v>46000</v>
      </c>
      <c r="J5980">
        <v>1</v>
      </c>
      <c r="K5980">
        <v>1</v>
      </c>
    </row>
    <row r="5981" spans="1:11">
      <c r="A5981">
        <v>90</v>
      </c>
      <c r="B5981" t="b">
        <v>0</v>
      </c>
      <c r="C5981" t="s">
        <v>42081</v>
      </c>
      <c r="D5981">
        <v>1037022454355</v>
      </c>
      <c r="E5981">
        <v>1</v>
      </c>
      <c r="F5981">
        <v>6129263938</v>
      </c>
      <c r="G5981">
        <v>288000</v>
      </c>
      <c r="H5981" t="s">
        <v>40293</v>
      </c>
      <c r="I5981">
        <v>46001</v>
      </c>
      <c r="J5981">
        <v>1</v>
      </c>
      <c r="K5981">
        <v>1</v>
      </c>
    </row>
    <row r="5982" spans="1:11">
      <c r="A5982">
        <v>90</v>
      </c>
      <c r="B5982" t="b">
        <v>0</v>
      </c>
      <c r="C5982" t="s">
        <v>42862</v>
      </c>
      <c r="D5982">
        <v>1037022454355</v>
      </c>
      <c r="E5982">
        <v>1</v>
      </c>
      <c r="F5982">
        <v>6137183722</v>
      </c>
      <c r="G5982">
        <v>280000</v>
      </c>
      <c r="H5982" t="s">
        <v>40293</v>
      </c>
      <c r="I5982">
        <v>46001</v>
      </c>
      <c r="J5982">
        <v>1</v>
      </c>
      <c r="K5982">
        <v>3</v>
      </c>
    </row>
    <row r="5983" spans="1:11">
      <c r="A5983">
        <v>90</v>
      </c>
      <c r="B5983" t="b">
        <v>0</v>
      </c>
      <c r="C5983" t="s">
        <v>45494</v>
      </c>
      <c r="D5983">
        <v>1037022454355</v>
      </c>
      <c r="E5983">
        <v>1</v>
      </c>
      <c r="F5983">
        <v>6150343394</v>
      </c>
      <c r="G5983">
        <v>279100</v>
      </c>
      <c r="H5983" t="s">
        <v>40293</v>
      </c>
      <c r="I5983">
        <v>46001</v>
      </c>
      <c r="J5983">
        <v>1</v>
      </c>
      <c r="K5983">
        <v>1</v>
      </c>
    </row>
    <row r="5984" spans="1:11">
      <c r="A5984">
        <v>90</v>
      </c>
      <c r="B5984" t="b">
        <v>0</v>
      </c>
      <c r="C5984" t="s">
        <v>45725</v>
      </c>
      <c r="D5984">
        <v>1037022454355</v>
      </c>
      <c r="E5984">
        <v>1</v>
      </c>
      <c r="F5984">
        <v>6148445732</v>
      </c>
      <c r="G5984">
        <v>279000</v>
      </c>
      <c r="H5984" t="s">
        <v>40293</v>
      </c>
      <c r="I5984">
        <v>46001</v>
      </c>
      <c r="J5984">
        <v>7</v>
      </c>
      <c r="K5984">
        <v>7</v>
      </c>
    </row>
    <row r="5985" spans="1:11">
      <c r="A5985">
        <v>90</v>
      </c>
      <c r="B5985" t="b">
        <v>0</v>
      </c>
      <c r="C5985" t="s">
        <v>45617</v>
      </c>
      <c r="D5985">
        <v>1037022454355</v>
      </c>
      <c r="E5985">
        <v>1</v>
      </c>
      <c r="F5985">
        <v>6148509884</v>
      </c>
      <c r="G5985">
        <v>278100</v>
      </c>
      <c r="H5985" t="s">
        <v>40293</v>
      </c>
      <c r="I5985">
        <v>46001</v>
      </c>
      <c r="J5985">
        <v>4</v>
      </c>
      <c r="K5985">
        <v>5</v>
      </c>
    </row>
    <row r="5986" spans="1:11">
      <c r="A5986">
        <v>90</v>
      </c>
      <c r="B5986" t="b">
        <v>0</v>
      </c>
      <c r="C5986" t="s">
        <v>44384</v>
      </c>
      <c r="D5986">
        <v>1037022454355</v>
      </c>
      <c r="E5986">
        <v>1</v>
      </c>
      <c r="F5986">
        <v>6154049655</v>
      </c>
      <c r="G5986">
        <v>273500</v>
      </c>
      <c r="H5986" t="s">
        <v>40293</v>
      </c>
      <c r="I5986">
        <v>46001</v>
      </c>
      <c r="J5986">
        <v>5</v>
      </c>
      <c r="K5986">
        <v>5</v>
      </c>
    </row>
    <row r="5987" spans="1:11">
      <c r="A5987">
        <v>90</v>
      </c>
      <c r="B5987" t="b">
        <v>0</v>
      </c>
      <c r="C5987" t="s">
        <v>46150</v>
      </c>
      <c r="D5987">
        <v>1037022454355</v>
      </c>
      <c r="E5987">
        <v>1</v>
      </c>
      <c r="F5987">
        <v>6148221676</v>
      </c>
      <c r="G5987">
        <v>271500</v>
      </c>
      <c r="H5987" t="s">
        <v>40293</v>
      </c>
      <c r="I5987">
        <v>46001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44463</v>
      </c>
      <c r="D5988">
        <v>1037022454355</v>
      </c>
      <c r="E5988">
        <v>1</v>
      </c>
      <c r="F5988">
        <v>6155835257</v>
      </c>
      <c r="G5988">
        <v>253300</v>
      </c>
      <c r="H5988" t="s">
        <v>40293</v>
      </c>
      <c r="I5988">
        <v>46001</v>
      </c>
      <c r="J5988">
        <v>5</v>
      </c>
      <c r="K5988">
        <v>5</v>
      </c>
    </row>
    <row r="5989" spans="1:11">
      <c r="A5989">
        <v>90</v>
      </c>
      <c r="B5989" t="b">
        <v>0</v>
      </c>
      <c r="C5989" t="s">
        <v>44343</v>
      </c>
      <c r="D5989">
        <v>1037022454355</v>
      </c>
      <c r="E5989">
        <v>1</v>
      </c>
      <c r="F5989">
        <v>6151508113</v>
      </c>
      <c r="G5989">
        <v>253000</v>
      </c>
      <c r="H5989" t="s">
        <v>40293</v>
      </c>
      <c r="I5989">
        <v>46001</v>
      </c>
      <c r="J5989">
        <v>1</v>
      </c>
      <c r="K5989">
        <v>1</v>
      </c>
    </row>
    <row r="5990" spans="1:11">
      <c r="A5990">
        <v>90</v>
      </c>
      <c r="B5990" t="b">
        <v>0</v>
      </c>
      <c r="C5990" t="s">
        <v>45879</v>
      </c>
      <c r="D5990">
        <v>1037022454355</v>
      </c>
      <c r="E5990">
        <v>1</v>
      </c>
      <c r="F5990">
        <v>6154902657</v>
      </c>
      <c r="G5990">
        <v>253000</v>
      </c>
      <c r="H5990" t="s">
        <v>40293</v>
      </c>
      <c r="I5990">
        <v>46001</v>
      </c>
      <c r="J5990">
        <v>1</v>
      </c>
      <c r="K5990">
        <v>1</v>
      </c>
    </row>
    <row r="5991" spans="1:11">
      <c r="A5991">
        <v>90</v>
      </c>
      <c r="B5991" t="b">
        <v>0</v>
      </c>
      <c r="C5991" t="s">
        <v>44866</v>
      </c>
      <c r="D5991">
        <v>1037022454355</v>
      </c>
      <c r="E5991">
        <v>1</v>
      </c>
      <c r="F5991">
        <v>6150761312</v>
      </c>
      <c r="G5991">
        <v>252900</v>
      </c>
      <c r="H5991" t="s">
        <v>40293</v>
      </c>
      <c r="I5991">
        <v>46001</v>
      </c>
      <c r="J5991">
        <v>1</v>
      </c>
      <c r="K5991">
        <v>4</v>
      </c>
    </row>
    <row r="5992" spans="1:11">
      <c r="A5992">
        <v>90</v>
      </c>
      <c r="B5992" t="b">
        <v>0</v>
      </c>
      <c r="C5992" t="s">
        <v>41592</v>
      </c>
      <c r="D5992">
        <v>1037022454355</v>
      </c>
      <c r="E5992">
        <v>1</v>
      </c>
      <c r="F5992">
        <v>6118928532</v>
      </c>
      <c r="G5992">
        <v>6746000</v>
      </c>
      <c r="H5992" t="s">
        <v>40293</v>
      </c>
      <c r="I5992">
        <v>46002</v>
      </c>
      <c r="J5992">
        <v>1</v>
      </c>
      <c r="K5992">
        <v>1</v>
      </c>
    </row>
    <row r="5993" spans="1:11">
      <c r="A5993">
        <v>90</v>
      </c>
      <c r="B5993" t="b">
        <v>0</v>
      </c>
      <c r="C5993" t="s">
        <v>45737</v>
      </c>
      <c r="D5993">
        <v>1037022454355</v>
      </c>
      <c r="E5993">
        <v>1</v>
      </c>
      <c r="F5993">
        <v>6148445881</v>
      </c>
      <c r="G5993">
        <v>6245000</v>
      </c>
      <c r="H5993" t="s">
        <v>40293</v>
      </c>
      <c r="I5993">
        <v>46002</v>
      </c>
      <c r="J5993">
        <v>5</v>
      </c>
      <c r="K5993">
        <v>6</v>
      </c>
    </row>
    <row r="5994" spans="1:11">
      <c r="A5994">
        <v>90</v>
      </c>
      <c r="B5994" t="b">
        <v>0</v>
      </c>
      <c r="C5994" t="s">
        <v>44540</v>
      </c>
      <c r="D5994">
        <v>1037022454355</v>
      </c>
      <c r="E5994">
        <v>1</v>
      </c>
      <c r="F5994">
        <v>6148866264</v>
      </c>
      <c r="G5994">
        <v>5500000</v>
      </c>
      <c r="H5994" t="s">
        <v>40293</v>
      </c>
      <c r="I5994">
        <v>46002</v>
      </c>
      <c r="J5994">
        <v>1</v>
      </c>
      <c r="K5994">
        <v>1</v>
      </c>
    </row>
    <row r="5995" spans="1:11">
      <c r="A5995">
        <v>90</v>
      </c>
      <c r="B5995" t="b">
        <v>0</v>
      </c>
      <c r="C5995" t="s">
        <v>44423</v>
      </c>
      <c r="D5995">
        <v>1037022454355</v>
      </c>
      <c r="E5995">
        <v>1</v>
      </c>
      <c r="F5995">
        <v>6129002527</v>
      </c>
      <c r="G5995">
        <v>5114000</v>
      </c>
      <c r="H5995" t="s">
        <v>40293</v>
      </c>
      <c r="I5995">
        <v>46002</v>
      </c>
      <c r="J5995">
        <v>1</v>
      </c>
      <c r="K5995">
        <v>1</v>
      </c>
    </row>
    <row r="5996" spans="1:11">
      <c r="A5996">
        <v>90</v>
      </c>
      <c r="B5996" t="b">
        <v>0</v>
      </c>
      <c r="C5996" t="s">
        <v>44156</v>
      </c>
      <c r="D5996">
        <v>1037022454355</v>
      </c>
      <c r="E5996">
        <v>1</v>
      </c>
      <c r="F5996">
        <v>6154094141</v>
      </c>
      <c r="G5996">
        <v>5113000</v>
      </c>
      <c r="H5996" t="s">
        <v>40293</v>
      </c>
      <c r="I5996">
        <v>46002</v>
      </c>
      <c r="J5996">
        <v>2</v>
      </c>
      <c r="K5996">
        <v>2</v>
      </c>
    </row>
    <row r="5997" spans="1:11">
      <c r="A5997">
        <v>90</v>
      </c>
      <c r="B5997" t="b">
        <v>0</v>
      </c>
      <c r="C5997" t="s">
        <v>46136</v>
      </c>
      <c r="D5997">
        <v>1037022454355</v>
      </c>
      <c r="E5997">
        <v>1</v>
      </c>
      <c r="F5997">
        <v>6137571915</v>
      </c>
      <c r="G5997">
        <v>5110000</v>
      </c>
      <c r="H5997" t="s">
        <v>40293</v>
      </c>
      <c r="I5997">
        <v>46002</v>
      </c>
      <c r="J5997">
        <v>10</v>
      </c>
      <c r="K5997">
        <v>19</v>
      </c>
    </row>
    <row r="5998" spans="1:11">
      <c r="A5998">
        <v>90</v>
      </c>
      <c r="B5998" t="b">
        <v>0</v>
      </c>
      <c r="C5998" t="s">
        <v>44552</v>
      </c>
      <c r="D5998">
        <v>1037022454355</v>
      </c>
      <c r="E5998">
        <v>1</v>
      </c>
      <c r="F5998">
        <v>6146432084</v>
      </c>
      <c r="G5998">
        <v>5095000</v>
      </c>
      <c r="H5998" t="s">
        <v>40293</v>
      </c>
      <c r="I5998">
        <v>46002</v>
      </c>
      <c r="J5998">
        <v>1</v>
      </c>
      <c r="K5998">
        <v>1</v>
      </c>
    </row>
    <row r="5999" spans="1:11">
      <c r="A5999">
        <v>90</v>
      </c>
      <c r="B5999" t="b">
        <v>0</v>
      </c>
      <c r="C5999" t="s">
        <v>46546</v>
      </c>
      <c r="D5999">
        <v>1037022454355</v>
      </c>
      <c r="E5999">
        <v>1</v>
      </c>
      <c r="F5999">
        <v>6157532890</v>
      </c>
      <c r="G5999">
        <v>5094000</v>
      </c>
      <c r="H5999" t="s">
        <v>40293</v>
      </c>
      <c r="I5999">
        <v>46002</v>
      </c>
      <c r="J5999">
        <v>1</v>
      </c>
      <c r="K5999">
        <v>1</v>
      </c>
    </row>
    <row r="6000" spans="1:11">
      <c r="A6000">
        <v>90</v>
      </c>
      <c r="B6000" t="b">
        <v>0</v>
      </c>
      <c r="C6000" t="s">
        <v>41190</v>
      </c>
      <c r="D6000">
        <v>1037022454355</v>
      </c>
      <c r="E6000">
        <v>1</v>
      </c>
      <c r="F6000">
        <v>6086217219</v>
      </c>
      <c r="G6000">
        <v>19780000</v>
      </c>
      <c r="H6000" t="s">
        <v>40293</v>
      </c>
      <c r="I6000">
        <v>46003</v>
      </c>
      <c r="J6000">
        <v>5</v>
      </c>
      <c r="K6000">
        <v>5</v>
      </c>
    </row>
    <row r="6001" spans="1:11">
      <c r="A6001">
        <v>90</v>
      </c>
      <c r="B6001" t="b">
        <v>0</v>
      </c>
      <c r="C6001" t="s">
        <v>40925</v>
      </c>
      <c r="D6001">
        <v>1037022454355</v>
      </c>
      <c r="E6001">
        <v>1</v>
      </c>
      <c r="F6001">
        <v>6100465780</v>
      </c>
      <c r="G6001">
        <v>19770000</v>
      </c>
      <c r="H6001" t="s">
        <v>40293</v>
      </c>
      <c r="I6001">
        <v>46003</v>
      </c>
      <c r="J6001">
        <v>1</v>
      </c>
      <c r="K6001">
        <v>1</v>
      </c>
    </row>
    <row r="6002" spans="1:11">
      <c r="A6002">
        <v>90</v>
      </c>
      <c r="B6002" t="b">
        <v>0</v>
      </c>
      <c r="C6002" t="s">
        <v>40618</v>
      </c>
      <c r="D6002">
        <v>1037022454355</v>
      </c>
      <c r="E6002">
        <v>1</v>
      </c>
      <c r="F6002">
        <v>6119922858</v>
      </c>
      <c r="G6002">
        <v>19480000</v>
      </c>
      <c r="H6002" t="s">
        <v>40293</v>
      </c>
      <c r="I6002">
        <v>46003</v>
      </c>
      <c r="J6002">
        <v>3</v>
      </c>
      <c r="K6002">
        <v>7</v>
      </c>
    </row>
    <row r="6003" spans="1:11">
      <c r="A6003">
        <v>90</v>
      </c>
      <c r="B6003" t="b">
        <v>0</v>
      </c>
      <c r="C6003" t="s">
        <v>41831</v>
      </c>
      <c r="D6003">
        <v>1037022454355</v>
      </c>
      <c r="E6003">
        <v>1</v>
      </c>
      <c r="F6003">
        <v>6127460358</v>
      </c>
      <c r="G6003">
        <v>19470000</v>
      </c>
      <c r="H6003" t="s">
        <v>40293</v>
      </c>
      <c r="I6003">
        <v>46003</v>
      </c>
      <c r="J6003">
        <v>6</v>
      </c>
      <c r="K6003">
        <v>6</v>
      </c>
    </row>
    <row r="6004" spans="1:11">
      <c r="A6004">
        <v>90</v>
      </c>
      <c r="B6004" t="b">
        <v>0</v>
      </c>
      <c r="C6004" t="s">
        <v>42775</v>
      </c>
      <c r="D6004">
        <v>1037022454355</v>
      </c>
      <c r="E6004">
        <v>1</v>
      </c>
      <c r="F6004">
        <v>6133443496</v>
      </c>
      <c r="G6004">
        <v>17450000</v>
      </c>
      <c r="H6004" t="s">
        <v>40293</v>
      </c>
      <c r="I6004">
        <v>46003</v>
      </c>
      <c r="J6004">
        <v>1</v>
      </c>
      <c r="K6004">
        <v>1</v>
      </c>
    </row>
    <row r="6005" spans="1:11">
      <c r="A6005">
        <v>90</v>
      </c>
      <c r="B6005" t="b">
        <v>0</v>
      </c>
      <c r="C6005" t="s">
        <v>42407</v>
      </c>
      <c r="D6005">
        <v>1037022454355</v>
      </c>
      <c r="E6005">
        <v>1</v>
      </c>
      <c r="F6005">
        <v>6131785315</v>
      </c>
      <c r="G6005">
        <v>17300000</v>
      </c>
      <c r="H6005" t="s">
        <v>40293</v>
      </c>
      <c r="I6005">
        <v>46003</v>
      </c>
      <c r="J6005">
        <v>6</v>
      </c>
      <c r="K6005">
        <v>13</v>
      </c>
    </row>
    <row r="6006" spans="1:11">
      <c r="A6006">
        <v>90</v>
      </c>
      <c r="B6006" t="b">
        <v>0</v>
      </c>
      <c r="C6006" t="s">
        <v>44844</v>
      </c>
      <c r="D6006">
        <v>1037022454355</v>
      </c>
      <c r="E6006">
        <v>1</v>
      </c>
      <c r="F6006">
        <v>6155835438</v>
      </c>
      <c r="G6006">
        <v>10240000</v>
      </c>
      <c r="H6006" t="s">
        <v>40293</v>
      </c>
      <c r="I6006">
        <v>46003</v>
      </c>
      <c r="J6006">
        <v>1</v>
      </c>
      <c r="K6006">
        <v>1</v>
      </c>
    </row>
    <row r="6007" spans="1:11">
      <c r="A6007">
        <v>90</v>
      </c>
      <c r="B6007" t="b">
        <v>0</v>
      </c>
      <c r="C6007" t="s">
        <v>42083</v>
      </c>
      <c r="D6007">
        <v>1037022454355</v>
      </c>
      <c r="E6007">
        <v>1</v>
      </c>
      <c r="F6007">
        <v>6129264067</v>
      </c>
      <c r="G6007">
        <v>299000</v>
      </c>
      <c r="H6007" t="s">
        <v>40293</v>
      </c>
      <c r="I6007">
        <v>46004</v>
      </c>
      <c r="J6007">
        <v>2</v>
      </c>
      <c r="K6007">
        <v>2</v>
      </c>
    </row>
    <row r="6008" spans="1:11">
      <c r="A6008">
        <v>90</v>
      </c>
      <c r="B6008" t="b">
        <v>0</v>
      </c>
      <c r="C6008" t="s">
        <v>42862</v>
      </c>
      <c r="D6008">
        <v>1037022454355</v>
      </c>
      <c r="E6008">
        <v>1</v>
      </c>
      <c r="F6008">
        <v>6137183723</v>
      </c>
      <c r="G6008">
        <v>290000</v>
      </c>
      <c r="H6008" t="s">
        <v>40293</v>
      </c>
      <c r="I6008">
        <v>46004</v>
      </c>
      <c r="J6008">
        <v>2</v>
      </c>
      <c r="K6008">
        <v>2</v>
      </c>
    </row>
    <row r="6009" spans="1:11">
      <c r="A6009">
        <v>90</v>
      </c>
      <c r="B6009" t="b">
        <v>0</v>
      </c>
      <c r="C6009" t="s">
        <v>43975</v>
      </c>
      <c r="D6009">
        <v>1037022454355</v>
      </c>
      <c r="E6009">
        <v>1</v>
      </c>
      <c r="F6009">
        <v>6140395306</v>
      </c>
      <c r="G6009">
        <v>289800</v>
      </c>
      <c r="H6009" t="s">
        <v>40293</v>
      </c>
      <c r="I6009">
        <v>46004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42942</v>
      </c>
      <c r="D6010">
        <v>1037022454355</v>
      </c>
      <c r="E6010">
        <v>1</v>
      </c>
      <c r="F6010">
        <v>6144689714</v>
      </c>
      <c r="G6010">
        <v>270100</v>
      </c>
      <c r="H6010" t="s">
        <v>40293</v>
      </c>
      <c r="I6010">
        <v>46004</v>
      </c>
      <c r="J6010">
        <v>20</v>
      </c>
      <c r="K6010">
        <v>50</v>
      </c>
    </row>
    <row r="6011" spans="1:11">
      <c r="A6011">
        <v>90</v>
      </c>
      <c r="B6011" t="b">
        <v>0</v>
      </c>
      <c r="C6011" t="s">
        <v>46563</v>
      </c>
      <c r="D6011">
        <v>1037022454355</v>
      </c>
      <c r="E6011">
        <v>1</v>
      </c>
      <c r="F6011">
        <v>6157533095</v>
      </c>
      <c r="G6011">
        <v>270000</v>
      </c>
      <c r="H6011" t="s">
        <v>40293</v>
      </c>
      <c r="I6011">
        <v>46004</v>
      </c>
      <c r="J6011">
        <v>3</v>
      </c>
      <c r="K6011">
        <v>3</v>
      </c>
    </row>
    <row r="6012" spans="1:11">
      <c r="A6012">
        <v>90</v>
      </c>
      <c r="B6012" t="b">
        <v>0</v>
      </c>
      <c r="C6012" t="s">
        <v>42431</v>
      </c>
      <c r="D6012">
        <v>1037022454355</v>
      </c>
      <c r="E6012">
        <v>1</v>
      </c>
      <c r="F6012">
        <v>6137881887</v>
      </c>
      <c r="G6012">
        <v>7500000</v>
      </c>
      <c r="H6012" t="s">
        <v>40293</v>
      </c>
      <c r="I6012">
        <v>46005</v>
      </c>
      <c r="J6012">
        <v>1</v>
      </c>
      <c r="K6012">
        <v>1</v>
      </c>
    </row>
    <row r="6013" spans="1:11">
      <c r="A6013">
        <v>90</v>
      </c>
      <c r="B6013" t="b">
        <v>0</v>
      </c>
      <c r="C6013" t="s">
        <v>43484</v>
      </c>
      <c r="D6013">
        <v>1037022454355</v>
      </c>
      <c r="E6013">
        <v>1</v>
      </c>
      <c r="F6013">
        <v>6138184356</v>
      </c>
      <c r="G6013">
        <v>7499000</v>
      </c>
      <c r="H6013" t="s">
        <v>40293</v>
      </c>
      <c r="I6013">
        <v>46005</v>
      </c>
      <c r="J6013">
        <v>11</v>
      </c>
      <c r="K6013">
        <v>11</v>
      </c>
    </row>
    <row r="6014" spans="1:11">
      <c r="A6014">
        <v>90</v>
      </c>
      <c r="B6014" t="b">
        <v>0</v>
      </c>
      <c r="C6014" t="s">
        <v>43376</v>
      </c>
      <c r="D6014">
        <v>1037022454355</v>
      </c>
      <c r="E6014">
        <v>1</v>
      </c>
      <c r="F6014">
        <v>6143603607</v>
      </c>
      <c r="G6014">
        <v>7400000</v>
      </c>
      <c r="H6014" t="s">
        <v>40293</v>
      </c>
      <c r="I6014">
        <v>46005</v>
      </c>
      <c r="J6014">
        <v>1</v>
      </c>
      <c r="K6014">
        <v>1</v>
      </c>
    </row>
    <row r="6015" spans="1:11">
      <c r="A6015">
        <v>90</v>
      </c>
      <c r="B6015" t="b">
        <v>0</v>
      </c>
      <c r="C6015" t="s">
        <v>44355</v>
      </c>
      <c r="D6015">
        <v>1037022454355</v>
      </c>
      <c r="E6015">
        <v>1</v>
      </c>
      <c r="F6015">
        <v>6150066512</v>
      </c>
      <c r="G6015">
        <v>6194000</v>
      </c>
      <c r="H6015" t="s">
        <v>40293</v>
      </c>
      <c r="I6015">
        <v>46005</v>
      </c>
      <c r="J6015">
        <v>1</v>
      </c>
      <c r="K6015">
        <v>1</v>
      </c>
    </row>
    <row r="6016" spans="1:11">
      <c r="A6016">
        <v>90</v>
      </c>
      <c r="B6016" t="b">
        <v>0</v>
      </c>
      <c r="C6016" t="s">
        <v>46290</v>
      </c>
      <c r="D6016">
        <v>1037022454355</v>
      </c>
      <c r="E6016">
        <v>1</v>
      </c>
      <c r="F6016">
        <v>6148354585</v>
      </c>
      <c r="G6016">
        <v>6166000</v>
      </c>
      <c r="H6016" t="s">
        <v>40293</v>
      </c>
      <c r="I6016">
        <v>46005</v>
      </c>
      <c r="J6016">
        <v>2</v>
      </c>
      <c r="K6016">
        <v>2</v>
      </c>
    </row>
    <row r="6017" spans="1:11">
      <c r="A6017">
        <v>90</v>
      </c>
      <c r="B6017" t="b">
        <v>0</v>
      </c>
      <c r="C6017" t="s">
        <v>44227</v>
      </c>
      <c r="D6017">
        <v>1037022454355</v>
      </c>
      <c r="E6017">
        <v>1</v>
      </c>
      <c r="F6017">
        <v>6151244345</v>
      </c>
      <c r="G6017">
        <v>6000000</v>
      </c>
      <c r="H6017" t="s">
        <v>40293</v>
      </c>
      <c r="I6017">
        <v>46005</v>
      </c>
      <c r="J6017">
        <v>3</v>
      </c>
      <c r="K6017">
        <v>3</v>
      </c>
    </row>
    <row r="6018" spans="1:11">
      <c r="A6018">
        <v>90</v>
      </c>
      <c r="B6018" t="b">
        <v>0</v>
      </c>
      <c r="C6018" t="s">
        <v>44156</v>
      </c>
      <c r="D6018">
        <v>1037022454355</v>
      </c>
      <c r="E6018">
        <v>1</v>
      </c>
      <c r="F6018">
        <v>6154094143</v>
      </c>
      <c r="G6018">
        <v>5996000</v>
      </c>
      <c r="H6018" t="s">
        <v>40293</v>
      </c>
      <c r="I6018">
        <v>46005</v>
      </c>
      <c r="J6018">
        <v>1</v>
      </c>
      <c r="K6018">
        <v>1</v>
      </c>
    </row>
    <row r="6019" spans="1:11">
      <c r="A6019">
        <v>30</v>
      </c>
      <c r="B6019" t="b">
        <v>0</v>
      </c>
      <c r="C6019" t="s">
        <v>45291</v>
      </c>
      <c r="D6019">
        <v>1037022454355</v>
      </c>
      <c r="E6019">
        <v>1</v>
      </c>
      <c r="F6019">
        <v>6151291226</v>
      </c>
      <c r="G6019">
        <v>5900000</v>
      </c>
      <c r="H6019" t="s">
        <v>40293</v>
      </c>
      <c r="I6019">
        <v>46005</v>
      </c>
      <c r="J6019">
        <v>2</v>
      </c>
      <c r="K6019">
        <v>2</v>
      </c>
    </row>
    <row r="6020" spans="1:11">
      <c r="A6020">
        <v>90</v>
      </c>
      <c r="B6020" t="b">
        <v>0</v>
      </c>
      <c r="C6020" t="s">
        <v>45728</v>
      </c>
      <c r="D6020">
        <v>1037022454355</v>
      </c>
      <c r="E6020">
        <v>1</v>
      </c>
      <c r="F6020">
        <v>6152738366</v>
      </c>
      <c r="G6020">
        <v>5880000</v>
      </c>
      <c r="H6020" t="s">
        <v>40293</v>
      </c>
      <c r="I6020">
        <v>46005</v>
      </c>
      <c r="J6020">
        <v>15</v>
      </c>
      <c r="K6020">
        <v>16</v>
      </c>
    </row>
    <row r="6021" spans="1:11">
      <c r="A6021">
        <v>90</v>
      </c>
      <c r="B6021" t="b">
        <v>0</v>
      </c>
      <c r="C6021" t="s">
        <v>44137</v>
      </c>
      <c r="D6021">
        <v>1037022454355</v>
      </c>
      <c r="E6021">
        <v>1</v>
      </c>
      <c r="F6021">
        <v>6155240713</v>
      </c>
      <c r="G6021">
        <v>5500000</v>
      </c>
      <c r="H6021" t="s">
        <v>40293</v>
      </c>
      <c r="I6021">
        <v>46005</v>
      </c>
      <c r="J6021">
        <v>3</v>
      </c>
      <c r="K6021">
        <v>3</v>
      </c>
    </row>
    <row r="6022" spans="1:11">
      <c r="A6022">
        <v>90</v>
      </c>
      <c r="B6022" t="b">
        <v>0</v>
      </c>
      <c r="C6022" t="s">
        <v>44516</v>
      </c>
      <c r="D6022">
        <v>1037022454355</v>
      </c>
      <c r="E6022">
        <v>1</v>
      </c>
      <c r="F6022">
        <v>6155475578</v>
      </c>
      <c r="G6022">
        <v>5499000</v>
      </c>
      <c r="H6022" t="s">
        <v>40293</v>
      </c>
      <c r="I6022">
        <v>46005</v>
      </c>
      <c r="J6022">
        <v>5</v>
      </c>
      <c r="K6022">
        <v>5</v>
      </c>
    </row>
    <row r="6023" spans="1:11">
      <c r="A6023">
        <v>30</v>
      </c>
      <c r="B6023" t="b">
        <v>0</v>
      </c>
      <c r="C6023" t="s">
        <v>46186</v>
      </c>
      <c r="D6023">
        <v>1037022454355</v>
      </c>
      <c r="E6023">
        <v>1</v>
      </c>
      <c r="F6023">
        <v>6151433460</v>
      </c>
      <c r="G6023">
        <v>5497000</v>
      </c>
      <c r="H6023" t="s">
        <v>40293</v>
      </c>
      <c r="I6023">
        <v>46005</v>
      </c>
      <c r="J6023">
        <v>20</v>
      </c>
      <c r="K6023">
        <v>20</v>
      </c>
    </row>
    <row r="6024" spans="1:11">
      <c r="A6024">
        <v>90</v>
      </c>
      <c r="B6024" t="b">
        <v>0</v>
      </c>
      <c r="C6024" t="s">
        <v>45310</v>
      </c>
      <c r="D6024">
        <v>1037022454355</v>
      </c>
      <c r="E6024">
        <v>1</v>
      </c>
      <c r="F6024">
        <v>6156010107</v>
      </c>
      <c r="G6024">
        <v>4800000</v>
      </c>
      <c r="H6024" t="s">
        <v>40293</v>
      </c>
      <c r="I6024">
        <v>46005</v>
      </c>
      <c r="J6024">
        <v>9</v>
      </c>
      <c r="K6024">
        <v>10</v>
      </c>
    </row>
    <row r="6025" spans="1:11">
      <c r="A6025">
        <v>90</v>
      </c>
      <c r="B6025" t="b">
        <v>0</v>
      </c>
      <c r="C6025" t="s">
        <v>44082</v>
      </c>
      <c r="D6025">
        <v>1037022454355</v>
      </c>
      <c r="E6025">
        <v>1</v>
      </c>
      <c r="F6025">
        <v>6157533731</v>
      </c>
      <c r="G6025">
        <v>4799000</v>
      </c>
      <c r="H6025" t="s">
        <v>40293</v>
      </c>
      <c r="I6025">
        <v>46005</v>
      </c>
      <c r="J6025">
        <v>7</v>
      </c>
      <c r="K6025">
        <v>7</v>
      </c>
    </row>
    <row r="6026" spans="1:11">
      <c r="A6026">
        <v>90</v>
      </c>
      <c r="B6026" t="b">
        <v>0</v>
      </c>
      <c r="C6026" t="s">
        <v>40609</v>
      </c>
      <c r="D6026">
        <v>1037022454355</v>
      </c>
      <c r="E6026">
        <v>1</v>
      </c>
      <c r="F6026">
        <v>6119922702</v>
      </c>
      <c r="G6026">
        <v>16200000</v>
      </c>
      <c r="H6026" t="s">
        <v>40293</v>
      </c>
      <c r="I6026">
        <v>46006</v>
      </c>
      <c r="J6026">
        <v>2</v>
      </c>
      <c r="K6026">
        <v>16</v>
      </c>
    </row>
    <row r="6027" spans="1:11">
      <c r="A6027">
        <v>90</v>
      </c>
      <c r="B6027" t="b">
        <v>0</v>
      </c>
      <c r="C6027" t="s">
        <v>44917</v>
      </c>
      <c r="D6027">
        <v>1037022454355</v>
      </c>
      <c r="E6027">
        <v>1</v>
      </c>
      <c r="F6027">
        <v>6153592058</v>
      </c>
      <c r="G6027">
        <v>14800000</v>
      </c>
      <c r="H6027" t="s">
        <v>40293</v>
      </c>
      <c r="I6027">
        <v>46006</v>
      </c>
      <c r="J6027">
        <v>2</v>
      </c>
      <c r="K6027">
        <v>3</v>
      </c>
    </row>
    <row r="6028" spans="1:11">
      <c r="A6028">
        <v>30</v>
      </c>
      <c r="B6028" t="b">
        <v>0</v>
      </c>
      <c r="C6028" t="s">
        <v>44547</v>
      </c>
      <c r="D6028">
        <v>1037022454355</v>
      </c>
      <c r="E6028">
        <v>1</v>
      </c>
      <c r="F6028">
        <v>6152166401</v>
      </c>
      <c r="G6028">
        <v>14700000</v>
      </c>
      <c r="H6028" t="s">
        <v>40293</v>
      </c>
      <c r="I6028">
        <v>46006</v>
      </c>
      <c r="J6028">
        <v>20</v>
      </c>
      <c r="K6028">
        <v>20</v>
      </c>
    </row>
    <row r="6029" spans="1:11">
      <c r="A6029">
        <v>90</v>
      </c>
      <c r="B6029" t="b">
        <v>0</v>
      </c>
      <c r="C6029" t="s">
        <v>45898</v>
      </c>
      <c r="D6029">
        <v>1037022454355</v>
      </c>
      <c r="E6029">
        <v>1</v>
      </c>
      <c r="F6029">
        <v>6152707412</v>
      </c>
      <c r="G6029">
        <v>14700000</v>
      </c>
      <c r="H6029" t="s">
        <v>40293</v>
      </c>
      <c r="I6029">
        <v>46006</v>
      </c>
      <c r="J6029">
        <v>30</v>
      </c>
      <c r="K6029">
        <v>30</v>
      </c>
    </row>
    <row r="6030" spans="1:11">
      <c r="A6030">
        <v>30</v>
      </c>
      <c r="B6030" t="b">
        <v>0</v>
      </c>
      <c r="C6030" t="s">
        <v>46261</v>
      </c>
      <c r="D6030">
        <v>1037022454355</v>
      </c>
      <c r="E6030">
        <v>1</v>
      </c>
      <c r="F6030">
        <v>6146617634</v>
      </c>
      <c r="G6030">
        <v>14690000</v>
      </c>
      <c r="H6030" t="s">
        <v>40293</v>
      </c>
      <c r="I6030">
        <v>46006</v>
      </c>
      <c r="J6030">
        <v>5</v>
      </c>
      <c r="K6030">
        <v>10</v>
      </c>
    </row>
    <row r="6031" spans="1:11">
      <c r="A6031">
        <v>14</v>
      </c>
      <c r="B6031" t="b">
        <v>0</v>
      </c>
      <c r="C6031" t="s">
        <v>46482</v>
      </c>
      <c r="D6031">
        <v>1037022454355</v>
      </c>
      <c r="E6031">
        <v>1</v>
      </c>
      <c r="F6031">
        <v>6156516491</v>
      </c>
      <c r="G6031">
        <v>14230000</v>
      </c>
      <c r="H6031" t="s">
        <v>40293</v>
      </c>
      <c r="I6031">
        <v>46006</v>
      </c>
      <c r="J6031">
        <v>1</v>
      </c>
      <c r="K6031">
        <v>1</v>
      </c>
    </row>
    <row r="6032" spans="1:11">
      <c r="A6032">
        <v>90</v>
      </c>
      <c r="B6032" t="b">
        <v>0</v>
      </c>
      <c r="C6032" t="s">
        <v>40895</v>
      </c>
      <c r="D6032">
        <v>1037022454355</v>
      </c>
      <c r="E6032">
        <v>1</v>
      </c>
      <c r="F6032">
        <v>6092174877</v>
      </c>
      <c r="G6032">
        <v>650000000</v>
      </c>
      <c r="H6032" t="s">
        <v>40293</v>
      </c>
      <c r="I6032">
        <v>46101</v>
      </c>
      <c r="J6032">
        <v>1</v>
      </c>
      <c r="K6032">
        <v>1</v>
      </c>
    </row>
    <row r="6033" spans="1:11">
      <c r="A6033">
        <v>90</v>
      </c>
      <c r="B6033" t="b">
        <v>0</v>
      </c>
      <c r="C6033" t="s">
        <v>40877</v>
      </c>
      <c r="D6033">
        <v>1037022454355</v>
      </c>
      <c r="E6033">
        <v>1</v>
      </c>
      <c r="F6033">
        <v>6092174473</v>
      </c>
      <c r="G6033">
        <v>400000000</v>
      </c>
      <c r="H6033" t="s">
        <v>40293</v>
      </c>
      <c r="I6033">
        <v>46111</v>
      </c>
      <c r="J6033">
        <v>1</v>
      </c>
      <c r="K6033">
        <v>1</v>
      </c>
    </row>
    <row r="6034" spans="1:11">
      <c r="A6034">
        <v>90</v>
      </c>
      <c r="B6034" t="b">
        <v>0</v>
      </c>
      <c r="C6034" t="s">
        <v>45192</v>
      </c>
      <c r="D6034">
        <v>1037022454355</v>
      </c>
      <c r="E6034">
        <v>1</v>
      </c>
      <c r="F6034">
        <v>6155451266</v>
      </c>
      <c r="G6034">
        <v>1496000</v>
      </c>
      <c r="H6034" t="s">
        <v>40293</v>
      </c>
      <c r="I6034">
        <v>46355</v>
      </c>
      <c r="J6034">
        <v>11</v>
      </c>
      <c r="K6034">
        <v>20</v>
      </c>
    </row>
    <row r="6035" spans="1:11">
      <c r="A6035">
        <v>90</v>
      </c>
      <c r="B6035" t="b">
        <v>0</v>
      </c>
      <c r="C6035" t="s">
        <v>46559</v>
      </c>
      <c r="D6035">
        <v>1037022454355</v>
      </c>
      <c r="E6035">
        <v>1</v>
      </c>
      <c r="F6035">
        <v>6152060763</v>
      </c>
      <c r="G6035">
        <v>1495000</v>
      </c>
      <c r="H6035" t="s">
        <v>40293</v>
      </c>
      <c r="I6035">
        <v>46355</v>
      </c>
      <c r="J6035">
        <v>48</v>
      </c>
      <c r="K6035">
        <v>50</v>
      </c>
    </row>
    <row r="6036" spans="1:11">
      <c r="A6036">
        <v>90</v>
      </c>
      <c r="B6036" t="b">
        <v>0</v>
      </c>
      <c r="C6036" t="s">
        <v>46257</v>
      </c>
      <c r="D6036">
        <v>1037022454355</v>
      </c>
      <c r="E6036">
        <v>1</v>
      </c>
      <c r="F6036">
        <v>6149632264</v>
      </c>
      <c r="G6036">
        <v>2743000</v>
      </c>
      <c r="H6036" t="s">
        <v>40293</v>
      </c>
      <c r="I6036">
        <v>46356</v>
      </c>
      <c r="J6036">
        <v>36</v>
      </c>
      <c r="K6036">
        <v>36</v>
      </c>
    </row>
    <row r="6037" spans="1:11">
      <c r="A6037">
        <v>90</v>
      </c>
      <c r="B6037" t="b">
        <v>0</v>
      </c>
      <c r="C6037" t="s">
        <v>46462</v>
      </c>
      <c r="D6037">
        <v>1037022454355</v>
      </c>
      <c r="E6037">
        <v>1</v>
      </c>
      <c r="F6037">
        <v>6149929905</v>
      </c>
      <c r="G6037">
        <v>1998000</v>
      </c>
      <c r="H6037" t="s">
        <v>40293</v>
      </c>
      <c r="I6037">
        <v>46356</v>
      </c>
      <c r="J6037">
        <v>10</v>
      </c>
      <c r="K6037">
        <v>10</v>
      </c>
    </row>
    <row r="6038" spans="1:11">
      <c r="A6038">
        <v>90</v>
      </c>
      <c r="B6038" t="b">
        <v>0</v>
      </c>
      <c r="C6038" t="s">
        <v>46564</v>
      </c>
      <c r="D6038">
        <v>1037022454355</v>
      </c>
      <c r="E6038">
        <v>1</v>
      </c>
      <c r="F6038">
        <v>6152814509</v>
      </c>
      <c r="G6038">
        <v>1685000</v>
      </c>
      <c r="H6038" t="s">
        <v>40293</v>
      </c>
      <c r="I6038">
        <v>46356</v>
      </c>
      <c r="J6038">
        <v>100</v>
      </c>
      <c r="K6038">
        <v>100</v>
      </c>
    </row>
    <row r="6039" spans="1:11">
      <c r="A6039">
        <v>90</v>
      </c>
      <c r="B6039" t="b">
        <v>0</v>
      </c>
      <c r="C6039" t="s">
        <v>46207</v>
      </c>
      <c r="D6039">
        <v>1037022454355</v>
      </c>
      <c r="E6039">
        <v>1</v>
      </c>
      <c r="F6039">
        <v>6151551148</v>
      </c>
      <c r="G6039">
        <v>1575000</v>
      </c>
      <c r="H6039" t="s">
        <v>40293</v>
      </c>
      <c r="I6039">
        <v>46356</v>
      </c>
      <c r="J6039">
        <v>8</v>
      </c>
      <c r="K6039">
        <v>20</v>
      </c>
    </row>
    <row r="6040" spans="1:11">
      <c r="A6040">
        <v>90</v>
      </c>
      <c r="B6040" t="b">
        <v>0</v>
      </c>
      <c r="C6040" t="s">
        <v>44366</v>
      </c>
      <c r="D6040">
        <v>1037022454355</v>
      </c>
      <c r="E6040">
        <v>1</v>
      </c>
      <c r="F6040">
        <v>6145839664</v>
      </c>
      <c r="G6040">
        <v>1465000</v>
      </c>
      <c r="H6040" t="s">
        <v>40293</v>
      </c>
      <c r="I6040">
        <v>46356</v>
      </c>
      <c r="J6040">
        <v>14</v>
      </c>
      <c r="K6040">
        <v>42</v>
      </c>
    </row>
    <row r="6041" spans="1:11">
      <c r="A6041">
        <v>90</v>
      </c>
      <c r="B6041" t="b">
        <v>0</v>
      </c>
      <c r="C6041" t="s">
        <v>44813</v>
      </c>
      <c r="D6041">
        <v>1037022454355</v>
      </c>
      <c r="E6041">
        <v>1</v>
      </c>
      <c r="F6041">
        <v>6153971816</v>
      </c>
      <c r="G6041">
        <v>1460000</v>
      </c>
      <c r="H6041" t="s">
        <v>40293</v>
      </c>
      <c r="I6041">
        <v>46356</v>
      </c>
      <c r="J6041">
        <v>18</v>
      </c>
      <c r="K6041">
        <v>20</v>
      </c>
    </row>
    <row r="6042" spans="1:11">
      <c r="A6042">
        <v>90</v>
      </c>
      <c r="B6042" t="b">
        <v>0</v>
      </c>
      <c r="C6042" t="s">
        <v>46205</v>
      </c>
      <c r="D6042">
        <v>1037022454355</v>
      </c>
      <c r="E6042">
        <v>1</v>
      </c>
      <c r="F6042">
        <v>6156396452</v>
      </c>
      <c r="G6042">
        <v>1459000</v>
      </c>
      <c r="H6042" t="s">
        <v>40293</v>
      </c>
      <c r="I6042">
        <v>46356</v>
      </c>
      <c r="J6042">
        <v>10</v>
      </c>
      <c r="K6042">
        <v>10</v>
      </c>
    </row>
    <row r="6043" spans="1:11">
      <c r="A6043">
        <v>90</v>
      </c>
      <c r="B6043" t="b">
        <v>0</v>
      </c>
      <c r="C6043" t="s">
        <v>45192</v>
      </c>
      <c r="D6043">
        <v>1037022454355</v>
      </c>
      <c r="E6043">
        <v>1</v>
      </c>
      <c r="F6043">
        <v>6155451263</v>
      </c>
      <c r="G6043">
        <v>1200000</v>
      </c>
      <c r="H6043" t="s">
        <v>40293</v>
      </c>
      <c r="I6043">
        <v>46365</v>
      </c>
      <c r="J6043">
        <v>40</v>
      </c>
      <c r="K6043">
        <v>40</v>
      </c>
    </row>
    <row r="6044" spans="1:11">
      <c r="A6044">
        <v>90</v>
      </c>
      <c r="B6044" t="b">
        <v>0</v>
      </c>
      <c r="C6044" t="s">
        <v>44502</v>
      </c>
      <c r="D6044">
        <v>1037022454355</v>
      </c>
      <c r="E6044">
        <v>1</v>
      </c>
      <c r="F6044">
        <v>6149926638</v>
      </c>
      <c r="G6044">
        <v>1698000</v>
      </c>
      <c r="H6044" t="s">
        <v>40293</v>
      </c>
      <c r="I6044">
        <v>46366</v>
      </c>
      <c r="J6044">
        <v>30</v>
      </c>
      <c r="K6044">
        <v>30</v>
      </c>
    </row>
    <row r="6045" spans="1:11">
      <c r="A6045">
        <v>90</v>
      </c>
      <c r="B6045" t="b">
        <v>0</v>
      </c>
      <c r="C6045" t="s">
        <v>45202</v>
      </c>
      <c r="D6045">
        <v>1037022454355</v>
      </c>
      <c r="E6045">
        <v>1</v>
      </c>
      <c r="F6045">
        <v>6150470694</v>
      </c>
      <c r="G6045">
        <v>1697000</v>
      </c>
      <c r="H6045" t="s">
        <v>40293</v>
      </c>
      <c r="I6045">
        <v>46366</v>
      </c>
      <c r="J6045">
        <v>50</v>
      </c>
      <c r="K6045">
        <v>50</v>
      </c>
    </row>
    <row r="6046" spans="1:11">
      <c r="A6046">
        <v>90</v>
      </c>
      <c r="B6046" t="b">
        <v>0</v>
      </c>
      <c r="C6046" t="s">
        <v>45355</v>
      </c>
      <c r="D6046">
        <v>1037022454355</v>
      </c>
      <c r="E6046">
        <v>1</v>
      </c>
      <c r="F6046">
        <v>6152814322</v>
      </c>
      <c r="G6046">
        <v>1468000</v>
      </c>
      <c r="H6046" t="s">
        <v>40293</v>
      </c>
      <c r="I6046">
        <v>46366</v>
      </c>
      <c r="J6046">
        <v>123</v>
      </c>
      <c r="K6046">
        <v>195</v>
      </c>
    </row>
    <row r="6047" spans="1:11">
      <c r="A6047">
        <v>90</v>
      </c>
      <c r="B6047" t="b">
        <v>0</v>
      </c>
      <c r="C6047" t="s">
        <v>44637</v>
      </c>
      <c r="D6047">
        <v>1037022454355</v>
      </c>
      <c r="E6047">
        <v>1</v>
      </c>
      <c r="F6047">
        <v>6156394683</v>
      </c>
      <c r="G6047">
        <v>1467000</v>
      </c>
      <c r="H6047" t="s">
        <v>40293</v>
      </c>
      <c r="I6047">
        <v>46366</v>
      </c>
      <c r="J6047">
        <v>15</v>
      </c>
      <c r="K6047">
        <v>15</v>
      </c>
    </row>
    <row r="6048" spans="1:11">
      <c r="A6048">
        <v>90</v>
      </c>
      <c r="B6048" t="b">
        <v>0</v>
      </c>
      <c r="C6048" t="s">
        <v>45681</v>
      </c>
      <c r="D6048">
        <v>1037022454355</v>
      </c>
      <c r="E6048">
        <v>1</v>
      </c>
      <c r="F6048">
        <v>6157554737</v>
      </c>
      <c r="G6048">
        <v>1599000</v>
      </c>
      <c r="H6048" t="s">
        <v>40293</v>
      </c>
      <c r="I6048">
        <v>46367</v>
      </c>
      <c r="J6048">
        <v>50</v>
      </c>
      <c r="K6048">
        <v>50</v>
      </c>
    </row>
    <row r="6049" spans="1:11">
      <c r="A6049">
        <v>90</v>
      </c>
      <c r="B6049" t="b">
        <v>0</v>
      </c>
      <c r="C6049" t="s">
        <v>46291</v>
      </c>
      <c r="D6049">
        <v>1037022454355</v>
      </c>
      <c r="E6049">
        <v>1</v>
      </c>
      <c r="F6049">
        <v>6149632544</v>
      </c>
      <c r="G6049">
        <v>2799000</v>
      </c>
      <c r="H6049" t="s">
        <v>40293</v>
      </c>
      <c r="I6049">
        <v>46368</v>
      </c>
      <c r="J6049">
        <v>1</v>
      </c>
      <c r="K6049">
        <v>10</v>
      </c>
    </row>
    <row r="6050" spans="1:11">
      <c r="A6050">
        <v>90</v>
      </c>
      <c r="B6050" t="b">
        <v>0</v>
      </c>
      <c r="C6050" t="s">
        <v>44818</v>
      </c>
      <c r="D6050">
        <v>1037022454355</v>
      </c>
      <c r="E6050">
        <v>1</v>
      </c>
      <c r="F6050">
        <v>6156396756</v>
      </c>
      <c r="G6050">
        <v>2500000</v>
      </c>
      <c r="H6050" t="s">
        <v>40293</v>
      </c>
      <c r="I6050">
        <v>46368</v>
      </c>
      <c r="J6050">
        <v>8</v>
      </c>
      <c r="K6050">
        <v>10</v>
      </c>
    </row>
    <row r="6051" spans="1:11">
      <c r="A6051">
        <v>90</v>
      </c>
      <c r="B6051" t="b">
        <v>0</v>
      </c>
      <c r="C6051" t="s">
        <v>44045</v>
      </c>
      <c r="D6051">
        <v>1037022454355</v>
      </c>
      <c r="E6051">
        <v>1</v>
      </c>
      <c r="F6051">
        <v>6152060955</v>
      </c>
      <c r="G6051">
        <v>1999000</v>
      </c>
      <c r="H6051" t="s">
        <v>40293</v>
      </c>
      <c r="I6051">
        <v>46369</v>
      </c>
      <c r="J6051">
        <v>26</v>
      </c>
      <c r="K6051">
        <v>50</v>
      </c>
    </row>
    <row r="6052" spans="1:11">
      <c r="A6052">
        <v>90</v>
      </c>
      <c r="B6052" t="b">
        <v>0</v>
      </c>
      <c r="C6052" t="s">
        <v>42288</v>
      </c>
      <c r="D6052">
        <v>1037022454355</v>
      </c>
      <c r="E6052">
        <v>1</v>
      </c>
      <c r="F6052">
        <v>6132793526</v>
      </c>
      <c r="G6052">
        <v>2389000</v>
      </c>
      <c r="H6052" t="s">
        <v>40293</v>
      </c>
      <c r="I6052">
        <v>46370</v>
      </c>
      <c r="J6052">
        <v>4</v>
      </c>
      <c r="K6052">
        <v>34</v>
      </c>
    </row>
    <row r="6053" spans="1:11">
      <c r="A6053">
        <v>90</v>
      </c>
      <c r="B6053" t="b">
        <v>0</v>
      </c>
      <c r="C6053" t="s">
        <v>42944</v>
      </c>
      <c r="D6053">
        <v>1037022454355</v>
      </c>
      <c r="E6053">
        <v>1</v>
      </c>
      <c r="F6053">
        <v>6146066025</v>
      </c>
      <c r="G6053">
        <v>2374000</v>
      </c>
      <c r="H6053" t="s">
        <v>40293</v>
      </c>
      <c r="I6053">
        <v>46370</v>
      </c>
      <c r="J6053">
        <v>18</v>
      </c>
      <c r="K6053">
        <v>26</v>
      </c>
    </row>
    <row r="6054" spans="1:11">
      <c r="A6054">
        <v>90</v>
      </c>
      <c r="B6054" t="b">
        <v>0</v>
      </c>
      <c r="C6054" t="s">
        <v>45022</v>
      </c>
      <c r="D6054">
        <v>1037022454355</v>
      </c>
      <c r="E6054">
        <v>1</v>
      </c>
      <c r="F6054">
        <v>6155285144</v>
      </c>
      <c r="G6054">
        <v>2370000</v>
      </c>
      <c r="H6054" t="s">
        <v>40293</v>
      </c>
      <c r="I6054">
        <v>46370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45501</v>
      </c>
      <c r="D6055">
        <v>1037022454355</v>
      </c>
      <c r="E6055">
        <v>1</v>
      </c>
      <c r="F6055">
        <v>6156471074</v>
      </c>
      <c r="G6055">
        <v>2350000</v>
      </c>
      <c r="H6055" t="s">
        <v>40293</v>
      </c>
      <c r="I6055">
        <v>46370</v>
      </c>
      <c r="J6055">
        <v>15</v>
      </c>
      <c r="K6055">
        <v>15</v>
      </c>
    </row>
    <row r="6056" spans="1:11">
      <c r="A6056">
        <v>90</v>
      </c>
      <c r="B6056" t="b">
        <v>0</v>
      </c>
      <c r="C6056" t="s">
        <v>44976</v>
      </c>
      <c r="D6056">
        <v>1037022454355</v>
      </c>
      <c r="E6056">
        <v>1</v>
      </c>
      <c r="F6056">
        <v>6154432298</v>
      </c>
      <c r="G6056">
        <v>2499000</v>
      </c>
      <c r="H6056" t="s">
        <v>40293</v>
      </c>
      <c r="I6056">
        <v>46371</v>
      </c>
      <c r="J6056">
        <v>40</v>
      </c>
      <c r="K6056">
        <v>50</v>
      </c>
    </row>
    <row r="6057" spans="1:11">
      <c r="A6057">
        <v>90</v>
      </c>
      <c r="B6057" t="b">
        <v>0</v>
      </c>
      <c r="C6057" t="s">
        <v>45504</v>
      </c>
      <c r="D6057">
        <v>1037022454355</v>
      </c>
      <c r="E6057">
        <v>1</v>
      </c>
      <c r="F6057">
        <v>6156733245</v>
      </c>
      <c r="G6057">
        <v>1975000</v>
      </c>
      <c r="H6057" t="s">
        <v>40293</v>
      </c>
      <c r="I6057">
        <v>46372</v>
      </c>
      <c r="J6057">
        <v>10</v>
      </c>
      <c r="K6057">
        <v>10</v>
      </c>
    </row>
    <row r="6058" spans="1:11">
      <c r="A6058">
        <v>90</v>
      </c>
      <c r="B6058" t="b">
        <v>0</v>
      </c>
      <c r="C6058" t="s">
        <v>45602</v>
      </c>
      <c r="D6058">
        <v>1037022454355</v>
      </c>
      <c r="E6058">
        <v>1</v>
      </c>
      <c r="F6058">
        <v>6156395511</v>
      </c>
      <c r="G6058">
        <v>1974000</v>
      </c>
      <c r="H6058" t="s">
        <v>40293</v>
      </c>
      <c r="I6058">
        <v>46372</v>
      </c>
      <c r="J6058">
        <v>20</v>
      </c>
      <c r="K6058">
        <v>20</v>
      </c>
    </row>
    <row r="6059" spans="1:11">
      <c r="A6059">
        <v>90</v>
      </c>
      <c r="B6059" t="b">
        <v>0</v>
      </c>
      <c r="C6059" t="s">
        <v>40421</v>
      </c>
      <c r="D6059">
        <v>1037022454355</v>
      </c>
      <c r="E6059">
        <v>1</v>
      </c>
      <c r="F6059">
        <v>6109400160</v>
      </c>
      <c r="G6059">
        <v>7000000</v>
      </c>
      <c r="H6059" t="s">
        <v>40293</v>
      </c>
      <c r="I6059">
        <v>46381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45926</v>
      </c>
      <c r="D6060">
        <v>1037022454355</v>
      </c>
      <c r="E6060">
        <v>1</v>
      </c>
      <c r="F6060">
        <v>6152347210</v>
      </c>
      <c r="G6060">
        <v>7000000</v>
      </c>
      <c r="H6060" t="s">
        <v>40293</v>
      </c>
      <c r="I6060">
        <v>46381</v>
      </c>
      <c r="J6060">
        <v>4</v>
      </c>
      <c r="K6060">
        <v>4</v>
      </c>
    </row>
    <row r="6061" spans="1:11">
      <c r="A6061">
        <v>90</v>
      </c>
      <c r="B6061" t="b">
        <v>0</v>
      </c>
      <c r="C6061" t="s">
        <v>45167</v>
      </c>
      <c r="D6061">
        <v>1037022454355</v>
      </c>
      <c r="E6061">
        <v>1</v>
      </c>
      <c r="F6061">
        <v>6150666889</v>
      </c>
      <c r="G6061">
        <v>6999000</v>
      </c>
      <c r="H6061" t="s">
        <v>40293</v>
      </c>
      <c r="I6061">
        <v>46381</v>
      </c>
      <c r="J6061">
        <v>1</v>
      </c>
      <c r="K6061">
        <v>1</v>
      </c>
    </row>
    <row r="6062" spans="1:11">
      <c r="A6062">
        <v>14</v>
      </c>
      <c r="B6062" t="b">
        <v>0</v>
      </c>
      <c r="C6062" t="s">
        <v>44536</v>
      </c>
      <c r="D6062">
        <v>1037022454355</v>
      </c>
      <c r="E6062">
        <v>1</v>
      </c>
      <c r="F6062">
        <v>6152592206</v>
      </c>
      <c r="G6062">
        <v>5000000</v>
      </c>
      <c r="H6062" t="s">
        <v>40293</v>
      </c>
      <c r="I6062">
        <v>46883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43657</v>
      </c>
      <c r="D6063">
        <v>1037022454355</v>
      </c>
      <c r="E6063">
        <v>1</v>
      </c>
      <c r="F6063">
        <v>6142122448</v>
      </c>
      <c r="G6063">
        <v>7000000</v>
      </c>
      <c r="H6063" t="s">
        <v>40293</v>
      </c>
      <c r="I6063">
        <v>46952</v>
      </c>
      <c r="J6063">
        <v>1</v>
      </c>
      <c r="K6063">
        <v>1</v>
      </c>
    </row>
    <row r="6064" spans="1:11">
      <c r="A6064">
        <v>14</v>
      </c>
      <c r="B6064" t="b">
        <v>0</v>
      </c>
      <c r="C6064" t="s">
        <v>44557</v>
      </c>
      <c r="D6064">
        <v>1037022454355</v>
      </c>
      <c r="E6064">
        <v>1</v>
      </c>
      <c r="F6064">
        <v>6152591891</v>
      </c>
      <c r="G6064">
        <v>100000000</v>
      </c>
      <c r="H6064" t="s">
        <v>40293</v>
      </c>
      <c r="I6064">
        <v>47015</v>
      </c>
      <c r="J6064">
        <v>1</v>
      </c>
      <c r="K6064">
        <v>1</v>
      </c>
    </row>
    <row r="6065" spans="1:11">
      <c r="A6065">
        <v>90</v>
      </c>
      <c r="B6065" t="b">
        <v>0</v>
      </c>
      <c r="C6065" t="s">
        <v>41860</v>
      </c>
      <c r="D6065">
        <v>1037022454355</v>
      </c>
      <c r="E6065">
        <v>1</v>
      </c>
      <c r="F6065">
        <v>6070153717</v>
      </c>
      <c r="G6065">
        <v>8700000</v>
      </c>
      <c r="H6065" t="s">
        <v>40293</v>
      </c>
      <c r="I6065">
        <v>47035</v>
      </c>
      <c r="J6065">
        <v>1</v>
      </c>
      <c r="K6065">
        <v>1</v>
      </c>
    </row>
    <row r="6066" spans="1:11">
      <c r="A6066">
        <v>90</v>
      </c>
      <c r="B6066" t="b">
        <v>0</v>
      </c>
      <c r="C6066" t="s">
        <v>43172</v>
      </c>
      <c r="D6066">
        <v>1037022454355</v>
      </c>
      <c r="E6066">
        <v>1</v>
      </c>
      <c r="F6066">
        <v>6144368846</v>
      </c>
      <c r="G6066">
        <v>4000000</v>
      </c>
      <c r="H6066" t="s">
        <v>40293</v>
      </c>
      <c r="I6066">
        <v>47036</v>
      </c>
      <c r="J6066">
        <v>60</v>
      </c>
      <c r="K6066">
        <v>60</v>
      </c>
    </row>
    <row r="6067" spans="1:11">
      <c r="A6067">
        <v>90</v>
      </c>
      <c r="B6067" t="b">
        <v>0</v>
      </c>
      <c r="C6067" t="s">
        <v>41575</v>
      </c>
      <c r="D6067">
        <v>1037022454355</v>
      </c>
      <c r="E6067">
        <v>1</v>
      </c>
      <c r="F6067">
        <v>6071316291</v>
      </c>
      <c r="G6067">
        <v>16800000</v>
      </c>
      <c r="H6067" t="s">
        <v>40293</v>
      </c>
      <c r="I6067">
        <v>47037</v>
      </c>
      <c r="J6067">
        <v>9</v>
      </c>
      <c r="K6067">
        <v>12</v>
      </c>
    </row>
    <row r="6068" spans="1:11">
      <c r="A6068">
        <v>90</v>
      </c>
      <c r="B6068" t="b">
        <v>0</v>
      </c>
      <c r="C6068" t="s">
        <v>43282</v>
      </c>
      <c r="D6068">
        <v>1037022454355</v>
      </c>
      <c r="E6068">
        <v>1</v>
      </c>
      <c r="F6068">
        <v>6070217856</v>
      </c>
      <c r="G6068">
        <v>16790000</v>
      </c>
      <c r="H6068" t="s">
        <v>40293</v>
      </c>
      <c r="I6068">
        <v>47037</v>
      </c>
      <c r="J6068">
        <v>15</v>
      </c>
      <c r="K6068">
        <v>15</v>
      </c>
    </row>
    <row r="6069" spans="1:11">
      <c r="A6069">
        <v>90</v>
      </c>
      <c r="B6069" t="b">
        <v>0</v>
      </c>
      <c r="C6069" t="s">
        <v>42079</v>
      </c>
      <c r="D6069">
        <v>1037022454355</v>
      </c>
      <c r="E6069">
        <v>1</v>
      </c>
      <c r="F6069">
        <v>6067799588</v>
      </c>
      <c r="G6069">
        <v>20000000</v>
      </c>
      <c r="H6069" t="s">
        <v>40293</v>
      </c>
      <c r="I6069">
        <v>47124</v>
      </c>
      <c r="J6069">
        <v>24</v>
      </c>
      <c r="K6069">
        <v>24</v>
      </c>
    </row>
    <row r="6070" spans="1:11">
      <c r="A6070">
        <v>90</v>
      </c>
      <c r="B6070" t="b">
        <v>0</v>
      </c>
      <c r="C6070" t="s">
        <v>46508</v>
      </c>
      <c r="D6070">
        <v>1037022454355</v>
      </c>
      <c r="E6070">
        <v>1</v>
      </c>
      <c r="F6070">
        <v>6155992431</v>
      </c>
      <c r="G6070">
        <v>30000</v>
      </c>
      <c r="H6070" t="s">
        <v>40293</v>
      </c>
      <c r="I6070">
        <v>47254</v>
      </c>
      <c r="J6070">
        <v>20</v>
      </c>
      <c r="K6070">
        <v>20</v>
      </c>
    </row>
    <row r="6071" spans="1:11">
      <c r="A6071">
        <v>90</v>
      </c>
      <c r="B6071" t="b">
        <v>0</v>
      </c>
      <c r="C6071" t="s">
        <v>40378</v>
      </c>
      <c r="D6071">
        <v>1037022454355</v>
      </c>
      <c r="E6071">
        <v>1</v>
      </c>
      <c r="F6071">
        <v>6070995031</v>
      </c>
      <c r="G6071">
        <v>200000</v>
      </c>
      <c r="H6071" t="s">
        <v>40293</v>
      </c>
      <c r="I6071">
        <v>47255</v>
      </c>
      <c r="J6071">
        <v>71</v>
      </c>
      <c r="K6071">
        <v>71</v>
      </c>
    </row>
    <row r="6072" spans="1:11">
      <c r="A6072">
        <v>90</v>
      </c>
      <c r="B6072" t="b">
        <v>0</v>
      </c>
      <c r="C6072" t="s">
        <v>41193</v>
      </c>
      <c r="D6072">
        <v>1037022454355</v>
      </c>
      <c r="E6072">
        <v>1</v>
      </c>
      <c r="F6072">
        <v>6068555290</v>
      </c>
      <c r="G6072">
        <v>199800</v>
      </c>
      <c r="H6072" t="s">
        <v>40293</v>
      </c>
      <c r="I6072">
        <v>47255</v>
      </c>
      <c r="J6072">
        <v>73</v>
      </c>
      <c r="K6072">
        <v>78</v>
      </c>
    </row>
    <row r="6073" spans="1:11">
      <c r="A6073">
        <v>90</v>
      </c>
      <c r="B6073" t="b">
        <v>0</v>
      </c>
      <c r="C6073" t="s">
        <v>42723</v>
      </c>
      <c r="D6073">
        <v>1037022454355</v>
      </c>
      <c r="E6073">
        <v>1</v>
      </c>
      <c r="F6073">
        <v>6133638513</v>
      </c>
      <c r="G6073">
        <v>190000</v>
      </c>
      <c r="H6073" t="s">
        <v>40293</v>
      </c>
      <c r="I6073">
        <v>47255</v>
      </c>
      <c r="J6073">
        <v>1</v>
      </c>
      <c r="K6073">
        <v>2</v>
      </c>
    </row>
    <row r="6074" spans="1:11">
      <c r="A6074">
        <v>90</v>
      </c>
      <c r="B6074" t="b">
        <v>0</v>
      </c>
      <c r="C6074" t="s">
        <v>42524</v>
      </c>
      <c r="D6074">
        <v>1037022454355</v>
      </c>
      <c r="E6074">
        <v>1</v>
      </c>
      <c r="F6074">
        <v>6134479187</v>
      </c>
      <c r="G6074">
        <v>50000</v>
      </c>
      <c r="H6074" t="s">
        <v>40293</v>
      </c>
      <c r="I6074">
        <v>47255</v>
      </c>
      <c r="J6074">
        <v>72</v>
      </c>
      <c r="K6074">
        <v>113</v>
      </c>
    </row>
    <row r="6075" spans="1:11">
      <c r="A6075">
        <v>90</v>
      </c>
      <c r="B6075" t="b">
        <v>0</v>
      </c>
      <c r="C6075" t="s">
        <v>41954</v>
      </c>
      <c r="D6075">
        <v>1037022454355</v>
      </c>
      <c r="E6075">
        <v>1</v>
      </c>
      <c r="F6075">
        <v>6127044299</v>
      </c>
      <c r="G6075">
        <v>125000</v>
      </c>
      <c r="H6075" t="s">
        <v>40293</v>
      </c>
      <c r="I6075">
        <v>47256</v>
      </c>
      <c r="J6075">
        <v>7</v>
      </c>
      <c r="K6075">
        <v>8</v>
      </c>
    </row>
    <row r="6076" spans="1:11">
      <c r="A6076">
        <v>90</v>
      </c>
      <c r="B6076" t="b">
        <v>0</v>
      </c>
      <c r="C6076" t="s">
        <v>42559</v>
      </c>
      <c r="D6076">
        <v>1037022454355</v>
      </c>
      <c r="E6076">
        <v>1</v>
      </c>
      <c r="F6076">
        <v>6134480887</v>
      </c>
      <c r="G6076">
        <v>50000</v>
      </c>
      <c r="H6076" t="s">
        <v>40293</v>
      </c>
      <c r="I6076">
        <v>47256</v>
      </c>
      <c r="J6076">
        <v>106</v>
      </c>
      <c r="K6076">
        <v>112</v>
      </c>
    </row>
    <row r="6077" spans="1:11">
      <c r="A6077">
        <v>90</v>
      </c>
      <c r="B6077" t="b">
        <v>0</v>
      </c>
      <c r="C6077" t="s">
        <v>40967</v>
      </c>
      <c r="D6077">
        <v>1037022454355</v>
      </c>
      <c r="E6077">
        <v>1</v>
      </c>
      <c r="F6077">
        <v>6097288279</v>
      </c>
      <c r="G6077">
        <v>734600</v>
      </c>
      <c r="H6077" t="s">
        <v>40293</v>
      </c>
      <c r="I6077">
        <v>47257</v>
      </c>
      <c r="J6077">
        <v>1</v>
      </c>
      <c r="K6077">
        <v>1</v>
      </c>
    </row>
    <row r="6078" spans="1:11">
      <c r="A6078">
        <v>90</v>
      </c>
      <c r="B6078" t="b">
        <v>0</v>
      </c>
      <c r="C6078" t="s">
        <v>40610</v>
      </c>
      <c r="D6078">
        <v>1037022454355</v>
      </c>
      <c r="E6078">
        <v>1</v>
      </c>
      <c r="F6078">
        <v>6084434971</v>
      </c>
      <c r="G6078">
        <v>724900</v>
      </c>
      <c r="H6078" t="s">
        <v>40293</v>
      </c>
      <c r="I6078">
        <v>47257</v>
      </c>
      <c r="J6078">
        <v>85</v>
      </c>
      <c r="K6078">
        <v>100</v>
      </c>
    </row>
    <row r="6079" spans="1:11">
      <c r="A6079">
        <v>90</v>
      </c>
      <c r="B6079" t="b">
        <v>0</v>
      </c>
      <c r="C6079" t="s">
        <v>41241</v>
      </c>
      <c r="D6079">
        <v>1037022454355</v>
      </c>
      <c r="E6079">
        <v>1</v>
      </c>
      <c r="F6079">
        <v>6101619061</v>
      </c>
      <c r="G6079">
        <v>724300</v>
      </c>
      <c r="H6079" t="s">
        <v>40293</v>
      </c>
      <c r="I6079">
        <v>47257</v>
      </c>
      <c r="J6079">
        <v>4</v>
      </c>
      <c r="K6079">
        <v>12</v>
      </c>
    </row>
    <row r="6080" spans="1:11">
      <c r="A6080">
        <v>90</v>
      </c>
      <c r="B6080" t="b">
        <v>0</v>
      </c>
      <c r="C6080" t="s">
        <v>41091</v>
      </c>
      <c r="D6080">
        <v>1037022454355</v>
      </c>
      <c r="E6080">
        <v>1</v>
      </c>
      <c r="F6080">
        <v>6114887337</v>
      </c>
      <c r="G6080">
        <v>724000</v>
      </c>
      <c r="H6080" t="s">
        <v>40293</v>
      </c>
      <c r="I6080">
        <v>47257</v>
      </c>
      <c r="J6080">
        <v>20</v>
      </c>
      <c r="K6080">
        <v>20</v>
      </c>
    </row>
    <row r="6081" spans="1:11">
      <c r="A6081">
        <v>90</v>
      </c>
      <c r="B6081" t="b">
        <v>0</v>
      </c>
      <c r="C6081" t="s">
        <v>40591</v>
      </c>
      <c r="D6081">
        <v>1037022454355</v>
      </c>
      <c r="E6081">
        <v>1</v>
      </c>
      <c r="F6081">
        <v>6081605395</v>
      </c>
      <c r="G6081">
        <v>723900</v>
      </c>
      <c r="H6081" t="s">
        <v>40293</v>
      </c>
      <c r="I6081">
        <v>47257</v>
      </c>
      <c r="J6081">
        <v>44</v>
      </c>
      <c r="K6081">
        <v>50</v>
      </c>
    </row>
    <row r="6082" spans="1:11">
      <c r="A6082">
        <v>90</v>
      </c>
      <c r="B6082" t="b">
        <v>0</v>
      </c>
      <c r="C6082" t="s">
        <v>41206</v>
      </c>
      <c r="D6082">
        <v>1037022454355</v>
      </c>
      <c r="E6082">
        <v>1</v>
      </c>
      <c r="F6082">
        <v>6117150504</v>
      </c>
      <c r="G6082">
        <v>599000</v>
      </c>
      <c r="H6082" t="s">
        <v>40293</v>
      </c>
      <c r="I6082">
        <v>47257</v>
      </c>
      <c r="J6082">
        <v>1</v>
      </c>
      <c r="K6082">
        <v>1</v>
      </c>
    </row>
    <row r="6083" spans="1:11">
      <c r="A6083">
        <v>90</v>
      </c>
      <c r="B6083" t="b">
        <v>0</v>
      </c>
      <c r="C6083" t="s">
        <v>41565</v>
      </c>
      <c r="D6083">
        <v>1037022454355</v>
      </c>
      <c r="E6083">
        <v>1</v>
      </c>
      <c r="F6083">
        <v>6112374308</v>
      </c>
      <c r="G6083">
        <v>588900</v>
      </c>
      <c r="H6083" t="s">
        <v>40293</v>
      </c>
      <c r="I6083">
        <v>47257</v>
      </c>
      <c r="J6083">
        <v>11</v>
      </c>
      <c r="K6083">
        <v>22</v>
      </c>
    </row>
    <row r="6084" spans="1:11">
      <c r="A6084">
        <v>90</v>
      </c>
      <c r="B6084" t="b">
        <v>0</v>
      </c>
      <c r="C6084" t="s">
        <v>40296</v>
      </c>
      <c r="D6084">
        <v>1037022454355</v>
      </c>
      <c r="E6084">
        <v>1</v>
      </c>
      <c r="F6084">
        <v>6071823677</v>
      </c>
      <c r="G6084">
        <v>549800</v>
      </c>
      <c r="H6084" t="s">
        <v>40293</v>
      </c>
      <c r="I6084">
        <v>47257</v>
      </c>
      <c r="J6084">
        <v>88</v>
      </c>
      <c r="K6084">
        <v>100</v>
      </c>
    </row>
    <row r="6085" spans="1:11">
      <c r="A6085">
        <v>90</v>
      </c>
      <c r="B6085" t="b">
        <v>0</v>
      </c>
      <c r="C6085" t="s">
        <v>41846</v>
      </c>
      <c r="D6085">
        <v>1037022454355</v>
      </c>
      <c r="E6085">
        <v>1</v>
      </c>
      <c r="F6085">
        <v>6128398765</v>
      </c>
      <c r="G6085">
        <v>500300</v>
      </c>
      <c r="H6085" t="s">
        <v>40293</v>
      </c>
      <c r="I6085">
        <v>47257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41775</v>
      </c>
      <c r="D6086">
        <v>1037022454355</v>
      </c>
      <c r="E6086">
        <v>1</v>
      </c>
      <c r="F6086">
        <v>6128011992</v>
      </c>
      <c r="G6086">
        <v>500000</v>
      </c>
      <c r="H6086" t="s">
        <v>40293</v>
      </c>
      <c r="I6086">
        <v>47257</v>
      </c>
      <c r="J6086">
        <v>10</v>
      </c>
      <c r="K6086">
        <v>80</v>
      </c>
    </row>
    <row r="6087" spans="1:11">
      <c r="A6087">
        <v>90</v>
      </c>
      <c r="B6087" t="b">
        <v>0</v>
      </c>
      <c r="C6087" t="s">
        <v>43366</v>
      </c>
      <c r="D6087">
        <v>1037022454355</v>
      </c>
      <c r="E6087">
        <v>1</v>
      </c>
      <c r="F6087">
        <v>6145498648</v>
      </c>
      <c r="G6087">
        <v>500000</v>
      </c>
      <c r="H6087" t="s">
        <v>40293</v>
      </c>
      <c r="I6087">
        <v>47257</v>
      </c>
      <c r="J6087">
        <v>7</v>
      </c>
      <c r="K6087">
        <v>7</v>
      </c>
    </row>
    <row r="6088" spans="1:11">
      <c r="A6088">
        <v>90</v>
      </c>
      <c r="B6088" t="b">
        <v>0</v>
      </c>
      <c r="C6088" t="s">
        <v>43967</v>
      </c>
      <c r="D6088">
        <v>1037022454355</v>
      </c>
      <c r="E6088">
        <v>1</v>
      </c>
      <c r="F6088">
        <v>6138265180</v>
      </c>
      <c r="G6088">
        <v>485000</v>
      </c>
      <c r="H6088" t="s">
        <v>40293</v>
      </c>
      <c r="I6088">
        <v>47257</v>
      </c>
      <c r="J6088">
        <v>49</v>
      </c>
      <c r="K6088">
        <v>102</v>
      </c>
    </row>
    <row r="6089" spans="1:11">
      <c r="A6089">
        <v>90</v>
      </c>
      <c r="B6089" t="b">
        <v>0</v>
      </c>
      <c r="C6089" t="s">
        <v>46570</v>
      </c>
      <c r="D6089">
        <v>1037022454355</v>
      </c>
      <c r="E6089">
        <v>1</v>
      </c>
      <c r="F6089">
        <v>6092652538</v>
      </c>
      <c r="G6089">
        <v>484900</v>
      </c>
      <c r="H6089" t="s">
        <v>40293</v>
      </c>
      <c r="I6089">
        <v>47257</v>
      </c>
      <c r="J6089">
        <v>47</v>
      </c>
      <c r="K6089">
        <v>100</v>
      </c>
    </row>
    <row r="6090" spans="1:11">
      <c r="A6090">
        <v>90</v>
      </c>
      <c r="B6090" t="b">
        <v>0</v>
      </c>
      <c r="C6090" t="s">
        <v>46105</v>
      </c>
      <c r="D6090">
        <v>1037022454355</v>
      </c>
      <c r="E6090">
        <v>1</v>
      </c>
      <c r="F6090">
        <v>6157592715</v>
      </c>
      <c r="G6090">
        <v>484600</v>
      </c>
      <c r="H6090" t="s">
        <v>40293</v>
      </c>
      <c r="I6090">
        <v>47257</v>
      </c>
      <c r="J6090">
        <v>18</v>
      </c>
      <c r="K6090">
        <v>18</v>
      </c>
    </row>
    <row r="6091" spans="1:11">
      <c r="A6091">
        <v>90</v>
      </c>
      <c r="B6091" t="b">
        <v>0</v>
      </c>
      <c r="C6091" t="s">
        <v>43144</v>
      </c>
      <c r="D6091">
        <v>1037022454355</v>
      </c>
      <c r="E6091">
        <v>1</v>
      </c>
      <c r="F6091">
        <v>6140108200</v>
      </c>
      <c r="G6091">
        <v>84000000</v>
      </c>
      <c r="H6091" t="s">
        <v>40293</v>
      </c>
      <c r="I6091">
        <v>47258</v>
      </c>
      <c r="J6091">
        <v>4</v>
      </c>
      <c r="K6091">
        <v>5</v>
      </c>
    </row>
    <row r="6092" spans="1:11">
      <c r="A6092">
        <v>90</v>
      </c>
      <c r="B6092" t="b">
        <v>0</v>
      </c>
      <c r="C6092" t="s">
        <v>40990</v>
      </c>
      <c r="D6092">
        <v>1037022454355</v>
      </c>
      <c r="E6092">
        <v>1</v>
      </c>
      <c r="F6092">
        <v>6100467333</v>
      </c>
      <c r="G6092">
        <v>164900000</v>
      </c>
      <c r="H6092" t="s">
        <v>40293</v>
      </c>
      <c r="I6092">
        <v>47261</v>
      </c>
      <c r="J6092">
        <v>1</v>
      </c>
      <c r="K6092">
        <v>1</v>
      </c>
    </row>
    <row r="6093" spans="1:11">
      <c r="A6093">
        <v>90</v>
      </c>
      <c r="B6093" t="b">
        <v>0</v>
      </c>
      <c r="C6093" t="s">
        <v>41003</v>
      </c>
      <c r="D6093">
        <v>1037022454355</v>
      </c>
      <c r="E6093">
        <v>1</v>
      </c>
      <c r="F6093">
        <v>6100467601</v>
      </c>
      <c r="G6093">
        <v>358000000</v>
      </c>
      <c r="H6093" t="s">
        <v>40293</v>
      </c>
      <c r="I6093">
        <v>47262</v>
      </c>
      <c r="J6093">
        <v>1</v>
      </c>
      <c r="K6093">
        <v>1</v>
      </c>
    </row>
    <row r="6094" spans="1:11">
      <c r="A6094">
        <v>90</v>
      </c>
      <c r="B6094" t="b">
        <v>0</v>
      </c>
      <c r="C6094" t="s">
        <v>42975</v>
      </c>
      <c r="D6094">
        <v>1037022454355</v>
      </c>
      <c r="E6094">
        <v>1</v>
      </c>
      <c r="F6094">
        <v>6140529624</v>
      </c>
      <c r="G6094">
        <v>230000000</v>
      </c>
      <c r="H6094" t="s">
        <v>40293</v>
      </c>
      <c r="I6094">
        <v>47270</v>
      </c>
      <c r="J6094">
        <v>1</v>
      </c>
      <c r="K6094">
        <v>1</v>
      </c>
    </row>
    <row r="6095" spans="1:11">
      <c r="A6095">
        <v>90</v>
      </c>
      <c r="B6095" t="b">
        <v>0</v>
      </c>
      <c r="C6095" t="s">
        <v>46568</v>
      </c>
      <c r="D6095">
        <v>1037022454355</v>
      </c>
      <c r="E6095">
        <v>1</v>
      </c>
      <c r="F6095">
        <v>6148685809</v>
      </c>
      <c r="G6095">
        <v>195100000</v>
      </c>
      <c r="H6095" t="s">
        <v>40293</v>
      </c>
      <c r="I6095">
        <v>47270</v>
      </c>
      <c r="J6095">
        <v>1</v>
      </c>
      <c r="K6095">
        <v>2</v>
      </c>
    </row>
    <row r="6096" spans="1:11">
      <c r="A6096">
        <v>90</v>
      </c>
      <c r="B6096" t="b">
        <v>0</v>
      </c>
      <c r="C6096" t="s">
        <v>45767</v>
      </c>
      <c r="D6096">
        <v>1037022454355</v>
      </c>
      <c r="E6096">
        <v>1</v>
      </c>
      <c r="F6096">
        <v>6156441515</v>
      </c>
      <c r="G6096">
        <v>190300000</v>
      </c>
      <c r="H6096" t="s">
        <v>40293</v>
      </c>
      <c r="I6096">
        <v>47270</v>
      </c>
      <c r="J6096">
        <v>4</v>
      </c>
      <c r="K6096">
        <v>4</v>
      </c>
    </row>
    <row r="6097" spans="1:11">
      <c r="A6097">
        <v>90</v>
      </c>
      <c r="B6097" t="b">
        <v>0</v>
      </c>
      <c r="C6097" t="s">
        <v>45741</v>
      </c>
      <c r="D6097">
        <v>1037022454355</v>
      </c>
      <c r="E6097">
        <v>1</v>
      </c>
      <c r="F6097">
        <v>6155392747</v>
      </c>
      <c r="G6097">
        <v>190200000</v>
      </c>
      <c r="H6097" t="s">
        <v>40293</v>
      </c>
      <c r="I6097">
        <v>47270</v>
      </c>
      <c r="J6097">
        <v>1</v>
      </c>
      <c r="K6097">
        <v>1</v>
      </c>
    </row>
    <row r="6098" spans="1:11">
      <c r="A6098">
        <v>90</v>
      </c>
      <c r="B6098" t="b">
        <v>0</v>
      </c>
      <c r="C6098" t="s">
        <v>43436</v>
      </c>
      <c r="D6098">
        <v>1037022454355</v>
      </c>
      <c r="E6098">
        <v>1</v>
      </c>
      <c r="F6098">
        <v>6071073880</v>
      </c>
      <c r="G6098">
        <v>854600000</v>
      </c>
      <c r="H6098" t="s">
        <v>40293</v>
      </c>
      <c r="I6098">
        <v>47271</v>
      </c>
      <c r="J6098">
        <v>1</v>
      </c>
      <c r="K6098">
        <v>1</v>
      </c>
    </row>
    <row r="6099" spans="1:11">
      <c r="A6099">
        <v>90</v>
      </c>
      <c r="B6099" t="b">
        <v>0</v>
      </c>
      <c r="C6099" t="s">
        <v>42152</v>
      </c>
      <c r="D6099">
        <v>1037022454355</v>
      </c>
      <c r="E6099">
        <v>1</v>
      </c>
      <c r="F6099">
        <v>6130454017</v>
      </c>
      <c r="G6099">
        <v>2000</v>
      </c>
      <c r="H6099" t="s">
        <v>40293</v>
      </c>
      <c r="I6099">
        <v>47300</v>
      </c>
      <c r="J6099">
        <v>5950</v>
      </c>
      <c r="K6099">
        <v>5950</v>
      </c>
    </row>
    <row r="6100" spans="1:11">
      <c r="A6100">
        <v>90</v>
      </c>
      <c r="B6100" t="b">
        <v>0</v>
      </c>
      <c r="C6100" t="s">
        <v>44348</v>
      </c>
      <c r="D6100">
        <v>1037022454355</v>
      </c>
      <c r="E6100">
        <v>1</v>
      </c>
      <c r="F6100">
        <v>6149476634</v>
      </c>
      <c r="G6100">
        <v>12000000</v>
      </c>
      <c r="H6100" t="s">
        <v>40293</v>
      </c>
      <c r="I6100">
        <v>47447</v>
      </c>
      <c r="J6100">
        <v>5</v>
      </c>
      <c r="K6100">
        <v>5</v>
      </c>
    </row>
    <row r="6101" spans="1:11">
      <c r="A6101">
        <v>90</v>
      </c>
      <c r="B6101" t="b">
        <v>0</v>
      </c>
      <c r="C6101" t="s">
        <v>40415</v>
      </c>
      <c r="D6101">
        <v>1037022454355</v>
      </c>
      <c r="E6101">
        <v>1</v>
      </c>
      <c r="F6101">
        <v>6121032593</v>
      </c>
      <c r="G6101">
        <v>231000000</v>
      </c>
      <c r="H6101" t="s">
        <v>40293</v>
      </c>
      <c r="I6101">
        <v>47448</v>
      </c>
      <c r="J6101">
        <v>3</v>
      </c>
      <c r="K6101">
        <v>3</v>
      </c>
    </row>
    <row r="6102" spans="1:11">
      <c r="A6102">
        <v>90</v>
      </c>
      <c r="B6102" t="b">
        <v>0</v>
      </c>
      <c r="C6102" t="s">
        <v>42154</v>
      </c>
      <c r="D6102">
        <v>1037022454355</v>
      </c>
      <c r="E6102">
        <v>1</v>
      </c>
      <c r="F6102">
        <v>6112578856</v>
      </c>
      <c r="G6102">
        <v>230000000</v>
      </c>
      <c r="H6102" t="s">
        <v>40293</v>
      </c>
      <c r="I6102">
        <v>47448</v>
      </c>
      <c r="J6102">
        <v>1</v>
      </c>
      <c r="K6102">
        <v>5</v>
      </c>
    </row>
    <row r="6103" spans="1:11">
      <c r="A6103">
        <v>90</v>
      </c>
      <c r="B6103" t="b">
        <v>0</v>
      </c>
      <c r="C6103" t="s">
        <v>44461</v>
      </c>
      <c r="D6103">
        <v>1037022454355</v>
      </c>
      <c r="E6103">
        <v>1</v>
      </c>
      <c r="F6103">
        <v>6152492888</v>
      </c>
      <c r="G6103">
        <v>220000000</v>
      </c>
      <c r="H6103" t="s">
        <v>40293</v>
      </c>
      <c r="I6103">
        <v>47466</v>
      </c>
      <c r="J6103">
        <v>2</v>
      </c>
      <c r="K6103">
        <v>2</v>
      </c>
    </row>
    <row r="6104" spans="1:11">
      <c r="A6104">
        <v>90</v>
      </c>
      <c r="B6104" t="b">
        <v>0</v>
      </c>
      <c r="C6104" t="s">
        <v>41665</v>
      </c>
      <c r="D6104">
        <v>1037022454355</v>
      </c>
      <c r="E6104">
        <v>1</v>
      </c>
      <c r="F6104">
        <v>6106829780</v>
      </c>
      <c r="G6104">
        <v>1500000</v>
      </c>
      <c r="H6104" t="s">
        <v>40293</v>
      </c>
      <c r="I6104">
        <v>47699</v>
      </c>
      <c r="J6104">
        <v>2</v>
      </c>
      <c r="K6104">
        <v>2</v>
      </c>
    </row>
    <row r="6105" spans="1:11">
      <c r="A6105">
        <v>90</v>
      </c>
      <c r="B6105" t="b">
        <v>0</v>
      </c>
      <c r="C6105" t="s">
        <v>40335</v>
      </c>
      <c r="D6105">
        <v>1037022454355</v>
      </c>
      <c r="E6105">
        <v>1</v>
      </c>
      <c r="F6105">
        <v>6071682159</v>
      </c>
      <c r="G6105">
        <v>1000000</v>
      </c>
      <c r="H6105" t="s">
        <v>40293</v>
      </c>
      <c r="I6105">
        <v>47699</v>
      </c>
      <c r="J6105">
        <v>27</v>
      </c>
      <c r="K6105">
        <v>33</v>
      </c>
    </row>
    <row r="6106" spans="1:11">
      <c r="A6106">
        <v>90</v>
      </c>
      <c r="B6106" t="b">
        <v>0</v>
      </c>
      <c r="C6106" t="s">
        <v>41704</v>
      </c>
      <c r="D6106">
        <v>1037022454355</v>
      </c>
      <c r="E6106">
        <v>1</v>
      </c>
      <c r="F6106">
        <v>6111820584</v>
      </c>
      <c r="G6106">
        <v>890000</v>
      </c>
      <c r="H6106" t="s">
        <v>40293</v>
      </c>
      <c r="I6106">
        <v>47699</v>
      </c>
      <c r="J6106">
        <v>20</v>
      </c>
      <c r="K6106">
        <v>32</v>
      </c>
    </row>
    <row r="6107" spans="1:11">
      <c r="A6107">
        <v>90</v>
      </c>
      <c r="B6107" t="b">
        <v>0</v>
      </c>
      <c r="C6107" t="s">
        <v>41975</v>
      </c>
      <c r="D6107">
        <v>1037022454355</v>
      </c>
      <c r="E6107">
        <v>1</v>
      </c>
      <c r="F6107">
        <v>6127055205</v>
      </c>
      <c r="G6107">
        <v>800000</v>
      </c>
      <c r="H6107" t="s">
        <v>40293</v>
      </c>
      <c r="I6107">
        <v>47699</v>
      </c>
      <c r="J6107">
        <v>17</v>
      </c>
      <c r="K6107">
        <v>23</v>
      </c>
    </row>
    <row r="6108" spans="1:11">
      <c r="A6108">
        <v>90</v>
      </c>
      <c r="B6108" t="b">
        <v>0</v>
      </c>
      <c r="C6108" t="s">
        <v>46190</v>
      </c>
      <c r="D6108">
        <v>1037022454355</v>
      </c>
      <c r="E6108">
        <v>1</v>
      </c>
      <c r="F6108">
        <v>6149860630</v>
      </c>
      <c r="G6108">
        <v>7900000</v>
      </c>
      <c r="H6108" t="s">
        <v>40293</v>
      </c>
      <c r="I6108">
        <v>47701</v>
      </c>
      <c r="J6108">
        <v>4</v>
      </c>
      <c r="K6108">
        <v>5</v>
      </c>
    </row>
    <row r="6109" spans="1:11">
      <c r="A6109">
        <v>90</v>
      </c>
      <c r="B6109" t="b">
        <v>0</v>
      </c>
      <c r="C6109" t="s">
        <v>41288</v>
      </c>
      <c r="D6109">
        <v>1037022454355</v>
      </c>
      <c r="E6109">
        <v>1</v>
      </c>
      <c r="F6109">
        <v>6106829927</v>
      </c>
      <c r="G6109">
        <v>1500000</v>
      </c>
      <c r="H6109" t="s">
        <v>40293</v>
      </c>
      <c r="I6109">
        <v>47729</v>
      </c>
      <c r="J6109">
        <v>50</v>
      </c>
      <c r="K6109">
        <v>50</v>
      </c>
    </row>
    <row r="6110" spans="1:11">
      <c r="A6110">
        <v>90</v>
      </c>
      <c r="B6110" t="b">
        <v>0</v>
      </c>
      <c r="C6110" t="s">
        <v>40333</v>
      </c>
      <c r="D6110">
        <v>1037022454355</v>
      </c>
      <c r="E6110">
        <v>1</v>
      </c>
      <c r="F6110">
        <v>6071682107</v>
      </c>
      <c r="G6110">
        <v>1000000</v>
      </c>
      <c r="H6110" t="s">
        <v>40293</v>
      </c>
      <c r="I6110">
        <v>47729</v>
      </c>
      <c r="J6110">
        <v>51</v>
      </c>
      <c r="K6110">
        <v>70</v>
      </c>
    </row>
    <row r="6111" spans="1:11">
      <c r="A6111">
        <v>90</v>
      </c>
      <c r="B6111" t="b">
        <v>0</v>
      </c>
      <c r="C6111" t="s">
        <v>40706</v>
      </c>
      <c r="D6111">
        <v>1037022454355</v>
      </c>
      <c r="E6111">
        <v>1</v>
      </c>
      <c r="F6111">
        <v>6100624247</v>
      </c>
      <c r="G6111">
        <v>390000</v>
      </c>
      <c r="H6111" t="s">
        <v>40293</v>
      </c>
      <c r="I6111">
        <v>47729</v>
      </c>
      <c r="J6111">
        <v>12</v>
      </c>
      <c r="K6111">
        <v>12</v>
      </c>
    </row>
    <row r="6112" spans="1:11">
      <c r="A6112">
        <v>90</v>
      </c>
      <c r="B6112" t="b">
        <v>0</v>
      </c>
      <c r="C6112" t="s">
        <v>41281</v>
      </c>
      <c r="D6112">
        <v>1037022454355</v>
      </c>
      <c r="E6112">
        <v>1</v>
      </c>
      <c r="F6112">
        <v>6106829842</v>
      </c>
      <c r="G6112">
        <v>1500000</v>
      </c>
      <c r="H6112" t="s">
        <v>40293</v>
      </c>
      <c r="I6112">
        <v>47733</v>
      </c>
      <c r="J6112">
        <v>50</v>
      </c>
      <c r="K6112">
        <v>50</v>
      </c>
    </row>
    <row r="6113" spans="1:11">
      <c r="A6113">
        <v>90</v>
      </c>
      <c r="B6113" t="b">
        <v>0</v>
      </c>
      <c r="C6113" t="s">
        <v>40323</v>
      </c>
      <c r="D6113">
        <v>1037022454355</v>
      </c>
      <c r="E6113">
        <v>1</v>
      </c>
      <c r="F6113">
        <v>6071681989</v>
      </c>
      <c r="G6113">
        <v>1000000</v>
      </c>
      <c r="H6113" t="s">
        <v>40293</v>
      </c>
      <c r="I6113">
        <v>47733</v>
      </c>
      <c r="J6113">
        <v>42</v>
      </c>
      <c r="K6113">
        <v>50</v>
      </c>
    </row>
    <row r="6114" spans="1:11">
      <c r="A6114">
        <v>90</v>
      </c>
      <c r="B6114" t="b">
        <v>0</v>
      </c>
      <c r="C6114" t="s">
        <v>40703</v>
      </c>
      <c r="D6114">
        <v>1037022454355</v>
      </c>
      <c r="E6114">
        <v>1</v>
      </c>
      <c r="F6114">
        <v>6100624242</v>
      </c>
      <c r="G6114">
        <v>349000</v>
      </c>
      <c r="H6114" t="s">
        <v>40293</v>
      </c>
      <c r="I6114">
        <v>47746</v>
      </c>
      <c r="J6114">
        <v>45</v>
      </c>
      <c r="K6114">
        <v>45</v>
      </c>
    </row>
    <row r="6115" spans="1:11">
      <c r="A6115">
        <v>90</v>
      </c>
      <c r="B6115" t="b">
        <v>0</v>
      </c>
      <c r="C6115" t="s">
        <v>40707</v>
      </c>
      <c r="D6115">
        <v>1037022454355</v>
      </c>
      <c r="E6115">
        <v>1</v>
      </c>
      <c r="F6115">
        <v>6100624248</v>
      </c>
      <c r="G6115">
        <v>4060000</v>
      </c>
      <c r="H6115" t="s">
        <v>40293</v>
      </c>
      <c r="I6115">
        <v>47748</v>
      </c>
      <c r="J6115">
        <v>21</v>
      </c>
      <c r="K6115">
        <v>21</v>
      </c>
    </row>
    <row r="6116" spans="1:11">
      <c r="A6116">
        <v>90</v>
      </c>
      <c r="B6116" t="b">
        <v>0</v>
      </c>
      <c r="C6116" t="s">
        <v>42295</v>
      </c>
      <c r="D6116">
        <v>1037022454355</v>
      </c>
      <c r="E6116">
        <v>1</v>
      </c>
      <c r="F6116">
        <v>6137178890</v>
      </c>
      <c r="G6116">
        <v>790000</v>
      </c>
      <c r="H6116" t="s">
        <v>40293</v>
      </c>
      <c r="I6116">
        <v>47761</v>
      </c>
      <c r="J6116">
        <v>2</v>
      </c>
      <c r="K6116">
        <v>2</v>
      </c>
    </row>
    <row r="6117" spans="1:11">
      <c r="A6117">
        <v>90</v>
      </c>
      <c r="B6117" t="b">
        <v>0</v>
      </c>
      <c r="C6117" t="s">
        <v>42862</v>
      </c>
      <c r="D6117">
        <v>1037022454355</v>
      </c>
      <c r="E6117">
        <v>1</v>
      </c>
      <c r="F6117">
        <v>6137183718</v>
      </c>
      <c r="G6117">
        <v>750000</v>
      </c>
      <c r="H6117" t="s">
        <v>40293</v>
      </c>
      <c r="I6117">
        <v>47761</v>
      </c>
      <c r="J6117">
        <v>1</v>
      </c>
      <c r="K6117">
        <v>1</v>
      </c>
    </row>
    <row r="6118" spans="1:11">
      <c r="A6118">
        <v>90</v>
      </c>
      <c r="B6118" t="b">
        <v>0</v>
      </c>
      <c r="C6118" t="s">
        <v>42930</v>
      </c>
      <c r="D6118">
        <v>1037022454355</v>
      </c>
      <c r="E6118">
        <v>1</v>
      </c>
      <c r="F6118">
        <v>6139315510</v>
      </c>
      <c r="G6118">
        <v>748900</v>
      </c>
      <c r="H6118" t="s">
        <v>40293</v>
      </c>
      <c r="I6118">
        <v>47761</v>
      </c>
      <c r="J6118">
        <v>1</v>
      </c>
      <c r="K6118">
        <v>1</v>
      </c>
    </row>
    <row r="6119" spans="1:11">
      <c r="A6119">
        <v>90</v>
      </c>
      <c r="B6119" t="b">
        <v>0</v>
      </c>
      <c r="C6119" t="s">
        <v>43217</v>
      </c>
      <c r="D6119">
        <v>1037022454355</v>
      </c>
      <c r="E6119">
        <v>1</v>
      </c>
      <c r="F6119">
        <v>6143911697</v>
      </c>
      <c r="G6119">
        <v>666700</v>
      </c>
      <c r="H6119" t="s">
        <v>40293</v>
      </c>
      <c r="I6119">
        <v>47761</v>
      </c>
      <c r="J6119">
        <v>3</v>
      </c>
      <c r="K6119">
        <v>3</v>
      </c>
    </row>
    <row r="6120" spans="1:11">
      <c r="A6120">
        <v>90</v>
      </c>
      <c r="B6120" t="b">
        <v>0</v>
      </c>
      <c r="C6120" t="s">
        <v>43023</v>
      </c>
      <c r="D6120">
        <v>1037022454355</v>
      </c>
      <c r="E6120">
        <v>1</v>
      </c>
      <c r="F6120">
        <v>6135616005</v>
      </c>
      <c r="G6120">
        <v>649900</v>
      </c>
      <c r="H6120" t="s">
        <v>40293</v>
      </c>
      <c r="I6120">
        <v>47761</v>
      </c>
      <c r="J6120">
        <v>1</v>
      </c>
      <c r="K6120">
        <v>1</v>
      </c>
    </row>
    <row r="6121" spans="1:11">
      <c r="A6121">
        <v>90</v>
      </c>
      <c r="B6121" t="b">
        <v>0</v>
      </c>
      <c r="C6121" t="s">
        <v>45097</v>
      </c>
      <c r="D6121">
        <v>1037022454355</v>
      </c>
      <c r="E6121">
        <v>1</v>
      </c>
      <c r="F6121">
        <v>6138672776</v>
      </c>
      <c r="G6121">
        <v>378600</v>
      </c>
      <c r="H6121" t="s">
        <v>40293</v>
      </c>
      <c r="I6121">
        <v>47761</v>
      </c>
      <c r="J6121">
        <v>2</v>
      </c>
      <c r="K6121">
        <v>2</v>
      </c>
    </row>
    <row r="6122" spans="1:11">
      <c r="A6122">
        <v>90</v>
      </c>
      <c r="B6122" t="b">
        <v>0</v>
      </c>
      <c r="C6122" t="s">
        <v>41150</v>
      </c>
      <c r="D6122">
        <v>1037022454355</v>
      </c>
      <c r="E6122">
        <v>1</v>
      </c>
      <c r="F6122">
        <v>6095719197</v>
      </c>
      <c r="G6122">
        <v>29000</v>
      </c>
      <c r="H6122" t="s">
        <v>40293</v>
      </c>
      <c r="I6122">
        <v>47762</v>
      </c>
      <c r="J6122">
        <v>1</v>
      </c>
      <c r="K6122">
        <v>1</v>
      </c>
    </row>
    <row r="6123" spans="1:11">
      <c r="A6123">
        <v>90</v>
      </c>
      <c r="B6123" t="b">
        <v>0</v>
      </c>
      <c r="C6123" t="s">
        <v>40954</v>
      </c>
      <c r="D6123">
        <v>1037022454355</v>
      </c>
      <c r="E6123">
        <v>1</v>
      </c>
      <c r="F6123">
        <v>6096698159</v>
      </c>
      <c r="G6123">
        <v>28900</v>
      </c>
      <c r="H6123" t="s">
        <v>40293</v>
      </c>
      <c r="I6123">
        <v>47762</v>
      </c>
      <c r="J6123">
        <v>15</v>
      </c>
      <c r="K6123">
        <v>15</v>
      </c>
    </row>
    <row r="6124" spans="1:11">
      <c r="A6124">
        <v>90</v>
      </c>
      <c r="B6124" t="b">
        <v>0</v>
      </c>
      <c r="C6124" t="s">
        <v>41004</v>
      </c>
      <c r="D6124">
        <v>1037022454355</v>
      </c>
      <c r="E6124">
        <v>1</v>
      </c>
      <c r="F6124">
        <v>6113378195</v>
      </c>
      <c r="G6124">
        <v>28000</v>
      </c>
      <c r="H6124" t="s">
        <v>40293</v>
      </c>
      <c r="I6124">
        <v>47762</v>
      </c>
      <c r="J6124">
        <v>1</v>
      </c>
      <c r="K6124">
        <v>1</v>
      </c>
    </row>
    <row r="6125" spans="1:11">
      <c r="A6125">
        <v>90</v>
      </c>
      <c r="B6125" t="b">
        <v>0</v>
      </c>
      <c r="C6125" t="s">
        <v>42431</v>
      </c>
      <c r="D6125">
        <v>1037022454355</v>
      </c>
      <c r="E6125">
        <v>1</v>
      </c>
      <c r="F6125">
        <v>6137881882</v>
      </c>
      <c r="G6125">
        <v>20000</v>
      </c>
      <c r="H6125" t="s">
        <v>40293</v>
      </c>
      <c r="I6125">
        <v>47762</v>
      </c>
      <c r="J6125">
        <v>1</v>
      </c>
      <c r="K6125">
        <v>1</v>
      </c>
    </row>
    <row r="6126" spans="1:11">
      <c r="A6126">
        <v>90</v>
      </c>
      <c r="B6126" t="b">
        <v>0</v>
      </c>
      <c r="C6126" t="s">
        <v>43572</v>
      </c>
      <c r="D6126">
        <v>1037022454355</v>
      </c>
      <c r="E6126">
        <v>1</v>
      </c>
      <c r="F6126">
        <v>6143923867</v>
      </c>
      <c r="G6126">
        <v>18890</v>
      </c>
      <c r="H6126" t="s">
        <v>40293</v>
      </c>
      <c r="I6126">
        <v>47762</v>
      </c>
      <c r="J6126">
        <v>3</v>
      </c>
      <c r="K6126">
        <v>3</v>
      </c>
    </row>
    <row r="6127" spans="1:11">
      <c r="A6127">
        <v>90</v>
      </c>
      <c r="B6127" t="b">
        <v>0</v>
      </c>
      <c r="C6127" t="s">
        <v>43377</v>
      </c>
      <c r="D6127">
        <v>1037022454355</v>
      </c>
      <c r="E6127">
        <v>1</v>
      </c>
      <c r="F6127">
        <v>6138672561</v>
      </c>
      <c r="G6127">
        <v>18580</v>
      </c>
      <c r="H6127" t="s">
        <v>40293</v>
      </c>
      <c r="I6127">
        <v>47762</v>
      </c>
      <c r="J6127">
        <v>17</v>
      </c>
      <c r="K6127">
        <v>17</v>
      </c>
    </row>
    <row r="6128" spans="1:11">
      <c r="A6128">
        <v>90</v>
      </c>
      <c r="B6128" t="b">
        <v>0</v>
      </c>
      <c r="C6128" t="s">
        <v>40963</v>
      </c>
      <c r="D6128">
        <v>1037022454355</v>
      </c>
      <c r="E6128">
        <v>1</v>
      </c>
      <c r="F6128">
        <v>6068190158</v>
      </c>
      <c r="G6128">
        <v>8998</v>
      </c>
      <c r="H6128" t="s">
        <v>40293</v>
      </c>
      <c r="I6128">
        <v>47763</v>
      </c>
      <c r="J6128">
        <v>5</v>
      </c>
      <c r="K6128">
        <v>5</v>
      </c>
    </row>
    <row r="6129" spans="1:11">
      <c r="A6129">
        <v>90</v>
      </c>
      <c r="B6129" t="b">
        <v>0</v>
      </c>
      <c r="C6129" t="s">
        <v>40964</v>
      </c>
      <c r="D6129">
        <v>1037022454355</v>
      </c>
      <c r="E6129">
        <v>1</v>
      </c>
      <c r="F6129">
        <v>6105152525</v>
      </c>
      <c r="G6129">
        <v>8993</v>
      </c>
      <c r="H6129" t="s">
        <v>40293</v>
      </c>
      <c r="I6129">
        <v>47763</v>
      </c>
      <c r="J6129">
        <v>1</v>
      </c>
      <c r="K6129">
        <v>1</v>
      </c>
    </row>
    <row r="6130" spans="1:11">
      <c r="A6130">
        <v>90</v>
      </c>
      <c r="B6130" t="b">
        <v>0</v>
      </c>
      <c r="C6130" t="s">
        <v>41163</v>
      </c>
      <c r="D6130">
        <v>1037022454355</v>
      </c>
      <c r="E6130">
        <v>1</v>
      </c>
      <c r="F6130">
        <v>6125210536</v>
      </c>
      <c r="G6130">
        <v>8992</v>
      </c>
      <c r="H6130" t="s">
        <v>40293</v>
      </c>
      <c r="I6130">
        <v>47763</v>
      </c>
      <c r="J6130">
        <v>1</v>
      </c>
      <c r="K6130">
        <v>1</v>
      </c>
    </row>
    <row r="6131" spans="1:11">
      <c r="A6131">
        <v>90</v>
      </c>
      <c r="B6131" t="b">
        <v>0</v>
      </c>
      <c r="C6131" t="s">
        <v>42021</v>
      </c>
      <c r="D6131">
        <v>1037022454355</v>
      </c>
      <c r="E6131">
        <v>1</v>
      </c>
      <c r="F6131">
        <v>6080957349</v>
      </c>
      <c r="G6131">
        <v>8000</v>
      </c>
      <c r="H6131" t="s">
        <v>40293</v>
      </c>
      <c r="I6131">
        <v>47763</v>
      </c>
      <c r="J6131">
        <v>1</v>
      </c>
      <c r="K6131">
        <v>1</v>
      </c>
    </row>
    <row r="6132" spans="1:11">
      <c r="A6132">
        <v>90</v>
      </c>
      <c r="B6132" t="b">
        <v>0</v>
      </c>
      <c r="C6132" t="s">
        <v>42431</v>
      </c>
      <c r="D6132">
        <v>1037022454355</v>
      </c>
      <c r="E6132">
        <v>1</v>
      </c>
      <c r="F6132">
        <v>6137881883</v>
      </c>
      <c r="G6132">
        <v>8000</v>
      </c>
      <c r="H6132" t="s">
        <v>40293</v>
      </c>
      <c r="I6132">
        <v>47763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42295</v>
      </c>
      <c r="D6133">
        <v>1037022454355</v>
      </c>
      <c r="E6133">
        <v>1</v>
      </c>
      <c r="F6133">
        <v>6137178891</v>
      </c>
      <c r="G6133">
        <v>8000</v>
      </c>
      <c r="H6133" t="s">
        <v>40293</v>
      </c>
      <c r="I6133">
        <v>47763</v>
      </c>
      <c r="J6133">
        <v>2</v>
      </c>
      <c r="K6133">
        <v>2</v>
      </c>
    </row>
    <row r="6134" spans="1:11">
      <c r="A6134">
        <v>90</v>
      </c>
      <c r="B6134" t="b">
        <v>0</v>
      </c>
      <c r="C6134" t="s">
        <v>43370</v>
      </c>
      <c r="D6134">
        <v>1037022454355</v>
      </c>
      <c r="E6134">
        <v>1</v>
      </c>
      <c r="F6134">
        <v>6103937917</v>
      </c>
      <c r="G6134">
        <v>6999</v>
      </c>
      <c r="H6134" t="s">
        <v>40293</v>
      </c>
      <c r="I6134">
        <v>47763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43572</v>
      </c>
      <c r="D6135">
        <v>1037022454355</v>
      </c>
      <c r="E6135">
        <v>1</v>
      </c>
      <c r="F6135">
        <v>6143923861</v>
      </c>
      <c r="G6135">
        <v>6666</v>
      </c>
      <c r="H6135" t="s">
        <v>40293</v>
      </c>
      <c r="I6135">
        <v>47763</v>
      </c>
      <c r="J6135">
        <v>3</v>
      </c>
      <c r="K6135">
        <v>3</v>
      </c>
    </row>
    <row r="6136" spans="1:11">
      <c r="A6136">
        <v>90</v>
      </c>
      <c r="B6136" t="b">
        <v>0</v>
      </c>
      <c r="C6136" t="s">
        <v>43389</v>
      </c>
      <c r="D6136">
        <v>1037022454355</v>
      </c>
      <c r="E6136">
        <v>1</v>
      </c>
      <c r="F6136">
        <v>6138672836</v>
      </c>
      <c r="G6136">
        <v>6597</v>
      </c>
      <c r="H6136" t="s">
        <v>40293</v>
      </c>
      <c r="I6136">
        <v>47763</v>
      </c>
      <c r="J6136">
        <v>15</v>
      </c>
      <c r="K6136">
        <v>16</v>
      </c>
    </row>
    <row r="6137" spans="1:11">
      <c r="A6137">
        <v>90</v>
      </c>
      <c r="B6137" t="b">
        <v>0</v>
      </c>
      <c r="C6137" t="s">
        <v>40906</v>
      </c>
      <c r="D6137">
        <v>1037022454355</v>
      </c>
      <c r="E6137">
        <v>1</v>
      </c>
      <c r="F6137">
        <v>6107870979</v>
      </c>
      <c r="G6137">
        <v>24810</v>
      </c>
      <c r="H6137" t="s">
        <v>40293</v>
      </c>
      <c r="I6137">
        <v>47764</v>
      </c>
      <c r="J6137">
        <v>1</v>
      </c>
      <c r="K6137">
        <v>1</v>
      </c>
    </row>
    <row r="6138" spans="1:11">
      <c r="A6138">
        <v>90</v>
      </c>
      <c r="B6138" t="b">
        <v>0</v>
      </c>
      <c r="C6138" t="s">
        <v>42862</v>
      </c>
      <c r="D6138">
        <v>1037022454355</v>
      </c>
      <c r="E6138">
        <v>1</v>
      </c>
      <c r="F6138">
        <v>6137183719</v>
      </c>
      <c r="G6138">
        <v>20000</v>
      </c>
      <c r="H6138" t="s">
        <v>40293</v>
      </c>
      <c r="I6138">
        <v>47764</v>
      </c>
      <c r="J6138">
        <v>1</v>
      </c>
      <c r="K6138">
        <v>1</v>
      </c>
    </row>
    <row r="6139" spans="1:11">
      <c r="A6139">
        <v>90</v>
      </c>
      <c r="B6139" t="b">
        <v>0</v>
      </c>
      <c r="C6139" t="s">
        <v>43572</v>
      </c>
      <c r="D6139">
        <v>1037022454355</v>
      </c>
      <c r="E6139">
        <v>1</v>
      </c>
      <c r="F6139">
        <v>6143923874</v>
      </c>
      <c r="G6139">
        <v>15990</v>
      </c>
      <c r="H6139" t="s">
        <v>40293</v>
      </c>
      <c r="I6139">
        <v>47764</v>
      </c>
      <c r="J6139">
        <v>4</v>
      </c>
      <c r="K6139">
        <v>4</v>
      </c>
    </row>
    <row r="6140" spans="1:11">
      <c r="A6140">
        <v>90</v>
      </c>
      <c r="B6140" t="b">
        <v>0</v>
      </c>
      <c r="C6140" t="s">
        <v>43598</v>
      </c>
      <c r="D6140">
        <v>1037022454355</v>
      </c>
      <c r="E6140">
        <v>1</v>
      </c>
      <c r="F6140">
        <v>6130421840</v>
      </c>
      <c r="G6140">
        <v>15940</v>
      </c>
      <c r="H6140" t="s">
        <v>40293</v>
      </c>
      <c r="I6140">
        <v>47764</v>
      </c>
      <c r="J6140">
        <v>1</v>
      </c>
      <c r="K6140">
        <v>1</v>
      </c>
    </row>
    <row r="6141" spans="1:11">
      <c r="A6141">
        <v>90</v>
      </c>
      <c r="B6141" t="b">
        <v>0</v>
      </c>
      <c r="C6141" t="s">
        <v>43122</v>
      </c>
      <c r="D6141">
        <v>1037022454355</v>
      </c>
      <c r="E6141">
        <v>1</v>
      </c>
      <c r="F6141">
        <v>6138672927</v>
      </c>
      <c r="G6141">
        <v>14000</v>
      </c>
      <c r="H6141" t="s">
        <v>40293</v>
      </c>
      <c r="I6141">
        <v>47764</v>
      </c>
      <c r="J6141">
        <v>15</v>
      </c>
      <c r="K6141">
        <v>15</v>
      </c>
    </row>
    <row r="6142" spans="1:11">
      <c r="A6142">
        <v>90</v>
      </c>
      <c r="B6142" t="b">
        <v>0</v>
      </c>
      <c r="C6142" t="s">
        <v>42818</v>
      </c>
      <c r="D6142">
        <v>1037022454355</v>
      </c>
      <c r="E6142">
        <v>1</v>
      </c>
      <c r="F6142">
        <v>6132561319</v>
      </c>
      <c r="G6142">
        <v>489900</v>
      </c>
      <c r="H6142" t="s">
        <v>40293</v>
      </c>
      <c r="I6142">
        <v>47765</v>
      </c>
      <c r="J6142">
        <v>1</v>
      </c>
      <c r="K6142">
        <v>1</v>
      </c>
    </row>
    <row r="6143" spans="1:11">
      <c r="A6143">
        <v>90</v>
      </c>
      <c r="B6143" t="b">
        <v>0</v>
      </c>
      <c r="C6143" t="s">
        <v>42717</v>
      </c>
      <c r="D6143">
        <v>1037022454355</v>
      </c>
      <c r="E6143">
        <v>1</v>
      </c>
      <c r="F6143">
        <v>6136782911</v>
      </c>
      <c r="G6143">
        <v>488900</v>
      </c>
      <c r="H6143" t="s">
        <v>40293</v>
      </c>
      <c r="I6143">
        <v>47765</v>
      </c>
      <c r="J6143">
        <v>1</v>
      </c>
      <c r="K6143">
        <v>1</v>
      </c>
    </row>
    <row r="6144" spans="1:11">
      <c r="A6144">
        <v>90</v>
      </c>
      <c r="B6144" t="b">
        <v>0</v>
      </c>
      <c r="C6144" t="s">
        <v>42295</v>
      </c>
      <c r="D6144">
        <v>1037022454355</v>
      </c>
      <c r="E6144">
        <v>1</v>
      </c>
      <c r="F6144">
        <v>6137178889</v>
      </c>
      <c r="G6144">
        <v>480000</v>
      </c>
      <c r="H6144" t="s">
        <v>40293</v>
      </c>
      <c r="I6144">
        <v>47765</v>
      </c>
      <c r="J6144">
        <v>1</v>
      </c>
      <c r="K6144">
        <v>1</v>
      </c>
    </row>
    <row r="6145" spans="1:11">
      <c r="A6145">
        <v>90</v>
      </c>
      <c r="B6145" t="b">
        <v>0</v>
      </c>
      <c r="C6145" t="s">
        <v>43572</v>
      </c>
      <c r="D6145">
        <v>1037022454355</v>
      </c>
      <c r="E6145">
        <v>1</v>
      </c>
      <c r="F6145">
        <v>6143923860</v>
      </c>
      <c r="G6145">
        <v>444500</v>
      </c>
      <c r="H6145" t="s">
        <v>40293</v>
      </c>
      <c r="I6145">
        <v>47765</v>
      </c>
      <c r="J6145">
        <v>3</v>
      </c>
      <c r="K6145">
        <v>3</v>
      </c>
    </row>
    <row r="6146" spans="1:11">
      <c r="A6146">
        <v>90</v>
      </c>
      <c r="B6146" t="b">
        <v>0</v>
      </c>
      <c r="C6146" t="s">
        <v>43591</v>
      </c>
      <c r="D6146">
        <v>1037022454355</v>
      </c>
      <c r="E6146">
        <v>1</v>
      </c>
      <c r="F6146">
        <v>6130421734</v>
      </c>
      <c r="G6146">
        <v>438600</v>
      </c>
      <c r="H6146" t="s">
        <v>40293</v>
      </c>
      <c r="I6146">
        <v>47765</v>
      </c>
      <c r="J6146">
        <v>1</v>
      </c>
      <c r="K6146">
        <v>1</v>
      </c>
    </row>
    <row r="6147" spans="1:11">
      <c r="A6147">
        <v>90</v>
      </c>
      <c r="B6147" t="b">
        <v>0</v>
      </c>
      <c r="C6147" t="s">
        <v>43386</v>
      </c>
      <c r="D6147">
        <v>1037022454355</v>
      </c>
      <c r="E6147">
        <v>1</v>
      </c>
      <c r="F6147">
        <v>6138672698</v>
      </c>
      <c r="G6147">
        <v>377000</v>
      </c>
      <c r="H6147" t="s">
        <v>40293</v>
      </c>
      <c r="I6147">
        <v>47765</v>
      </c>
      <c r="J6147">
        <v>1</v>
      </c>
      <c r="K6147">
        <v>4</v>
      </c>
    </row>
    <row r="6148" spans="1:11">
      <c r="A6148">
        <v>90</v>
      </c>
      <c r="B6148" t="b">
        <v>0</v>
      </c>
      <c r="C6148" t="s">
        <v>44723</v>
      </c>
      <c r="D6148">
        <v>1037022454355</v>
      </c>
      <c r="E6148">
        <v>1</v>
      </c>
      <c r="F6148">
        <v>6151283852</v>
      </c>
      <c r="G6148">
        <v>10.01</v>
      </c>
      <c r="H6148" t="s">
        <v>40293</v>
      </c>
      <c r="I6148">
        <v>47765</v>
      </c>
      <c r="J6148">
        <v>1</v>
      </c>
      <c r="K6148">
        <v>1</v>
      </c>
    </row>
    <row r="6149" spans="1:11">
      <c r="A6149">
        <v>90</v>
      </c>
      <c r="B6149" t="b">
        <v>0</v>
      </c>
      <c r="C6149" t="s">
        <v>45535</v>
      </c>
      <c r="D6149">
        <v>1037022454355</v>
      </c>
      <c r="E6149">
        <v>1</v>
      </c>
      <c r="F6149">
        <v>6150343895</v>
      </c>
      <c r="G6149">
        <v>10.01</v>
      </c>
      <c r="H6149" t="s">
        <v>40293</v>
      </c>
      <c r="I6149">
        <v>47765</v>
      </c>
      <c r="J6149">
        <v>1</v>
      </c>
      <c r="K6149">
        <v>1</v>
      </c>
    </row>
    <row r="6150" spans="1:11">
      <c r="A6150">
        <v>90</v>
      </c>
      <c r="B6150" t="b">
        <v>0</v>
      </c>
      <c r="C6150" t="s">
        <v>46201</v>
      </c>
      <c r="D6150">
        <v>1037022454355</v>
      </c>
      <c r="E6150">
        <v>1</v>
      </c>
      <c r="F6150">
        <v>6149860788</v>
      </c>
      <c r="G6150">
        <v>7900000</v>
      </c>
      <c r="H6150" t="s">
        <v>40293</v>
      </c>
      <c r="I6150">
        <v>47768</v>
      </c>
      <c r="J6150">
        <v>3</v>
      </c>
      <c r="K6150">
        <v>3</v>
      </c>
    </row>
    <row r="6151" spans="1:11">
      <c r="A6151">
        <v>90</v>
      </c>
      <c r="B6151" t="b">
        <v>0</v>
      </c>
      <c r="C6151" t="s">
        <v>40367</v>
      </c>
      <c r="D6151">
        <v>1037022454355</v>
      </c>
      <c r="E6151">
        <v>1</v>
      </c>
      <c r="F6151">
        <v>6089299585</v>
      </c>
      <c r="G6151">
        <v>970000</v>
      </c>
      <c r="H6151" t="s">
        <v>40293</v>
      </c>
      <c r="I6151">
        <v>47811</v>
      </c>
      <c r="J6151">
        <v>8</v>
      </c>
      <c r="K6151">
        <v>8</v>
      </c>
    </row>
    <row r="6152" spans="1:11">
      <c r="A6152">
        <v>90</v>
      </c>
      <c r="B6152" t="b">
        <v>0</v>
      </c>
      <c r="C6152" t="s">
        <v>41599</v>
      </c>
      <c r="D6152">
        <v>1037022454355</v>
      </c>
      <c r="E6152">
        <v>1</v>
      </c>
      <c r="F6152">
        <v>6114504982</v>
      </c>
      <c r="G6152">
        <v>449900</v>
      </c>
      <c r="H6152" t="s">
        <v>40293</v>
      </c>
      <c r="I6152">
        <v>47811</v>
      </c>
      <c r="J6152">
        <v>60</v>
      </c>
      <c r="K6152">
        <v>60</v>
      </c>
    </row>
    <row r="6153" spans="1:11">
      <c r="A6153">
        <v>90</v>
      </c>
      <c r="B6153" t="b">
        <v>0</v>
      </c>
      <c r="C6153" t="s">
        <v>41760</v>
      </c>
      <c r="D6153">
        <v>1037022454355</v>
      </c>
      <c r="E6153">
        <v>1</v>
      </c>
      <c r="F6153">
        <v>6087147459</v>
      </c>
      <c r="G6153">
        <v>679000</v>
      </c>
      <c r="H6153" t="s">
        <v>40293</v>
      </c>
      <c r="I6153">
        <v>47813</v>
      </c>
      <c r="J6153">
        <v>190</v>
      </c>
      <c r="K6153">
        <v>200</v>
      </c>
    </row>
    <row r="6154" spans="1:11">
      <c r="A6154">
        <v>90</v>
      </c>
      <c r="B6154" t="b">
        <v>0</v>
      </c>
      <c r="C6154" t="s">
        <v>40491</v>
      </c>
      <c r="D6154">
        <v>1037022454355</v>
      </c>
      <c r="E6154">
        <v>1</v>
      </c>
      <c r="F6154">
        <v>6087124592</v>
      </c>
      <c r="G6154">
        <v>99000</v>
      </c>
      <c r="H6154" t="s">
        <v>40293</v>
      </c>
      <c r="I6154">
        <v>47821</v>
      </c>
      <c r="J6154">
        <v>329</v>
      </c>
      <c r="K6154">
        <v>329</v>
      </c>
    </row>
    <row r="6155" spans="1:11">
      <c r="A6155">
        <v>90</v>
      </c>
      <c r="B6155" t="b">
        <v>0</v>
      </c>
      <c r="C6155" t="s">
        <v>43230</v>
      </c>
      <c r="D6155">
        <v>1037022454355</v>
      </c>
      <c r="E6155">
        <v>1</v>
      </c>
      <c r="F6155">
        <v>6143748244</v>
      </c>
      <c r="G6155">
        <v>98000</v>
      </c>
      <c r="H6155" t="s">
        <v>40293</v>
      </c>
      <c r="I6155">
        <v>47821</v>
      </c>
      <c r="J6155">
        <v>4</v>
      </c>
      <c r="K6155">
        <v>4</v>
      </c>
    </row>
    <row r="6156" spans="1:11">
      <c r="A6156">
        <v>90</v>
      </c>
      <c r="B6156" t="b">
        <v>0</v>
      </c>
      <c r="C6156" t="s">
        <v>41002</v>
      </c>
      <c r="D6156">
        <v>1037022454355</v>
      </c>
      <c r="E6156">
        <v>1</v>
      </c>
      <c r="F6156">
        <v>6114590589</v>
      </c>
      <c r="G6156">
        <v>98000</v>
      </c>
      <c r="H6156" t="s">
        <v>40293</v>
      </c>
      <c r="I6156">
        <v>47821</v>
      </c>
      <c r="J6156">
        <v>10</v>
      </c>
      <c r="K6156">
        <v>10</v>
      </c>
    </row>
    <row r="6157" spans="1:11">
      <c r="A6157">
        <v>90</v>
      </c>
      <c r="B6157" t="b">
        <v>0</v>
      </c>
      <c r="C6157" t="s">
        <v>41616</v>
      </c>
      <c r="D6157">
        <v>1037022454355</v>
      </c>
      <c r="E6157">
        <v>1</v>
      </c>
      <c r="F6157">
        <v>6114505455</v>
      </c>
      <c r="G6157">
        <v>1379000</v>
      </c>
      <c r="H6157" t="s">
        <v>40293</v>
      </c>
      <c r="I6157">
        <v>47823</v>
      </c>
      <c r="J6157">
        <v>17</v>
      </c>
      <c r="K6157">
        <v>17</v>
      </c>
    </row>
    <row r="6158" spans="1:11">
      <c r="A6158">
        <v>90</v>
      </c>
      <c r="B6158" t="b">
        <v>0</v>
      </c>
      <c r="C6158" t="s">
        <v>40736</v>
      </c>
      <c r="D6158">
        <v>1037022454355</v>
      </c>
      <c r="E6158">
        <v>1</v>
      </c>
      <c r="F6158">
        <v>6087124584</v>
      </c>
      <c r="G6158">
        <v>149000</v>
      </c>
      <c r="H6158" t="s">
        <v>40293</v>
      </c>
      <c r="I6158">
        <v>47825</v>
      </c>
      <c r="J6158">
        <v>371</v>
      </c>
      <c r="K6158">
        <v>371</v>
      </c>
    </row>
    <row r="6159" spans="1:11">
      <c r="A6159">
        <v>90</v>
      </c>
      <c r="B6159" t="b">
        <v>0</v>
      </c>
      <c r="C6159" t="s">
        <v>43240</v>
      </c>
      <c r="D6159">
        <v>1037022454355</v>
      </c>
      <c r="E6159">
        <v>1</v>
      </c>
      <c r="F6159">
        <v>6143748409</v>
      </c>
      <c r="G6159">
        <v>148000</v>
      </c>
      <c r="H6159" t="s">
        <v>40293</v>
      </c>
      <c r="I6159">
        <v>47825</v>
      </c>
      <c r="J6159">
        <v>7</v>
      </c>
      <c r="K6159">
        <v>7</v>
      </c>
    </row>
    <row r="6160" spans="1:11">
      <c r="A6160">
        <v>90</v>
      </c>
      <c r="B6160" t="b">
        <v>0</v>
      </c>
      <c r="C6160" t="s">
        <v>43206</v>
      </c>
      <c r="D6160">
        <v>1037022454355</v>
      </c>
      <c r="E6160">
        <v>1</v>
      </c>
      <c r="F6160">
        <v>6143747290</v>
      </c>
      <c r="G6160">
        <v>6000000</v>
      </c>
      <c r="H6160" t="s">
        <v>40293</v>
      </c>
      <c r="I6160">
        <v>47827</v>
      </c>
      <c r="J6160">
        <v>6</v>
      </c>
      <c r="K6160">
        <v>6</v>
      </c>
    </row>
    <row r="6161" spans="1:11">
      <c r="A6161">
        <v>90</v>
      </c>
      <c r="B6161" t="b">
        <v>0</v>
      </c>
      <c r="C6161" t="s">
        <v>43250</v>
      </c>
      <c r="D6161">
        <v>1037022454355</v>
      </c>
      <c r="E6161">
        <v>1</v>
      </c>
      <c r="F6161">
        <v>6143748517</v>
      </c>
      <c r="G6161">
        <v>1000000</v>
      </c>
      <c r="H6161" t="s">
        <v>40293</v>
      </c>
      <c r="I6161">
        <v>47829</v>
      </c>
      <c r="J6161">
        <v>7</v>
      </c>
      <c r="K6161">
        <v>7</v>
      </c>
    </row>
    <row r="6162" spans="1:11">
      <c r="A6162">
        <v>90</v>
      </c>
      <c r="B6162" t="b">
        <v>0</v>
      </c>
      <c r="C6162" t="s">
        <v>43227</v>
      </c>
      <c r="D6162">
        <v>1037022454355</v>
      </c>
      <c r="E6162">
        <v>1</v>
      </c>
      <c r="F6162">
        <v>6143748093</v>
      </c>
      <c r="G6162">
        <v>13500000</v>
      </c>
      <c r="H6162" t="s">
        <v>40293</v>
      </c>
      <c r="I6162">
        <v>47831</v>
      </c>
      <c r="J6162">
        <v>4</v>
      </c>
      <c r="K6162">
        <v>4</v>
      </c>
    </row>
    <row r="6163" spans="1:11">
      <c r="A6163">
        <v>90</v>
      </c>
      <c r="B6163" t="b">
        <v>0</v>
      </c>
      <c r="C6163" t="s">
        <v>45968</v>
      </c>
      <c r="D6163">
        <v>1037022454355</v>
      </c>
      <c r="E6163">
        <v>1</v>
      </c>
      <c r="F6163">
        <v>6147596428</v>
      </c>
      <c r="G6163">
        <v>150000</v>
      </c>
      <c r="H6163" t="s">
        <v>40293</v>
      </c>
      <c r="I6163">
        <v>47867</v>
      </c>
      <c r="J6163">
        <v>2</v>
      </c>
      <c r="K6163">
        <v>9</v>
      </c>
    </row>
    <row r="6164" spans="1:11">
      <c r="A6164">
        <v>90</v>
      </c>
      <c r="B6164" t="b">
        <v>0</v>
      </c>
      <c r="C6164" t="s">
        <v>41650</v>
      </c>
      <c r="D6164">
        <v>1037022454355</v>
      </c>
      <c r="E6164">
        <v>1</v>
      </c>
      <c r="F6164">
        <v>6122534361</v>
      </c>
      <c r="G6164">
        <v>5899000</v>
      </c>
      <c r="H6164" t="s">
        <v>40293</v>
      </c>
      <c r="I6164">
        <v>47868</v>
      </c>
      <c r="J6164">
        <v>4</v>
      </c>
      <c r="K6164">
        <v>4</v>
      </c>
    </row>
    <row r="6165" spans="1:11">
      <c r="A6165">
        <v>90</v>
      </c>
      <c r="B6165" t="b">
        <v>0</v>
      </c>
      <c r="C6165" t="s">
        <v>41306</v>
      </c>
      <c r="D6165">
        <v>1037022454355</v>
      </c>
      <c r="E6165">
        <v>1</v>
      </c>
      <c r="F6165">
        <v>6068622716</v>
      </c>
      <c r="G6165">
        <v>7690000</v>
      </c>
      <c r="H6165" t="s">
        <v>40293</v>
      </c>
      <c r="I6165">
        <v>47869</v>
      </c>
      <c r="J6165">
        <v>11</v>
      </c>
      <c r="K6165">
        <v>11</v>
      </c>
    </row>
    <row r="6166" spans="1:11">
      <c r="A6166">
        <v>90</v>
      </c>
      <c r="B6166" t="b">
        <v>0</v>
      </c>
      <c r="C6166" t="s">
        <v>43617</v>
      </c>
      <c r="D6166">
        <v>1037022454355</v>
      </c>
      <c r="E6166">
        <v>1</v>
      </c>
      <c r="F6166">
        <v>6067508134</v>
      </c>
      <c r="G6166">
        <v>7680000</v>
      </c>
      <c r="H6166" t="s">
        <v>40293</v>
      </c>
      <c r="I6166">
        <v>47869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44774</v>
      </c>
      <c r="D6167">
        <v>1037022454355</v>
      </c>
      <c r="E6167">
        <v>1</v>
      </c>
      <c r="F6167">
        <v>6154593933</v>
      </c>
      <c r="G6167">
        <v>7600000</v>
      </c>
      <c r="H6167" t="s">
        <v>40293</v>
      </c>
      <c r="I6167">
        <v>47869</v>
      </c>
      <c r="J6167">
        <v>1</v>
      </c>
      <c r="K6167">
        <v>1</v>
      </c>
    </row>
    <row r="6168" spans="1:11">
      <c r="A6168">
        <v>90</v>
      </c>
      <c r="B6168" t="b">
        <v>0</v>
      </c>
      <c r="C6168" t="s">
        <v>40997</v>
      </c>
      <c r="D6168">
        <v>1037022454355</v>
      </c>
      <c r="E6168">
        <v>1</v>
      </c>
      <c r="F6168">
        <v>6082445104</v>
      </c>
      <c r="G6168">
        <v>3000000</v>
      </c>
      <c r="H6168" t="s">
        <v>40293</v>
      </c>
      <c r="I6168">
        <v>47870</v>
      </c>
      <c r="J6168">
        <v>13</v>
      </c>
      <c r="K6168">
        <v>27</v>
      </c>
    </row>
    <row r="6169" spans="1:11">
      <c r="A6169">
        <v>90</v>
      </c>
      <c r="B6169" t="b">
        <v>0</v>
      </c>
      <c r="C6169" t="s">
        <v>40382</v>
      </c>
      <c r="D6169">
        <v>1037022454355</v>
      </c>
      <c r="E6169">
        <v>1</v>
      </c>
      <c r="F6169">
        <v>6068623041</v>
      </c>
      <c r="G6169">
        <v>11760000</v>
      </c>
      <c r="H6169" t="s">
        <v>40293</v>
      </c>
      <c r="I6169">
        <v>47871</v>
      </c>
      <c r="J6169">
        <v>13</v>
      </c>
      <c r="K6169">
        <v>18</v>
      </c>
    </row>
    <row r="6170" spans="1:11">
      <c r="A6170">
        <v>90</v>
      </c>
      <c r="B6170" t="b">
        <v>0</v>
      </c>
      <c r="C6170" t="s">
        <v>41284</v>
      </c>
      <c r="D6170">
        <v>1037022454355</v>
      </c>
      <c r="E6170">
        <v>1</v>
      </c>
      <c r="F6170">
        <v>6115480642</v>
      </c>
      <c r="G6170">
        <v>4000000</v>
      </c>
      <c r="H6170" t="s">
        <v>40293</v>
      </c>
      <c r="I6170">
        <v>47871</v>
      </c>
      <c r="J6170">
        <v>1</v>
      </c>
      <c r="K6170">
        <v>1</v>
      </c>
    </row>
    <row r="6171" spans="1:11">
      <c r="A6171">
        <v>90</v>
      </c>
      <c r="B6171" t="b">
        <v>0</v>
      </c>
      <c r="C6171" t="s">
        <v>41242</v>
      </c>
      <c r="D6171">
        <v>1037022454355</v>
      </c>
      <c r="E6171">
        <v>1</v>
      </c>
      <c r="F6171">
        <v>6125440405</v>
      </c>
      <c r="G6171">
        <v>2000000</v>
      </c>
      <c r="H6171" t="s">
        <v>40293</v>
      </c>
      <c r="I6171">
        <v>47871</v>
      </c>
      <c r="J6171">
        <v>3</v>
      </c>
      <c r="K6171">
        <v>4</v>
      </c>
    </row>
    <row r="6172" spans="1:11">
      <c r="A6172">
        <v>90</v>
      </c>
      <c r="B6172" t="b">
        <v>0</v>
      </c>
      <c r="C6172" t="s">
        <v>44882</v>
      </c>
      <c r="D6172">
        <v>1037022454355</v>
      </c>
      <c r="E6172">
        <v>1</v>
      </c>
      <c r="F6172">
        <v>6151973908</v>
      </c>
      <c r="G6172">
        <v>1950000</v>
      </c>
      <c r="H6172" t="s">
        <v>40293</v>
      </c>
      <c r="I6172">
        <v>47871</v>
      </c>
      <c r="J6172">
        <v>1</v>
      </c>
      <c r="K6172">
        <v>1</v>
      </c>
    </row>
    <row r="6173" spans="1:11">
      <c r="A6173">
        <v>90</v>
      </c>
      <c r="B6173" t="b">
        <v>0</v>
      </c>
      <c r="C6173" t="s">
        <v>41205</v>
      </c>
      <c r="D6173">
        <v>1037022454355</v>
      </c>
      <c r="E6173">
        <v>1</v>
      </c>
      <c r="F6173">
        <v>6084972324</v>
      </c>
      <c r="G6173">
        <v>4899000</v>
      </c>
      <c r="H6173" t="s">
        <v>40293</v>
      </c>
      <c r="I6173">
        <v>47872</v>
      </c>
      <c r="J6173">
        <v>10</v>
      </c>
      <c r="K6173">
        <v>15</v>
      </c>
    </row>
    <row r="6174" spans="1:11">
      <c r="A6174">
        <v>90</v>
      </c>
      <c r="B6174" t="b">
        <v>0</v>
      </c>
      <c r="C6174" t="s">
        <v>41175</v>
      </c>
      <c r="D6174">
        <v>1037022454355</v>
      </c>
      <c r="E6174">
        <v>1</v>
      </c>
      <c r="F6174">
        <v>6125440152</v>
      </c>
      <c r="G6174">
        <v>4000000</v>
      </c>
      <c r="H6174" t="s">
        <v>40293</v>
      </c>
      <c r="I6174">
        <v>47872</v>
      </c>
      <c r="J6174">
        <v>3</v>
      </c>
      <c r="K6174">
        <v>4</v>
      </c>
    </row>
    <row r="6175" spans="1:11">
      <c r="A6175">
        <v>90</v>
      </c>
      <c r="B6175" t="b">
        <v>0</v>
      </c>
      <c r="C6175" t="s">
        <v>44848</v>
      </c>
      <c r="D6175">
        <v>1037022454355</v>
      </c>
      <c r="E6175">
        <v>1</v>
      </c>
      <c r="F6175">
        <v>6151973468</v>
      </c>
      <c r="G6175">
        <v>3900000</v>
      </c>
      <c r="H6175" t="s">
        <v>40293</v>
      </c>
      <c r="I6175">
        <v>47872</v>
      </c>
      <c r="J6175">
        <v>1</v>
      </c>
      <c r="K6175">
        <v>1</v>
      </c>
    </row>
    <row r="6176" spans="1:11">
      <c r="A6176">
        <v>90</v>
      </c>
      <c r="B6176" t="b">
        <v>0</v>
      </c>
      <c r="C6176" t="s">
        <v>41170</v>
      </c>
      <c r="D6176">
        <v>1037022454355</v>
      </c>
      <c r="E6176">
        <v>1</v>
      </c>
      <c r="F6176">
        <v>6095916115</v>
      </c>
      <c r="G6176">
        <v>375000000</v>
      </c>
      <c r="H6176" t="s">
        <v>40293</v>
      </c>
      <c r="I6176">
        <v>47873</v>
      </c>
      <c r="J6176">
        <v>1</v>
      </c>
      <c r="K6176">
        <v>1</v>
      </c>
    </row>
    <row r="6177" spans="1:11">
      <c r="A6177">
        <v>90</v>
      </c>
      <c r="B6177" t="b">
        <v>0</v>
      </c>
      <c r="C6177" t="s">
        <v>41022</v>
      </c>
      <c r="D6177">
        <v>1037022454355</v>
      </c>
      <c r="E6177">
        <v>1</v>
      </c>
      <c r="F6177">
        <v>6094307529</v>
      </c>
      <c r="G6177">
        <v>245000000</v>
      </c>
      <c r="H6177" t="s">
        <v>40293</v>
      </c>
      <c r="I6177">
        <v>47873</v>
      </c>
      <c r="J6177">
        <v>1</v>
      </c>
      <c r="K6177">
        <v>1</v>
      </c>
    </row>
    <row r="6178" spans="1:11">
      <c r="A6178">
        <v>90</v>
      </c>
      <c r="B6178" t="b">
        <v>0</v>
      </c>
      <c r="C6178" t="s">
        <v>41353</v>
      </c>
      <c r="D6178">
        <v>1037022454355</v>
      </c>
      <c r="E6178">
        <v>1</v>
      </c>
      <c r="F6178">
        <v>6091624132</v>
      </c>
      <c r="G6178">
        <v>245000000</v>
      </c>
      <c r="H6178" t="s">
        <v>40293</v>
      </c>
      <c r="I6178">
        <v>47873</v>
      </c>
      <c r="J6178">
        <v>1</v>
      </c>
      <c r="K6178">
        <v>2</v>
      </c>
    </row>
    <row r="6179" spans="1:11">
      <c r="A6179">
        <v>90</v>
      </c>
      <c r="B6179" t="b">
        <v>0</v>
      </c>
      <c r="C6179" t="s">
        <v>41965</v>
      </c>
      <c r="D6179">
        <v>1037022454355</v>
      </c>
      <c r="E6179">
        <v>1</v>
      </c>
      <c r="F6179">
        <v>6128135482</v>
      </c>
      <c r="G6179">
        <v>244800000</v>
      </c>
      <c r="H6179" t="s">
        <v>40293</v>
      </c>
      <c r="I6179">
        <v>47873</v>
      </c>
      <c r="J6179">
        <v>2</v>
      </c>
      <c r="K6179">
        <v>4</v>
      </c>
    </row>
    <row r="6180" spans="1:11">
      <c r="A6180">
        <v>90</v>
      </c>
      <c r="B6180" t="b">
        <v>0</v>
      </c>
      <c r="C6180" t="s">
        <v>42250</v>
      </c>
      <c r="D6180">
        <v>1037022454355</v>
      </c>
      <c r="E6180">
        <v>1</v>
      </c>
      <c r="F6180">
        <v>6129415380</v>
      </c>
      <c r="G6180">
        <v>244700000</v>
      </c>
      <c r="H6180" t="s">
        <v>40293</v>
      </c>
      <c r="I6180">
        <v>47873</v>
      </c>
      <c r="J6180">
        <v>1</v>
      </c>
      <c r="K6180">
        <v>1</v>
      </c>
    </row>
    <row r="6181" spans="1:11">
      <c r="A6181">
        <v>90</v>
      </c>
      <c r="B6181" t="b">
        <v>0</v>
      </c>
      <c r="C6181" t="s">
        <v>42129</v>
      </c>
      <c r="D6181">
        <v>1037022454355</v>
      </c>
      <c r="E6181">
        <v>1</v>
      </c>
      <c r="F6181">
        <v>6129415437</v>
      </c>
      <c r="G6181">
        <v>244700000</v>
      </c>
      <c r="H6181" t="s">
        <v>40293</v>
      </c>
      <c r="I6181">
        <v>47873</v>
      </c>
      <c r="J6181">
        <v>1</v>
      </c>
      <c r="K6181">
        <v>1</v>
      </c>
    </row>
    <row r="6182" spans="1:11">
      <c r="A6182">
        <v>90</v>
      </c>
      <c r="B6182" t="b">
        <v>0</v>
      </c>
      <c r="C6182" t="s">
        <v>42459</v>
      </c>
      <c r="D6182">
        <v>1037022454355</v>
      </c>
      <c r="E6182">
        <v>1</v>
      </c>
      <c r="F6182">
        <v>6132509284</v>
      </c>
      <c r="G6182">
        <v>230000000</v>
      </c>
      <c r="H6182" t="s">
        <v>40293</v>
      </c>
      <c r="I6182">
        <v>47873</v>
      </c>
      <c r="J6182">
        <v>2</v>
      </c>
      <c r="K6182">
        <v>2</v>
      </c>
    </row>
    <row r="6183" spans="1:11">
      <c r="A6183">
        <v>90</v>
      </c>
      <c r="B6183" t="b">
        <v>0</v>
      </c>
      <c r="C6183" t="s">
        <v>44592</v>
      </c>
      <c r="D6183">
        <v>1037022454355</v>
      </c>
      <c r="E6183">
        <v>1</v>
      </c>
      <c r="F6183">
        <v>6153569558</v>
      </c>
      <c r="G6183">
        <v>229900000</v>
      </c>
      <c r="H6183" t="s">
        <v>40293</v>
      </c>
      <c r="I6183">
        <v>47873</v>
      </c>
      <c r="J6183">
        <v>1</v>
      </c>
      <c r="K6183">
        <v>1</v>
      </c>
    </row>
    <row r="6184" spans="1:11">
      <c r="A6184">
        <v>90</v>
      </c>
      <c r="B6184" t="b">
        <v>0</v>
      </c>
      <c r="C6184" t="s">
        <v>45664</v>
      </c>
      <c r="D6184">
        <v>1037022454355</v>
      </c>
      <c r="E6184">
        <v>1</v>
      </c>
      <c r="F6184">
        <v>6154081087</v>
      </c>
      <c r="G6184">
        <v>58000000</v>
      </c>
      <c r="H6184" t="s">
        <v>40293</v>
      </c>
      <c r="I6184">
        <v>47873</v>
      </c>
      <c r="J6184">
        <v>1</v>
      </c>
      <c r="K6184">
        <v>2</v>
      </c>
    </row>
    <row r="6185" spans="1:11">
      <c r="A6185">
        <v>90</v>
      </c>
      <c r="B6185" t="b">
        <v>0</v>
      </c>
      <c r="C6185" t="s">
        <v>40994</v>
      </c>
      <c r="D6185">
        <v>1037022454355</v>
      </c>
      <c r="E6185">
        <v>1</v>
      </c>
      <c r="F6185">
        <v>6086803206</v>
      </c>
      <c r="G6185">
        <v>473.7</v>
      </c>
      <c r="H6185" t="s">
        <v>40293</v>
      </c>
      <c r="I6185">
        <v>47885</v>
      </c>
      <c r="J6185">
        <v>40383</v>
      </c>
      <c r="K6185">
        <v>50000</v>
      </c>
    </row>
    <row r="6186" spans="1:11">
      <c r="A6186">
        <v>90</v>
      </c>
      <c r="B6186" t="b">
        <v>0</v>
      </c>
      <c r="C6186" t="s">
        <v>41731</v>
      </c>
      <c r="D6186">
        <v>1037022454355</v>
      </c>
      <c r="E6186">
        <v>1</v>
      </c>
      <c r="F6186">
        <v>6102842649</v>
      </c>
      <c r="G6186">
        <v>445</v>
      </c>
      <c r="H6186" t="s">
        <v>40293</v>
      </c>
      <c r="I6186">
        <v>47885</v>
      </c>
      <c r="J6186">
        <v>1000</v>
      </c>
      <c r="K6186">
        <v>2000</v>
      </c>
    </row>
    <row r="6187" spans="1:11">
      <c r="A6187">
        <v>90</v>
      </c>
      <c r="B6187" t="b">
        <v>0</v>
      </c>
      <c r="C6187" t="s">
        <v>40466</v>
      </c>
      <c r="D6187">
        <v>1037022454355</v>
      </c>
      <c r="E6187">
        <v>1</v>
      </c>
      <c r="F6187">
        <v>6097735600</v>
      </c>
      <c r="G6187">
        <v>444.3</v>
      </c>
      <c r="H6187" t="s">
        <v>40293</v>
      </c>
      <c r="I6187">
        <v>47885</v>
      </c>
      <c r="J6187">
        <v>2378</v>
      </c>
      <c r="K6187">
        <v>3978</v>
      </c>
    </row>
    <row r="6188" spans="1:11">
      <c r="A6188">
        <v>90</v>
      </c>
      <c r="B6188" t="b">
        <v>0</v>
      </c>
      <c r="C6188" t="s">
        <v>40474</v>
      </c>
      <c r="D6188">
        <v>1037022454355</v>
      </c>
      <c r="E6188">
        <v>1</v>
      </c>
      <c r="F6188">
        <v>6105469056</v>
      </c>
      <c r="G6188">
        <v>443.9</v>
      </c>
      <c r="H6188" t="s">
        <v>40293</v>
      </c>
      <c r="I6188">
        <v>47885</v>
      </c>
      <c r="J6188">
        <v>500</v>
      </c>
      <c r="K6188">
        <v>500</v>
      </c>
    </row>
    <row r="6189" spans="1:11">
      <c r="A6189">
        <v>90</v>
      </c>
      <c r="B6189" t="b">
        <v>0</v>
      </c>
      <c r="C6189" t="s">
        <v>41857</v>
      </c>
      <c r="D6189">
        <v>1037022454355</v>
      </c>
      <c r="E6189">
        <v>1</v>
      </c>
      <c r="F6189">
        <v>6127628579</v>
      </c>
      <c r="G6189">
        <v>437.9</v>
      </c>
      <c r="H6189" t="s">
        <v>40293</v>
      </c>
      <c r="I6189">
        <v>47885</v>
      </c>
      <c r="J6189">
        <v>592</v>
      </c>
      <c r="K6189">
        <v>592</v>
      </c>
    </row>
    <row r="6190" spans="1:11">
      <c r="A6190">
        <v>90</v>
      </c>
      <c r="B6190" t="b">
        <v>0</v>
      </c>
      <c r="C6190" t="s">
        <v>41868</v>
      </c>
      <c r="D6190">
        <v>1037022454355</v>
      </c>
      <c r="E6190">
        <v>1</v>
      </c>
      <c r="F6190">
        <v>6128220753</v>
      </c>
      <c r="G6190">
        <v>437.8</v>
      </c>
      <c r="H6190" t="s">
        <v>40293</v>
      </c>
      <c r="I6190">
        <v>47885</v>
      </c>
      <c r="J6190">
        <v>1996</v>
      </c>
      <c r="K6190">
        <v>1996</v>
      </c>
    </row>
    <row r="6191" spans="1:11">
      <c r="A6191">
        <v>90</v>
      </c>
      <c r="B6191" t="b">
        <v>0</v>
      </c>
      <c r="C6191" t="s">
        <v>42223</v>
      </c>
      <c r="D6191">
        <v>1037022454355</v>
      </c>
      <c r="E6191">
        <v>1</v>
      </c>
      <c r="F6191">
        <v>6110899316</v>
      </c>
      <c r="G6191">
        <v>436.7</v>
      </c>
      <c r="H6191" t="s">
        <v>40293</v>
      </c>
      <c r="I6191">
        <v>47885</v>
      </c>
      <c r="J6191">
        <v>10400</v>
      </c>
      <c r="K6191">
        <v>25000</v>
      </c>
    </row>
    <row r="6192" spans="1:11">
      <c r="A6192">
        <v>90</v>
      </c>
      <c r="B6192" t="b">
        <v>0</v>
      </c>
      <c r="C6192" t="s">
        <v>43204</v>
      </c>
      <c r="D6192">
        <v>1037022454355</v>
      </c>
      <c r="E6192">
        <v>1</v>
      </c>
      <c r="F6192">
        <v>6120121482</v>
      </c>
      <c r="G6192">
        <v>433</v>
      </c>
      <c r="H6192" t="s">
        <v>40293</v>
      </c>
      <c r="I6192">
        <v>47885</v>
      </c>
      <c r="J6192">
        <v>3000</v>
      </c>
      <c r="K6192">
        <v>3000</v>
      </c>
    </row>
    <row r="6193" spans="1:11">
      <c r="A6193">
        <v>90</v>
      </c>
      <c r="B6193" t="b">
        <v>0</v>
      </c>
      <c r="C6193" t="s">
        <v>43051</v>
      </c>
      <c r="D6193">
        <v>1037022454355</v>
      </c>
      <c r="E6193">
        <v>1</v>
      </c>
      <c r="F6193">
        <v>6086989015</v>
      </c>
      <c r="G6193">
        <v>432.5</v>
      </c>
      <c r="H6193" t="s">
        <v>40293</v>
      </c>
      <c r="I6193">
        <v>47885</v>
      </c>
      <c r="J6193">
        <v>39146</v>
      </c>
      <c r="K6193">
        <v>77546</v>
      </c>
    </row>
    <row r="6194" spans="1:11">
      <c r="A6194">
        <v>90</v>
      </c>
      <c r="B6194" t="b">
        <v>0</v>
      </c>
      <c r="C6194" t="s">
        <v>44271</v>
      </c>
      <c r="D6194">
        <v>1037022454355</v>
      </c>
      <c r="E6194">
        <v>1</v>
      </c>
      <c r="F6194">
        <v>6121426026</v>
      </c>
      <c r="G6194">
        <v>432.4</v>
      </c>
      <c r="H6194" t="s">
        <v>40293</v>
      </c>
      <c r="I6194">
        <v>47885</v>
      </c>
      <c r="J6194">
        <v>2956</v>
      </c>
      <c r="K6194">
        <v>6956</v>
      </c>
    </row>
    <row r="6195" spans="1:11">
      <c r="A6195">
        <v>90</v>
      </c>
      <c r="B6195" t="b">
        <v>0</v>
      </c>
      <c r="C6195" t="s">
        <v>42901</v>
      </c>
      <c r="D6195">
        <v>1037022454355</v>
      </c>
      <c r="E6195">
        <v>1</v>
      </c>
      <c r="F6195">
        <v>6146392687</v>
      </c>
      <c r="G6195">
        <v>5000</v>
      </c>
      <c r="H6195" t="s">
        <v>40293</v>
      </c>
      <c r="I6195">
        <v>47887</v>
      </c>
      <c r="J6195">
        <v>4000</v>
      </c>
      <c r="K6195">
        <v>5000</v>
      </c>
    </row>
    <row r="6196" spans="1:11">
      <c r="A6196">
        <v>90</v>
      </c>
      <c r="B6196" t="b">
        <v>0</v>
      </c>
      <c r="C6196" t="s">
        <v>43191</v>
      </c>
      <c r="D6196">
        <v>1037022454355</v>
      </c>
      <c r="E6196">
        <v>1</v>
      </c>
      <c r="F6196">
        <v>6143746780</v>
      </c>
      <c r="G6196">
        <v>49010</v>
      </c>
      <c r="H6196" t="s">
        <v>40293</v>
      </c>
      <c r="I6196">
        <v>47888</v>
      </c>
      <c r="J6196">
        <v>1</v>
      </c>
      <c r="K6196">
        <v>1</v>
      </c>
    </row>
    <row r="6197" spans="1:11">
      <c r="A6197">
        <v>90</v>
      </c>
      <c r="B6197" t="b">
        <v>0</v>
      </c>
      <c r="C6197" t="s">
        <v>43398</v>
      </c>
      <c r="D6197">
        <v>1037022454355</v>
      </c>
      <c r="E6197">
        <v>1</v>
      </c>
      <c r="F6197">
        <v>6143916207</v>
      </c>
      <c r="G6197">
        <v>48990</v>
      </c>
      <c r="H6197" t="s">
        <v>40293</v>
      </c>
      <c r="I6197">
        <v>47888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43572</v>
      </c>
      <c r="D6198">
        <v>1037022454355</v>
      </c>
      <c r="E6198">
        <v>1</v>
      </c>
      <c r="F6198">
        <v>6143923864</v>
      </c>
      <c r="G6198">
        <v>48970</v>
      </c>
      <c r="H6198" t="s">
        <v>40293</v>
      </c>
      <c r="I6198">
        <v>47888</v>
      </c>
      <c r="J6198">
        <v>4</v>
      </c>
      <c r="K6198">
        <v>4</v>
      </c>
    </row>
    <row r="6199" spans="1:11">
      <c r="A6199">
        <v>90</v>
      </c>
      <c r="B6199" t="b">
        <v>0</v>
      </c>
      <c r="C6199" t="s">
        <v>43654</v>
      </c>
      <c r="D6199">
        <v>1037022454355</v>
      </c>
      <c r="E6199">
        <v>1</v>
      </c>
      <c r="F6199">
        <v>6145366323</v>
      </c>
      <c r="G6199">
        <v>48950</v>
      </c>
      <c r="H6199" t="s">
        <v>40293</v>
      </c>
      <c r="I6199">
        <v>47888</v>
      </c>
      <c r="J6199">
        <v>1</v>
      </c>
      <c r="K6199">
        <v>1</v>
      </c>
    </row>
    <row r="6200" spans="1:11">
      <c r="A6200">
        <v>90</v>
      </c>
      <c r="B6200" t="b">
        <v>0</v>
      </c>
      <c r="C6200" t="s">
        <v>45785</v>
      </c>
      <c r="D6200">
        <v>1037022454355</v>
      </c>
      <c r="E6200">
        <v>1</v>
      </c>
      <c r="F6200">
        <v>6152561696</v>
      </c>
      <c r="G6200">
        <v>48010</v>
      </c>
      <c r="H6200" t="s">
        <v>40293</v>
      </c>
      <c r="I6200">
        <v>47888</v>
      </c>
      <c r="J6200">
        <v>1</v>
      </c>
      <c r="K6200">
        <v>1</v>
      </c>
    </row>
    <row r="6201" spans="1:11">
      <c r="A6201">
        <v>90</v>
      </c>
      <c r="B6201" t="b">
        <v>0</v>
      </c>
      <c r="C6201" t="s">
        <v>44576</v>
      </c>
      <c r="D6201">
        <v>1037022454355</v>
      </c>
      <c r="E6201">
        <v>1</v>
      </c>
      <c r="F6201">
        <v>6153542209</v>
      </c>
      <c r="G6201">
        <v>10010</v>
      </c>
      <c r="H6201" t="s">
        <v>40293</v>
      </c>
      <c r="I6201">
        <v>47888</v>
      </c>
      <c r="J6201">
        <v>1</v>
      </c>
      <c r="K6201">
        <v>1</v>
      </c>
    </row>
    <row r="6202" spans="1:11">
      <c r="A6202">
        <v>90</v>
      </c>
      <c r="B6202" t="b">
        <v>0</v>
      </c>
      <c r="C6202" t="s">
        <v>42645</v>
      </c>
      <c r="D6202">
        <v>1037022454355</v>
      </c>
      <c r="E6202">
        <v>1</v>
      </c>
      <c r="F6202">
        <v>6113447676</v>
      </c>
      <c r="G6202">
        <v>25980</v>
      </c>
      <c r="H6202" t="s">
        <v>40293</v>
      </c>
      <c r="I6202">
        <v>47892</v>
      </c>
      <c r="J6202">
        <v>1</v>
      </c>
      <c r="K6202">
        <v>1</v>
      </c>
    </row>
    <row r="6203" spans="1:11">
      <c r="A6203">
        <v>90</v>
      </c>
      <c r="B6203" t="b">
        <v>0</v>
      </c>
      <c r="C6203" t="s">
        <v>42818</v>
      </c>
      <c r="D6203">
        <v>1037022454355</v>
      </c>
      <c r="E6203">
        <v>1</v>
      </c>
      <c r="F6203">
        <v>6132561318</v>
      </c>
      <c r="G6203">
        <v>25980</v>
      </c>
      <c r="H6203" t="s">
        <v>40293</v>
      </c>
      <c r="I6203">
        <v>47892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42431</v>
      </c>
      <c r="D6204">
        <v>1037022454355</v>
      </c>
      <c r="E6204">
        <v>1</v>
      </c>
      <c r="F6204">
        <v>6137881879</v>
      </c>
      <c r="G6204">
        <v>25000</v>
      </c>
      <c r="H6204" t="s">
        <v>40293</v>
      </c>
      <c r="I6204">
        <v>47892</v>
      </c>
      <c r="J6204">
        <v>1</v>
      </c>
      <c r="K6204">
        <v>1</v>
      </c>
    </row>
    <row r="6205" spans="1:11">
      <c r="A6205">
        <v>90</v>
      </c>
      <c r="B6205" t="b">
        <v>0</v>
      </c>
      <c r="C6205" t="s">
        <v>42924</v>
      </c>
      <c r="D6205">
        <v>1037022454355</v>
      </c>
      <c r="E6205">
        <v>1</v>
      </c>
      <c r="F6205">
        <v>6139315411</v>
      </c>
      <c r="G6205">
        <v>24990</v>
      </c>
      <c r="H6205" t="s">
        <v>40293</v>
      </c>
      <c r="I6205">
        <v>47892</v>
      </c>
      <c r="J6205">
        <v>4</v>
      </c>
      <c r="K6205">
        <v>4</v>
      </c>
    </row>
    <row r="6206" spans="1:11">
      <c r="A6206">
        <v>90</v>
      </c>
      <c r="B6206" t="b">
        <v>0</v>
      </c>
      <c r="C6206" t="s">
        <v>43293</v>
      </c>
      <c r="D6206">
        <v>1037022454355</v>
      </c>
      <c r="E6206">
        <v>1</v>
      </c>
      <c r="F6206">
        <v>6113865190</v>
      </c>
      <c r="G6206">
        <v>24980</v>
      </c>
      <c r="H6206" t="s">
        <v>40293</v>
      </c>
      <c r="I6206">
        <v>47892</v>
      </c>
      <c r="J6206">
        <v>2</v>
      </c>
      <c r="K6206">
        <v>2</v>
      </c>
    </row>
    <row r="6207" spans="1:11">
      <c r="A6207">
        <v>90</v>
      </c>
      <c r="B6207" t="b">
        <v>0</v>
      </c>
      <c r="C6207" t="s">
        <v>43572</v>
      </c>
      <c r="D6207">
        <v>1037022454355</v>
      </c>
      <c r="E6207">
        <v>1</v>
      </c>
      <c r="F6207">
        <v>6143923871</v>
      </c>
      <c r="G6207">
        <v>22230</v>
      </c>
      <c r="H6207" t="s">
        <v>40293</v>
      </c>
      <c r="I6207">
        <v>47892</v>
      </c>
      <c r="J6207">
        <v>1</v>
      </c>
      <c r="K6207">
        <v>1</v>
      </c>
    </row>
    <row r="6208" spans="1:11">
      <c r="A6208">
        <v>90</v>
      </c>
      <c r="B6208" t="b">
        <v>0</v>
      </c>
      <c r="C6208" t="s">
        <v>44723</v>
      </c>
      <c r="D6208">
        <v>1037022454355</v>
      </c>
      <c r="E6208">
        <v>1</v>
      </c>
      <c r="F6208">
        <v>6151283854</v>
      </c>
      <c r="G6208">
        <v>10010</v>
      </c>
      <c r="H6208" t="s">
        <v>40293</v>
      </c>
      <c r="I6208">
        <v>47892</v>
      </c>
      <c r="J6208">
        <v>1</v>
      </c>
      <c r="K6208">
        <v>1</v>
      </c>
    </row>
    <row r="6209" spans="1:11">
      <c r="A6209">
        <v>90</v>
      </c>
      <c r="B6209" t="b">
        <v>0</v>
      </c>
      <c r="C6209" t="s">
        <v>45535</v>
      </c>
      <c r="D6209">
        <v>1037022454355</v>
      </c>
      <c r="E6209">
        <v>1</v>
      </c>
      <c r="F6209">
        <v>6150343896</v>
      </c>
      <c r="G6209">
        <v>10010</v>
      </c>
      <c r="H6209" t="s">
        <v>40293</v>
      </c>
      <c r="I6209">
        <v>47892</v>
      </c>
      <c r="J6209">
        <v>1</v>
      </c>
      <c r="K6209">
        <v>1</v>
      </c>
    </row>
    <row r="6210" spans="1:11">
      <c r="A6210">
        <v>90</v>
      </c>
      <c r="B6210" t="b">
        <v>0</v>
      </c>
      <c r="C6210" t="s">
        <v>42805</v>
      </c>
      <c r="D6210">
        <v>1037022454355</v>
      </c>
      <c r="E6210">
        <v>1</v>
      </c>
      <c r="F6210">
        <v>6135837246</v>
      </c>
      <c r="G6210">
        <v>100000</v>
      </c>
      <c r="H6210" t="s">
        <v>40293</v>
      </c>
      <c r="I6210">
        <v>47893</v>
      </c>
      <c r="J6210">
        <v>1</v>
      </c>
      <c r="K6210">
        <v>1</v>
      </c>
    </row>
    <row r="6211" spans="1:11">
      <c r="A6211">
        <v>90</v>
      </c>
      <c r="B6211" t="b">
        <v>0</v>
      </c>
      <c r="C6211" t="s">
        <v>41137</v>
      </c>
      <c r="D6211">
        <v>1037022454355</v>
      </c>
      <c r="E6211">
        <v>1</v>
      </c>
      <c r="F6211">
        <v>6112332255</v>
      </c>
      <c r="G6211">
        <v>49990</v>
      </c>
      <c r="H6211" t="s">
        <v>40293</v>
      </c>
      <c r="I6211">
        <v>47896</v>
      </c>
      <c r="J6211">
        <v>1</v>
      </c>
      <c r="K6211">
        <v>1</v>
      </c>
    </row>
    <row r="6212" spans="1:11">
      <c r="A6212">
        <v>90</v>
      </c>
      <c r="B6212" t="b">
        <v>0</v>
      </c>
      <c r="C6212" t="s">
        <v>40883</v>
      </c>
      <c r="D6212">
        <v>1037022454355</v>
      </c>
      <c r="E6212">
        <v>1</v>
      </c>
      <c r="F6212">
        <v>6121239425</v>
      </c>
      <c r="G6212">
        <v>49900</v>
      </c>
      <c r="H6212" t="s">
        <v>40293</v>
      </c>
      <c r="I6212">
        <v>47896</v>
      </c>
      <c r="J6212">
        <v>4</v>
      </c>
      <c r="K6212">
        <v>4</v>
      </c>
    </row>
    <row r="6213" spans="1:11">
      <c r="A6213">
        <v>90</v>
      </c>
      <c r="B6213" t="b">
        <v>0</v>
      </c>
      <c r="C6213" t="s">
        <v>42295</v>
      </c>
      <c r="D6213">
        <v>1037022454355</v>
      </c>
      <c r="E6213">
        <v>1</v>
      </c>
      <c r="F6213">
        <v>6137178888</v>
      </c>
      <c r="G6213">
        <v>49000</v>
      </c>
      <c r="H6213" t="s">
        <v>40293</v>
      </c>
      <c r="I6213">
        <v>47896</v>
      </c>
      <c r="J6213">
        <v>2</v>
      </c>
      <c r="K6213">
        <v>2</v>
      </c>
    </row>
    <row r="6214" spans="1:11">
      <c r="A6214">
        <v>90</v>
      </c>
      <c r="B6214" t="b">
        <v>0</v>
      </c>
      <c r="C6214" t="s">
        <v>42862</v>
      </c>
      <c r="D6214">
        <v>1037022454355</v>
      </c>
      <c r="E6214">
        <v>1</v>
      </c>
      <c r="F6214">
        <v>6137183716</v>
      </c>
      <c r="G6214">
        <v>45000</v>
      </c>
      <c r="H6214" t="s">
        <v>40293</v>
      </c>
      <c r="I6214">
        <v>47896</v>
      </c>
      <c r="J6214">
        <v>1</v>
      </c>
      <c r="K6214">
        <v>1</v>
      </c>
    </row>
    <row r="6215" spans="1:11">
      <c r="A6215">
        <v>90</v>
      </c>
      <c r="B6215" t="b">
        <v>0</v>
      </c>
      <c r="C6215" t="s">
        <v>43572</v>
      </c>
      <c r="D6215">
        <v>1037022454355</v>
      </c>
      <c r="E6215">
        <v>1</v>
      </c>
      <c r="F6215">
        <v>6143923872</v>
      </c>
      <c r="G6215">
        <v>44450</v>
      </c>
      <c r="H6215" t="s">
        <v>40293</v>
      </c>
      <c r="I6215">
        <v>47896</v>
      </c>
      <c r="J6215">
        <v>1</v>
      </c>
      <c r="K6215">
        <v>1</v>
      </c>
    </row>
    <row r="6216" spans="1:11">
      <c r="A6216">
        <v>90</v>
      </c>
      <c r="B6216" t="b">
        <v>0</v>
      </c>
      <c r="C6216" t="s">
        <v>45535</v>
      </c>
      <c r="D6216">
        <v>1037022454355</v>
      </c>
      <c r="E6216">
        <v>1</v>
      </c>
      <c r="F6216">
        <v>6150343898</v>
      </c>
      <c r="G6216">
        <v>10010</v>
      </c>
      <c r="H6216" t="s">
        <v>40293</v>
      </c>
      <c r="I6216">
        <v>47896</v>
      </c>
      <c r="J6216">
        <v>1</v>
      </c>
      <c r="K6216">
        <v>1</v>
      </c>
    </row>
    <row r="6217" spans="1:11">
      <c r="A6217">
        <v>90</v>
      </c>
      <c r="B6217" t="b">
        <v>0</v>
      </c>
      <c r="C6217" t="s">
        <v>40337</v>
      </c>
      <c r="D6217">
        <v>1037022454355</v>
      </c>
      <c r="E6217">
        <v>1</v>
      </c>
      <c r="F6217">
        <v>6092555411</v>
      </c>
      <c r="G6217">
        <v>1490000</v>
      </c>
      <c r="H6217" t="s">
        <v>40293</v>
      </c>
      <c r="I6217">
        <v>47898</v>
      </c>
      <c r="J6217">
        <v>11</v>
      </c>
      <c r="K6217">
        <v>15</v>
      </c>
    </row>
    <row r="6218" spans="1:11">
      <c r="A6218">
        <v>90</v>
      </c>
      <c r="B6218" t="b">
        <v>0</v>
      </c>
      <c r="C6218" t="s">
        <v>45235</v>
      </c>
      <c r="D6218">
        <v>1037022454355</v>
      </c>
      <c r="E6218">
        <v>1</v>
      </c>
      <c r="F6218">
        <v>6148144585</v>
      </c>
      <c r="G6218">
        <v>1100000</v>
      </c>
      <c r="H6218" t="s">
        <v>40293</v>
      </c>
      <c r="I6218">
        <v>47899</v>
      </c>
      <c r="J6218">
        <v>1</v>
      </c>
      <c r="K6218">
        <v>1</v>
      </c>
    </row>
    <row r="6219" spans="1:11">
      <c r="A6219">
        <v>90</v>
      </c>
      <c r="B6219" t="b">
        <v>0</v>
      </c>
      <c r="C6219" t="s">
        <v>41145</v>
      </c>
      <c r="D6219">
        <v>1037022454355</v>
      </c>
      <c r="E6219">
        <v>1</v>
      </c>
      <c r="F6219">
        <v>6125210242</v>
      </c>
      <c r="G6219">
        <v>50000</v>
      </c>
      <c r="H6219" t="s">
        <v>40293</v>
      </c>
      <c r="I6219">
        <v>47900</v>
      </c>
      <c r="J6219">
        <v>1</v>
      </c>
      <c r="K6219">
        <v>1</v>
      </c>
    </row>
    <row r="6220" spans="1:11">
      <c r="A6220">
        <v>90</v>
      </c>
      <c r="B6220" t="b">
        <v>0</v>
      </c>
      <c r="C6220" t="s">
        <v>41469</v>
      </c>
      <c r="D6220">
        <v>1037022454355</v>
      </c>
      <c r="E6220">
        <v>1</v>
      </c>
      <c r="F6220">
        <v>6106473634</v>
      </c>
      <c r="G6220">
        <v>49990</v>
      </c>
      <c r="H6220" t="s">
        <v>40293</v>
      </c>
      <c r="I6220">
        <v>47900</v>
      </c>
      <c r="J6220">
        <v>1</v>
      </c>
      <c r="K6220">
        <v>1</v>
      </c>
    </row>
    <row r="6221" spans="1:11">
      <c r="A6221">
        <v>90</v>
      </c>
      <c r="B6221" t="b">
        <v>0</v>
      </c>
      <c r="C6221" t="s">
        <v>41964</v>
      </c>
      <c r="D6221">
        <v>1037022454355</v>
      </c>
      <c r="E6221">
        <v>1</v>
      </c>
      <c r="F6221">
        <v>6105951314</v>
      </c>
      <c r="G6221">
        <v>48000</v>
      </c>
      <c r="H6221" t="s">
        <v>40293</v>
      </c>
      <c r="I6221">
        <v>47900</v>
      </c>
      <c r="J6221">
        <v>1</v>
      </c>
      <c r="K6221">
        <v>1</v>
      </c>
    </row>
    <row r="6222" spans="1:11">
      <c r="A6222">
        <v>90</v>
      </c>
      <c r="B6222" t="b">
        <v>0</v>
      </c>
      <c r="C6222" t="s">
        <v>42862</v>
      </c>
      <c r="D6222">
        <v>1037022454355</v>
      </c>
      <c r="E6222">
        <v>1</v>
      </c>
      <c r="F6222">
        <v>6137183717</v>
      </c>
      <c r="G6222">
        <v>45000</v>
      </c>
      <c r="H6222" t="s">
        <v>40293</v>
      </c>
      <c r="I6222">
        <v>47900</v>
      </c>
      <c r="J6222">
        <v>4</v>
      </c>
      <c r="K6222">
        <v>4</v>
      </c>
    </row>
    <row r="6223" spans="1:11">
      <c r="A6223">
        <v>90</v>
      </c>
      <c r="B6223" t="b">
        <v>0</v>
      </c>
      <c r="C6223" t="s">
        <v>42431</v>
      </c>
      <c r="D6223">
        <v>1037022454355</v>
      </c>
      <c r="E6223">
        <v>1</v>
      </c>
      <c r="F6223">
        <v>6137881881</v>
      </c>
      <c r="G6223">
        <v>40000</v>
      </c>
      <c r="H6223" t="s">
        <v>40293</v>
      </c>
      <c r="I6223">
        <v>47900</v>
      </c>
      <c r="J6223">
        <v>2</v>
      </c>
      <c r="K6223">
        <v>2</v>
      </c>
    </row>
    <row r="6224" spans="1:11">
      <c r="A6224">
        <v>90</v>
      </c>
      <c r="B6224" t="b">
        <v>0</v>
      </c>
      <c r="C6224" t="s">
        <v>42919</v>
      </c>
      <c r="D6224">
        <v>1037022454355</v>
      </c>
      <c r="E6224">
        <v>1</v>
      </c>
      <c r="F6224">
        <v>6139315289</v>
      </c>
      <c r="G6224">
        <v>39990</v>
      </c>
      <c r="H6224" t="s">
        <v>40293</v>
      </c>
      <c r="I6224">
        <v>47900</v>
      </c>
      <c r="J6224">
        <v>9</v>
      </c>
      <c r="K6224">
        <v>9</v>
      </c>
    </row>
    <row r="6225" spans="1:11">
      <c r="A6225">
        <v>90</v>
      </c>
      <c r="B6225" t="b">
        <v>0</v>
      </c>
      <c r="C6225" t="s">
        <v>43609</v>
      </c>
      <c r="D6225">
        <v>1037022454355</v>
      </c>
      <c r="E6225">
        <v>1</v>
      </c>
      <c r="F6225">
        <v>6141923696</v>
      </c>
      <c r="G6225">
        <v>14900000</v>
      </c>
      <c r="H6225" t="s">
        <v>40293</v>
      </c>
      <c r="I6225">
        <v>47903</v>
      </c>
      <c r="J6225">
        <v>1</v>
      </c>
      <c r="K6225">
        <v>1</v>
      </c>
    </row>
    <row r="6226" spans="1:11">
      <c r="A6226">
        <v>90</v>
      </c>
      <c r="B6226" t="b">
        <v>0</v>
      </c>
      <c r="C6226" t="s">
        <v>42902</v>
      </c>
      <c r="D6226">
        <v>1037022454355</v>
      </c>
      <c r="E6226">
        <v>1</v>
      </c>
      <c r="F6226">
        <v>6142143250</v>
      </c>
      <c r="G6226">
        <v>11000000</v>
      </c>
      <c r="H6226" t="s">
        <v>40293</v>
      </c>
      <c r="I6226">
        <v>47903</v>
      </c>
      <c r="J6226">
        <v>15</v>
      </c>
      <c r="K6226">
        <v>15</v>
      </c>
    </row>
    <row r="6227" spans="1:11">
      <c r="A6227">
        <v>90</v>
      </c>
      <c r="B6227" t="b">
        <v>0</v>
      </c>
      <c r="C6227" t="s">
        <v>42431</v>
      </c>
      <c r="D6227">
        <v>1037022454355</v>
      </c>
      <c r="E6227">
        <v>1</v>
      </c>
      <c r="F6227">
        <v>6137881880</v>
      </c>
      <c r="G6227">
        <v>20000</v>
      </c>
      <c r="H6227" t="s">
        <v>40293</v>
      </c>
      <c r="I6227">
        <v>47904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43572</v>
      </c>
      <c r="D6228">
        <v>1037022454355</v>
      </c>
      <c r="E6228">
        <v>1</v>
      </c>
      <c r="F6228">
        <v>6143923866</v>
      </c>
      <c r="G6228">
        <v>18890</v>
      </c>
      <c r="H6228" t="s">
        <v>40293</v>
      </c>
      <c r="I6228">
        <v>47904</v>
      </c>
      <c r="J6228">
        <v>5</v>
      </c>
      <c r="K6228">
        <v>5</v>
      </c>
    </row>
    <row r="6229" spans="1:11">
      <c r="A6229">
        <v>30</v>
      </c>
      <c r="B6229" t="b">
        <v>0</v>
      </c>
      <c r="C6229" t="s">
        <v>44164</v>
      </c>
      <c r="D6229">
        <v>1037022454355</v>
      </c>
      <c r="E6229">
        <v>1</v>
      </c>
      <c r="F6229">
        <v>6157534923</v>
      </c>
      <c r="G6229">
        <v>8201000</v>
      </c>
      <c r="H6229" t="s">
        <v>40293</v>
      </c>
      <c r="I6229">
        <v>47906</v>
      </c>
      <c r="J6229">
        <v>1</v>
      </c>
      <c r="K6229">
        <v>1</v>
      </c>
    </row>
    <row r="6230" spans="1:11">
      <c r="A6230">
        <v>90</v>
      </c>
      <c r="B6230" t="b">
        <v>0</v>
      </c>
      <c r="C6230" t="s">
        <v>40847</v>
      </c>
      <c r="D6230">
        <v>1037022454355</v>
      </c>
      <c r="E6230">
        <v>1</v>
      </c>
      <c r="F6230">
        <v>6114587073</v>
      </c>
      <c r="G6230">
        <v>1201000</v>
      </c>
      <c r="H6230" t="s">
        <v>40293</v>
      </c>
      <c r="I6230">
        <v>47909</v>
      </c>
      <c r="J6230">
        <v>10</v>
      </c>
      <c r="K6230">
        <v>10</v>
      </c>
    </row>
    <row r="6231" spans="1:11">
      <c r="A6231">
        <v>90</v>
      </c>
      <c r="B6231" t="b">
        <v>0</v>
      </c>
      <c r="C6231" t="s">
        <v>40942</v>
      </c>
      <c r="D6231">
        <v>1037022454355</v>
      </c>
      <c r="E6231">
        <v>1</v>
      </c>
      <c r="F6231">
        <v>6105021026</v>
      </c>
      <c r="G6231">
        <v>1201000</v>
      </c>
      <c r="H6231" t="s">
        <v>40293</v>
      </c>
      <c r="I6231">
        <v>47909</v>
      </c>
      <c r="J6231">
        <v>6</v>
      </c>
      <c r="K6231">
        <v>6</v>
      </c>
    </row>
    <row r="6232" spans="1:11">
      <c r="A6232">
        <v>90</v>
      </c>
      <c r="B6232" t="b">
        <v>0</v>
      </c>
      <c r="C6232" t="s">
        <v>42170</v>
      </c>
      <c r="D6232">
        <v>1037022454355</v>
      </c>
      <c r="E6232">
        <v>1</v>
      </c>
      <c r="F6232">
        <v>6129931438</v>
      </c>
      <c r="G6232">
        <v>40000</v>
      </c>
      <c r="H6232" t="s">
        <v>40293</v>
      </c>
      <c r="I6232">
        <v>47909</v>
      </c>
      <c r="J6232">
        <v>128</v>
      </c>
      <c r="K6232">
        <v>128</v>
      </c>
    </row>
    <row r="6233" spans="1:11">
      <c r="A6233">
        <v>90</v>
      </c>
      <c r="B6233" t="b">
        <v>0</v>
      </c>
      <c r="C6233" t="s">
        <v>43844</v>
      </c>
      <c r="D6233">
        <v>1037022454355</v>
      </c>
      <c r="E6233">
        <v>1</v>
      </c>
      <c r="F6233">
        <v>6145600150</v>
      </c>
      <c r="G6233">
        <v>39000</v>
      </c>
      <c r="H6233" t="s">
        <v>40293</v>
      </c>
      <c r="I6233">
        <v>47909</v>
      </c>
      <c r="J6233">
        <v>1</v>
      </c>
      <c r="K6233">
        <v>1</v>
      </c>
    </row>
    <row r="6234" spans="1:11">
      <c r="A6234">
        <v>90</v>
      </c>
      <c r="B6234" t="b">
        <v>0</v>
      </c>
      <c r="C6234" t="s">
        <v>46439</v>
      </c>
      <c r="D6234">
        <v>1037022454355</v>
      </c>
      <c r="E6234">
        <v>1</v>
      </c>
      <c r="F6234">
        <v>6147275438</v>
      </c>
      <c r="G6234">
        <v>38000</v>
      </c>
      <c r="H6234" t="s">
        <v>40293</v>
      </c>
      <c r="I6234">
        <v>47909</v>
      </c>
      <c r="J6234">
        <v>1</v>
      </c>
      <c r="K6234">
        <v>1</v>
      </c>
    </row>
    <row r="6235" spans="1:11">
      <c r="A6235">
        <v>90</v>
      </c>
      <c r="B6235" t="b">
        <v>0</v>
      </c>
      <c r="C6235" t="s">
        <v>43886</v>
      </c>
      <c r="D6235">
        <v>1037022454355</v>
      </c>
      <c r="E6235">
        <v>1</v>
      </c>
      <c r="F6235">
        <v>6143604087</v>
      </c>
      <c r="G6235">
        <v>6200000</v>
      </c>
      <c r="H6235" t="s">
        <v>40293</v>
      </c>
      <c r="I6235">
        <v>47911</v>
      </c>
      <c r="J6235">
        <v>1</v>
      </c>
      <c r="K6235">
        <v>6</v>
      </c>
    </row>
    <row r="6236" spans="1:11">
      <c r="A6236">
        <v>30</v>
      </c>
      <c r="B6236" t="b">
        <v>0</v>
      </c>
      <c r="C6236" t="s">
        <v>43922</v>
      </c>
      <c r="D6236">
        <v>1037022454355</v>
      </c>
      <c r="E6236">
        <v>1</v>
      </c>
      <c r="F6236">
        <v>6144653519</v>
      </c>
      <c r="G6236">
        <v>6199000</v>
      </c>
      <c r="H6236" t="s">
        <v>40293</v>
      </c>
      <c r="I6236">
        <v>47911</v>
      </c>
      <c r="J6236">
        <v>4</v>
      </c>
      <c r="K6236">
        <v>4</v>
      </c>
    </row>
    <row r="6237" spans="1:11">
      <c r="A6237">
        <v>90</v>
      </c>
      <c r="B6237" t="b">
        <v>0</v>
      </c>
      <c r="C6237" t="s">
        <v>43199</v>
      </c>
      <c r="D6237">
        <v>1037022454355</v>
      </c>
      <c r="E6237">
        <v>1</v>
      </c>
      <c r="F6237">
        <v>6145090554</v>
      </c>
      <c r="G6237">
        <v>6150000</v>
      </c>
      <c r="H6237" t="s">
        <v>40293</v>
      </c>
      <c r="I6237">
        <v>47911</v>
      </c>
      <c r="J6237">
        <v>49</v>
      </c>
      <c r="K6237">
        <v>49</v>
      </c>
    </row>
    <row r="6238" spans="1:11">
      <c r="A6238">
        <v>90</v>
      </c>
      <c r="B6238" t="b">
        <v>0</v>
      </c>
      <c r="C6238" t="s">
        <v>45217</v>
      </c>
      <c r="D6238">
        <v>1037022454355</v>
      </c>
      <c r="E6238">
        <v>1</v>
      </c>
      <c r="F6238">
        <v>6149684534</v>
      </c>
      <c r="G6238">
        <v>6146000</v>
      </c>
      <c r="H6238" t="s">
        <v>40293</v>
      </c>
      <c r="I6238">
        <v>47911</v>
      </c>
      <c r="J6238">
        <v>12</v>
      </c>
      <c r="K6238">
        <v>12</v>
      </c>
    </row>
    <row r="6239" spans="1:11">
      <c r="A6239">
        <v>30</v>
      </c>
      <c r="B6239" t="b">
        <v>0</v>
      </c>
      <c r="C6239" t="s">
        <v>45228</v>
      </c>
      <c r="D6239">
        <v>1037022454355</v>
      </c>
      <c r="E6239">
        <v>1</v>
      </c>
      <c r="F6239">
        <v>6151288045</v>
      </c>
      <c r="G6239">
        <v>5900000</v>
      </c>
      <c r="H6239" t="s">
        <v>40293</v>
      </c>
      <c r="I6239">
        <v>47911</v>
      </c>
      <c r="J6239">
        <v>2</v>
      </c>
      <c r="K6239">
        <v>5</v>
      </c>
    </row>
    <row r="6240" spans="1:11">
      <c r="A6240">
        <v>90</v>
      </c>
      <c r="B6240" t="b">
        <v>0</v>
      </c>
      <c r="C6240" t="s">
        <v>45233</v>
      </c>
      <c r="D6240">
        <v>1037022454355</v>
      </c>
      <c r="E6240">
        <v>1</v>
      </c>
      <c r="F6240">
        <v>6155353511</v>
      </c>
      <c r="G6240">
        <v>5849000</v>
      </c>
      <c r="H6240" t="s">
        <v>40293</v>
      </c>
      <c r="I6240">
        <v>47911</v>
      </c>
      <c r="J6240">
        <v>6</v>
      </c>
      <c r="K6240">
        <v>6</v>
      </c>
    </row>
    <row r="6241" spans="1:11">
      <c r="A6241">
        <v>90</v>
      </c>
      <c r="B6241" t="b">
        <v>0</v>
      </c>
      <c r="C6241" t="s">
        <v>44114</v>
      </c>
      <c r="D6241">
        <v>1037022454355</v>
      </c>
      <c r="E6241">
        <v>1</v>
      </c>
      <c r="F6241">
        <v>6144426964</v>
      </c>
      <c r="G6241">
        <v>5848000</v>
      </c>
      <c r="H6241" t="s">
        <v>40293</v>
      </c>
      <c r="I6241">
        <v>47911</v>
      </c>
      <c r="J6241">
        <v>24</v>
      </c>
      <c r="K6241">
        <v>24</v>
      </c>
    </row>
    <row r="6242" spans="1:11">
      <c r="A6242">
        <v>90</v>
      </c>
      <c r="B6242" t="b">
        <v>0</v>
      </c>
      <c r="C6242" t="s">
        <v>45981</v>
      </c>
      <c r="D6242">
        <v>1037022454355</v>
      </c>
      <c r="E6242">
        <v>1</v>
      </c>
      <c r="F6242">
        <v>6141174066</v>
      </c>
      <c r="G6242">
        <v>5848000</v>
      </c>
      <c r="H6242" t="s">
        <v>40293</v>
      </c>
      <c r="I6242">
        <v>47911</v>
      </c>
      <c r="J6242">
        <v>3</v>
      </c>
      <c r="K6242">
        <v>24</v>
      </c>
    </row>
    <row r="6243" spans="1:11">
      <c r="A6243">
        <v>90</v>
      </c>
      <c r="B6243" t="b">
        <v>0</v>
      </c>
      <c r="C6243" t="s">
        <v>42980</v>
      </c>
      <c r="D6243">
        <v>1037022454355</v>
      </c>
      <c r="E6243">
        <v>1</v>
      </c>
      <c r="F6243">
        <v>6147214496</v>
      </c>
      <c r="G6243">
        <v>31500000</v>
      </c>
      <c r="H6243" t="s">
        <v>40293</v>
      </c>
      <c r="I6243">
        <v>47914</v>
      </c>
      <c r="J6243">
        <v>3</v>
      </c>
      <c r="K6243">
        <v>3</v>
      </c>
    </row>
    <row r="6244" spans="1:11">
      <c r="A6244">
        <v>90</v>
      </c>
      <c r="B6244" t="b">
        <v>0</v>
      </c>
      <c r="C6244" t="s">
        <v>44772</v>
      </c>
      <c r="D6244">
        <v>1037022454355</v>
      </c>
      <c r="E6244">
        <v>1</v>
      </c>
      <c r="F6244">
        <v>6142535295</v>
      </c>
      <c r="G6244">
        <v>31500000</v>
      </c>
      <c r="H6244" t="s">
        <v>40293</v>
      </c>
      <c r="I6244">
        <v>47914</v>
      </c>
      <c r="J6244">
        <v>10</v>
      </c>
      <c r="K6244">
        <v>12</v>
      </c>
    </row>
    <row r="6245" spans="1:11">
      <c r="A6245">
        <v>90</v>
      </c>
      <c r="B6245" t="b">
        <v>0</v>
      </c>
      <c r="C6245" t="s">
        <v>43304</v>
      </c>
      <c r="D6245">
        <v>1037022454355</v>
      </c>
      <c r="E6245">
        <v>1</v>
      </c>
      <c r="F6245">
        <v>6144372408</v>
      </c>
      <c r="G6245">
        <v>25000000</v>
      </c>
      <c r="H6245" t="s">
        <v>40293</v>
      </c>
      <c r="I6245">
        <v>47914</v>
      </c>
      <c r="J6245">
        <v>1</v>
      </c>
      <c r="K6245">
        <v>1</v>
      </c>
    </row>
    <row r="6246" spans="1:11">
      <c r="A6246">
        <v>90</v>
      </c>
      <c r="B6246" t="b">
        <v>0</v>
      </c>
      <c r="C6246" t="s">
        <v>46452</v>
      </c>
      <c r="D6246">
        <v>1037022454355</v>
      </c>
      <c r="E6246">
        <v>1</v>
      </c>
      <c r="F6246">
        <v>6147668749</v>
      </c>
      <c r="G6246">
        <v>24920000</v>
      </c>
      <c r="H6246" t="s">
        <v>40293</v>
      </c>
      <c r="I6246">
        <v>47914</v>
      </c>
      <c r="J6246">
        <v>1</v>
      </c>
      <c r="K6246">
        <v>1</v>
      </c>
    </row>
    <row r="6247" spans="1:11">
      <c r="A6247">
        <v>30</v>
      </c>
      <c r="B6247" t="b">
        <v>0</v>
      </c>
      <c r="C6247" t="s">
        <v>46479</v>
      </c>
      <c r="D6247">
        <v>1037022454355</v>
      </c>
      <c r="E6247">
        <v>1</v>
      </c>
      <c r="F6247">
        <v>6152879224</v>
      </c>
      <c r="G6247">
        <v>24920000</v>
      </c>
      <c r="H6247" t="s">
        <v>40293</v>
      </c>
      <c r="I6247">
        <v>47914</v>
      </c>
      <c r="J6247">
        <v>1</v>
      </c>
      <c r="K6247">
        <v>1</v>
      </c>
    </row>
    <row r="6248" spans="1:11">
      <c r="A6248">
        <v>90</v>
      </c>
      <c r="B6248" t="b">
        <v>0</v>
      </c>
      <c r="C6248" t="s">
        <v>44121</v>
      </c>
      <c r="D6248">
        <v>1037022454355</v>
      </c>
      <c r="E6248">
        <v>1</v>
      </c>
      <c r="F6248">
        <v>6154204965</v>
      </c>
      <c r="G6248">
        <v>24000000</v>
      </c>
      <c r="H6248" t="s">
        <v>40293</v>
      </c>
      <c r="I6248">
        <v>47914</v>
      </c>
      <c r="J6248">
        <v>7</v>
      </c>
      <c r="K6248">
        <v>13</v>
      </c>
    </row>
    <row r="6249" spans="1:11">
      <c r="A6249">
        <v>90</v>
      </c>
      <c r="B6249" t="b">
        <v>0</v>
      </c>
      <c r="C6249" t="s">
        <v>45089</v>
      </c>
      <c r="D6249">
        <v>1037022454355</v>
      </c>
      <c r="E6249">
        <v>1</v>
      </c>
      <c r="F6249">
        <v>6156695054</v>
      </c>
      <c r="G6249">
        <v>23990000</v>
      </c>
      <c r="H6249" t="s">
        <v>40293</v>
      </c>
      <c r="I6249">
        <v>47914</v>
      </c>
      <c r="J6249">
        <v>2</v>
      </c>
      <c r="K6249">
        <v>2</v>
      </c>
    </row>
    <row r="6250" spans="1:11">
      <c r="A6250">
        <v>90</v>
      </c>
      <c r="B6250" t="b">
        <v>0</v>
      </c>
      <c r="C6250" t="s">
        <v>40951</v>
      </c>
      <c r="D6250">
        <v>1037022454355</v>
      </c>
      <c r="E6250">
        <v>1</v>
      </c>
      <c r="F6250">
        <v>6067731221</v>
      </c>
      <c r="G6250">
        <v>37000000</v>
      </c>
      <c r="H6250" t="s">
        <v>40293</v>
      </c>
      <c r="I6250">
        <v>47918</v>
      </c>
      <c r="J6250">
        <v>1</v>
      </c>
      <c r="K6250">
        <v>1</v>
      </c>
    </row>
    <row r="6251" spans="1:11">
      <c r="A6251">
        <v>90</v>
      </c>
      <c r="B6251" t="b">
        <v>0</v>
      </c>
      <c r="C6251" t="s">
        <v>46268</v>
      </c>
      <c r="D6251">
        <v>1037022454355</v>
      </c>
      <c r="E6251">
        <v>1</v>
      </c>
      <c r="F6251">
        <v>6148362976</v>
      </c>
      <c r="G6251">
        <v>35990000</v>
      </c>
      <c r="H6251" t="s">
        <v>40293</v>
      </c>
      <c r="I6251">
        <v>47918</v>
      </c>
      <c r="J6251">
        <v>2</v>
      </c>
      <c r="K6251">
        <v>2</v>
      </c>
    </row>
    <row r="6252" spans="1:11">
      <c r="A6252">
        <v>90</v>
      </c>
      <c r="B6252" t="b">
        <v>0</v>
      </c>
      <c r="C6252" t="s">
        <v>44622</v>
      </c>
      <c r="D6252">
        <v>1037022454355</v>
      </c>
      <c r="E6252">
        <v>1</v>
      </c>
      <c r="F6252">
        <v>6154526668</v>
      </c>
      <c r="G6252">
        <v>35980000</v>
      </c>
      <c r="H6252" t="s">
        <v>40293</v>
      </c>
      <c r="I6252">
        <v>47918</v>
      </c>
      <c r="J6252">
        <v>2</v>
      </c>
      <c r="K6252">
        <v>2</v>
      </c>
    </row>
    <row r="6253" spans="1:11">
      <c r="A6253">
        <v>90</v>
      </c>
      <c r="B6253" t="b">
        <v>0</v>
      </c>
      <c r="C6253" t="s">
        <v>45447</v>
      </c>
      <c r="D6253">
        <v>1037022454355</v>
      </c>
      <c r="E6253">
        <v>1</v>
      </c>
      <c r="F6253">
        <v>6157191338</v>
      </c>
      <c r="G6253">
        <v>35970000</v>
      </c>
      <c r="H6253" t="s">
        <v>40293</v>
      </c>
      <c r="I6253">
        <v>47918</v>
      </c>
      <c r="J6253">
        <v>1</v>
      </c>
      <c r="K6253">
        <v>1</v>
      </c>
    </row>
    <row r="6254" spans="1:11">
      <c r="A6254">
        <v>90</v>
      </c>
      <c r="B6254" t="b">
        <v>0</v>
      </c>
      <c r="C6254" t="s">
        <v>43546</v>
      </c>
      <c r="D6254">
        <v>1037022454355</v>
      </c>
      <c r="E6254">
        <v>1</v>
      </c>
      <c r="F6254">
        <v>6139234910</v>
      </c>
      <c r="G6254">
        <v>150000000</v>
      </c>
      <c r="H6254" t="s">
        <v>40293</v>
      </c>
      <c r="I6254">
        <v>47919</v>
      </c>
      <c r="J6254">
        <v>1</v>
      </c>
      <c r="K6254">
        <v>1</v>
      </c>
    </row>
    <row r="6255" spans="1:11">
      <c r="A6255">
        <v>30</v>
      </c>
      <c r="B6255" t="b">
        <v>0</v>
      </c>
      <c r="C6255" t="s">
        <v>46392</v>
      </c>
      <c r="D6255">
        <v>1037022454355</v>
      </c>
      <c r="E6255">
        <v>1</v>
      </c>
      <c r="F6255">
        <v>6152550464</v>
      </c>
      <c r="G6255">
        <v>120000000</v>
      </c>
      <c r="H6255" t="s">
        <v>40293</v>
      </c>
      <c r="I6255">
        <v>47919</v>
      </c>
      <c r="J6255">
        <v>1</v>
      </c>
      <c r="K6255">
        <v>1</v>
      </c>
    </row>
    <row r="6256" spans="1:11">
      <c r="A6256">
        <v>90</v>
      </c>
      <c r="B6256" t="b">
        <v>0</v>
      </c>
      <c r="C6256" t="s">
        <v>42757</v>
      </c>
      <c r="D6256">
        <v>1037022454355</v>
      </c>
      <c r="E6256">
        <v>1</v>
      </c>
      <c r="F6256">
        <v>6134655011</v>
      </c>
      <c r="G6256">
        <v>64970000</v>
      </c>
      <c r="H6256" t="s">
        <v>40293</v>
      </c>
      <c r="I6256">
        <v>47922</v>
      </c>
      <c r="J6256">
        <v>3</v>
      </c>
      <c r="K6256">
        <v>3</v>
      </c>
    </row>
    <row r="6257" spans="1:11">
      <c r="A6257">
        <v>90</v>
      </c>
      <c r="B6257" t="b">
        <v>0</v>
      </c>
      <c r="C6257" t="s">
        <v>42538</v>
      </c>
      <c r="D6257">
        <v>1037022454355</v>
      </c>
      <c r="E6257">
        <v>1</v>
      </c>
      <c r="F6257">
        <v>6137133929</v>
      </c>
      <c r="G6257">
        <v>64960000</v>
      </c>
      <c r="H6257" t="s">
        <v>40293</v>
      </c>
      <c r="I6257">
        <v>47922</v>
      </c>
      <c r="J6257">
        <v>19</v>
      </c>
      <c r="K6257">
        <v>19</v>
      </c>
    </row>
    <row r="6258" spans="1:11">
      <c r="A6258">
        <v>90</v>
      </c>
      <c r="B6258" t="b">
        <v>0</v>
      </c>
      <c r="C6258" t="s">
        <v>41013</v>
      </c>
      <c r="D6258">
        <v>1037022454355</v>
      </c>
      <c r="E6258">
        <v>1</v>
      </c>
      <c r="F6258">
        <v>6069665802</v>
      </c>
      <c r="G6258">
        <v>99660000</v>
      </c>
      <c r="H6258" t="s">
        <v>40293</v>
      </c>
      <c r="I6258">
        <v>47923</v>
      </c>
      <c r="J6258">
        <v>8</v>
      </c>
      <c r="K6258">
        <v>10</v>
      </c>
    </row>
    <row r="6259" spans="1:11">
      <c r="A6259">
        <v>90</v>
      </c>
      <c r="B6259" t="b">
        <v>0</v>
      </c>
      <c r="C6259" t="s">
        <v>41854</v>
      </c>
      <c r="D6259">
        <v>1037022454355</v>
      </c>
      <c r="E6259">
        <v>1</v>
      </c>
      <c r="F6259">
        <v>6127628409</v>
      </c>
      <c r="G6259">
        <v>1299</v>
      </c>
      <c r="H6259" t="s">
        <v>40293</v>
      </c>
      <c r="I6259">
        <v>47924</v>
      </c>
      <c r="J6259">
        <v>2900</v>
      </c>
      <c r="K6259">
        <v>10900</v>
      </c>
    </row>
    <row r="6260" spans="1:11">
      <c r="A6260">
        <v>90</v>
      </c>
      <c r="B6260" t="b">
        <v>0</v>
      </c>
      <c r="C6260" t="s">
        <v>42111</v>
      </c>
      <c r="D6260">
        <v>1037022454355</v>
      </c>
      <c r="E6260">
        <v>1</v>
      </c>
      <c r="F6260">
        <v>6122932418</v>
      </c>
      <c r="G6260">
        <v>1298</v>
      </c>
      <c r="H6260" t="s">
        <v>40293</v>
      </c>
      <c r="I6260">
        <v>47924</v>
      </c>
      <c r="J6260">
        <v>44800</v>
      </c>
      <c r="K6260">
        <v>75000</v>
      </c>
    </row>
    <row r="6261" spans="1:11">
      <c r="A6261">
        <v>90</v>
      </c>
      <c r="B6261" t="b">
        <v>0</v>
      </c>
      <c r="C6261" t="s">
        <v>42313</v>
      </c>
      <c r="D6261">
        <v>1037022454355</v>
      </c>
      <c r="E6261">
        <v>1</v>
      </c>
      <c r="F6261">
        <v>6135704490</v>
      </c>
      <c r="G6261">
        <v>1295</v>
      </c>
      <c r="H6261" t="s">
        <v>40293</v>
      </c>
      <c r="I6261">
        <v>47924</v>
      </c>
      <c r="J6261">
        <v>3000</v>
      </c>
      <c r="K6261">
        <v>3000</v>
      </c>
    </row>
    <row r="6262" spans="1:11">
      <c r="A6262">
        <v>90</v>
      </c>
      <c r="B6262" t="b">
        <v>0</v>
      </c>
      <c r="C6262" t="s">
        <v>42404</v>
      </c>
      <c r="D6262">
        <v>1037022454355</v>
      </c>
      <c r="E6262">
        <v>1</v>
      </c>
      <c r="F6262">
        <v>6136929767</v>
      </c>
      <c r="G6262">
        <v>1247</v>
      </c>
      <c r="H6262" t="s">
        <v>40293</v>
      </c>
      <c r="I6262">
        <v>47924</v>
      </c>
      <c r="J6262">
        <v>3000</v>
      </c>
      <c r="K6262">
        <v>3000</v>
      </c>
    </row>
    <row r="6263" spans="1:11">
      <c r="A6263">
        <v>90</v>
      </c>
      <c r="B6263" t="b">
        <v>0</v>
      </c>
      <c r="C6263" t="s">
        <v>44199</v>
      </c>
      <c r="D6263">
        <v>1037022454355</v>
      </c>
      <c r="E6263">
        <v>1</v>
      </c>
      <c r="F6263">
        <v>6148360337</v>
      </c>
      <c r="G6263">
        <v>1200</v>
      </c>
      <c r="H6263" t="s">
        <v>40293</v>
      </c>
      <c r="I6263">
        <v>47924</v>
      </c>
      <c r="J6263">
        <v>1000</v>
      </c>
      <c r="K6263">
        <v>1000</v>
      </c>
    </row>
    <row r="6264" spans="1:11">
      <c r="A6264">
        <v>90</v>
      </c>
      <c r="B6264" t="b">
        <v>0</v>
      </c>
      <c r="C6264" t="s">
        <v>44235</v>
      </c>
      <c r="D6264">
        <v>1037022454355</v>
      </c>
      <c r="E6264">
        <v>1</v>
      </c>
      <c r="F6264">
        <v>6149737069</v>
      </c>
      <c r="G6264">
        <v>1195</v>
      </c>
      <c r="H6264" t="s">
        <v>40293</v>
      </c>
      <c r="I6264">
        <v>47924</v>
      </c>
      <c r="J6264">
        <v>5551</v>
      </c>
      <c r="K6264">
        <v>14250</v>
      </c>
    </row>
    <row r="6265" spans="1:11">
      <c r="A6265">
        <v>90</v>
      </c>
      <c r="B6265" t="b">
        <v>0</v>
      </c>
      <c r="C6265" t="s">
        <v>45709</v>
      </c>
      <c r="D6265">
        <v>1037022454355</v>
      </c>
      <c r="E6265">
        <v>1</v>
      </c>
      <c r="F6265">
        <v>6157391251</v>
      </c>
      <c r="G6265">
        <v>1194</v>
      </c>
      <c r="H6265" t="s">
        <v>40293</v>
      </c>
      <c r="I6265">
        <v>47924</v>
      </c>
      <c r="J6265">
        <v>2000</v>
      </c>
      <c r="K6265">
        <v>2000</v>
      </c>
    </row>
    <row r="6266" spans="1:11">
      <c r="A6266">
        <v>90</v>
      </c>
      <c r="B6266" t="b">
        <v>0</v>
      </c>
      <c r="C6266" t="s">
        <v>40517</v>
      </c>
      <c r="D6266">
        <v>1037022454355</v>
      </c>
      <c r="E6266">
        <v>1</v>
      </c>
      <c r="F6266">
        <v>6086988972</v>
      </c>
      <c r="G6266">
        <v>455.9</v>
      </c>
      <c r="H6266" t="s">
        <v>40293</v>
      </c>
      <c r="I6266">
        <v>47925</v>
      </c>
      <c r="J6266">
        <v>272393</v>
      </c>
      <c r="K6266">
        <v>520976</v>
      </c>
    </row>
    <row r="6267" spans="1:11">
      <c r="A6267">
        <v>90</v>
      </c>
      <c r="B6267" t="b">
        <v>0</v>
      </c>
      <c r="C6267" t="s">
        <v>45703</v>
      </c>
      <c r="D6267">
        <v>1037022454355</v>
      </c>
      <c r="E6267">
        <v>1</v>
      </c>
      <c r="F6267">
        <v>6157391178</v>
      </c>
      <c r="G6267">
        <v>455.3</v>
      </c>
      <c r="H6267" t="s">
        <v>40293</v>
      </c>
      <c r="I6267">
        <v>47925</v>
      </c>
      <c r="J6267">
        <v>1952</v>
      </c>
      <c r="K6267">
        <v>1952</v>
      </c>
    </row>
    <row r="6268" spans="1:11">
      <c r="A6268">
        <v>90</v>
      </c>
      <c r="B6268" t="b">
        <v>0</v>
      </c>
      <c r="C6268" t="s">
        <v>40408</v>
      </c>
      <c r="D6268">
        <v>1037022454355</v>
      </c>
      <c r="E6268">
        <v>1</v>
      </c>
      <c r="F6268">
        <v>6101928687</v>
      </c>
      <c r="G6268">
        <v>1495</v>
      </c>
      <c r="H6268" t="s">
        <v>40293</v>
      </c>
      <c r="I6268">
        <v>47926</v>
      </c>
      <c r="J6268">
        <v>2500</v>
      </c>
      <c r="K6268">
        <v>2500</v>
      </c>
    </row>
    <row r="6269" spans="1:11">
      <c r="A6269">
        <v>90</v>
      </c>
      <c r="B6269" t="b">
        <v>0</v>
      </c>
      <c r="C6269" t="s">
        <v>40467</v>
      </c>
      <c r="D6269">
        <v>1037022454355</v>
      </c>
      <c r="E6269">
        <v>1</v>
      </c>
      <c r="F6269">
        <v>6105468891</v>
      </c>
      <c r="G6269">
        <v>1494</v>
      </c>
      <c r="H6269" t="s">
        <v>40293</v>
      </c>
      <c r="I6269">
        <v>47926</v>
      </c>
      <c r="J6269">
        <v>22374</v>
      </c>
      <c r="K6269">
        <v>25000</v>
      </c>
    </row>
    <row r="6270" spans="1:11">
      <c r="A6270">
        <v>90</v>
      </c>
      <c r="B6270" t="b">
        <v>0</v>
      </c>
      <c r="C6270" t="s">
        <v>40525</v>
      </c>
      <c r="D6270">
        <v>1037022454355</v>
      </c>
      <c r="E6270">
        <v>1</v>
      </c>
      <c r="F6270">
        <v>6115235261</v>
      </c>
      <c r="G6270">
        <v>1480</v>
      </c>
      <c r="H6270" t="s">
        <v>40293</v>
      </c>
      <c r="I6270">
        <v>47926</v>
      </c>
      <c r="J6270">
        <v>5500</v>
      </c>
      <c r="K6270">
        <v>10000</v>
      </c>
    </row>
    <row r="6271" spans="1:11">
      <c r="A6271">
        <v>90</v>
      </c>
      <c r="B6271" t="b">
        <v>0</v>
      </c>
      <c r="C6271" t="s">
        <v>43041</v>
      </c>
      <c r="D6271">
        <v>1037022454355</v>
      </c>
      <c r="E6271">
        <v>1</v>
      </c>
      <c r="F6271">
        <v>6086988740</v>
      </c>
      <c r="G6271">
        <v>1336</v>
      </c>
      <c r="H6271" t="s">
        <v>40293</v>
      </c>
      <c r="I6271">
        <v>47926</v>
      </c>
      <c r="J6271">
        <v>143268</v>
      </c>
      <c r="K6271">
        <v>554983</v>
      </c>
    </row>
    <row r="6272" spans="1:11">
      <c r="A6272">
        <v>90</v>
      </c>
      <c r="B6272" t="b">
        <v>0</v>
      </c>
      <c r="C6272" t="s">
        <v>45106</v>
      </c>
      <c r="D6272">
        <v>1037022454355</v>
      </c>
      <c r="E6272">
        <v>1</v>
      </c>
      <c r="F6272">
        <v>6142408398</v>
      </c>
      <c r="G6272">
        <v>1335</v>
      </c>
      <c r="H6272" t="s">
        <v>40293</v>
      </c>
      <c r="I6272">
        <v>47926</v>
      </c>
      <c r="J6272">
        <v>6753</v>
      </c>
      <c r="K6272">
        <v>10000</v>
      </c>
    </row>
    <row r="6273" spans="1:11">
      <c r="A6273">
        <v>90</v>
      </c>
      <c r="B6273" t="b">
        <v>0</v>
      </c>
      <c r="C6273" t="s">
        <v>44779</v>
      </c>
      <c r="D6273">
        <v>1037022454355</v>
      </c>
      <c r="E6273">
        <v>1</v>
      </c>
      <c r="F6273">
        <v>6143485610</v>
      </c>
      <c r="G6273">
        <v>1298</v>
      </c>
      <c r="H6273" t="s">
        <v>40293</v>
      </c>
      <c r="I6273">
        <v>47926</v>
      </c>
      <c r="J6273">
        <v>2597</v>
      </c>
      <c r="K6273">
        <v>5597</v>
      </c>
    </row>
    <row r="6274" spans="1:11">
      <c r="A6274">
        <v>90</v>
      </c>
      <c r="B6274" t="b">
        <v>0</v>
      </c>
      <c r="C6274" t="s">
        <v>44907</v>
      </c>
      <c r="D6274">
        <v>1037022454355</v>
      </c>
      <c r="E6274">
        <v>1</v>
      </c>
      <c r="F6274">
        <v>6149811598</v>
      </c>
      <c r="G6274">
        <v>1090</v>
      </c>
      <c r="H6274" t="s">
        <v>40293</v>
      </c>
      <c r="I6274">
        <v>47926</v>
      </c>
      <c r="J6274">
        <v>10000</v>
      </c>
      <c r="K6274">
        <v>10000</v>
      </c>
    </row>
    <row r="6275" spans="1:11">
      <c r="A6275">
        <v>90</v>
      </c>
      <c r="B6275" t="b">
        <v>0</v>
      </c>
      <c r="C6275" t="s">
        <v>46224</v>
      </c>
      <c r="D6275">
        <v>1037022454355</v>
      </c>
      <c r="E6275">
        <v>1</v>
      </c>
      <c r="F6275">
        <v>6149631724</v>
      </c>
      <c r="G6275">
        <v>977.3</v>
      </c>
      <c r="H6275" t="s">
        <v>40293</v>
      </c>
      <c r="I6275">
        <v>47926</v>
      </c>
      <c r="J6275">
        <v>4105</v>
      </c>
      <c r="K6275">
        <v>5105</v>
      </c>
    </row>
    <row r="6276" spans="1:11">
      <c r="A6276">
        <v>90</v>
      </c>
      <c r="B6276" t="b">
        <v>0</v>
      </c>
      <c r="C6276" t="s">
        <v>45670</v>
      </c>
      <c r="D6276">
        <v>1037022454355</v>
      </c>
      <c r="E6276">
        <v>1</v>
      </c>
      <c r="F6276">
        <v>6156597405</v>
      </c>
      <c r="G6276">
        <v>700</v>
      </c>
      <c r="H6276" t="s">
        <v>40293</v>
      </c>
      <c r="I6276">
        <v>47926</v>
      </c>
      <c r="J6276">
        <v>2159</v>
      </c>
      <c r="K6276">
        <v>2159</v>
      </c>
    </row>
    <row r="6277" spans="1:11">
      <c r="A6277">
        <v>90</v>
      </c>
      <c r="B6277" t="b">
        <v>0</v>
      </c>
      <c r="C6277" t="s">
        <v>45954</v>
      </c>
      <c r="D6277">
        <v>1037022454355</v>
      </c>
      <c r="E6277">
        <v>1</v>
      </c>
      <c r="F6277">
        <v>6152867839</v>
      </c>
      <c r="G6277">
        <v>696.9</v>
      </c>
      <c r="H6277" t="s">
        <v>40293</v>
      </c>
      <c r="I6277">
        <v>47926</v>
      </c>
      <c r="J6277">
        <v>2135</v>
      </c>
      <c r="K6277">
        <v>2500</v>
      </c>
    </row>
    <row r="6278" spans="1:11">
      <c r="A6278">
        <v>90</v>
      </c>
      <c r="B6278" t="b">
        <v>0</v>
      </c>
      <c r="C6278" t="s">
        <v>40408</v>
      </c>
      <c r="D6278">
        <v>1037022454355</v>
      </c>
      <c r="E6278">
        <v>1</v>
      </c>
      <c r="F6278">
        <v>6101928691</v>
      </c>
      <c r="G6278">
        <v>1448</v>
      </c>
      <c r="H6278" t="s">
        <v>40293</v>
      </c>
      <c r="I6278">
        <v>47927</v>
      </c>
      <c r="J6278">
        <v>2000</v>
      </c>
      <c r="K6278">
        <v>2000</v>
      </c>
    </row>
    <row r="6279" spans="1:11">
      <c r="A6279">
        <v>90</v>
      </c>
      <c r="B6279" t="b">
        <v>0</v>
      </c>
      <c r="C6279" t="s">
        <v>41248</v>
      </c>
      <c r="D6279">
        <v>1037022454355</v>
      </c>
      <c r="E6279">
        <v>1</v>
      </c>
      <c r="F6279">
        <v>6098800037</v>
      </c>
      <c r="G6279">
        <v>1446</v>
      </c>
      <c r="H6279" t="s">
        <v>40293</v>
      </c>
      <c r="I6279">
        <v>47927</v>
      </c>
      <c r="J6279">
        <v>40004</v>
      </c>
      <c r="K6279">
        <v>45000</v>
      </c>
    </row>
    <row r="6280" spans="1:11">
      <c r="A6280">
        <v>90</v>
      </c>
      <c r="B6280" t="b">
        <v>0</v>
      </c>
      <c r="C6280" t="s">
        <v>40456</v>
      </c>
      <c r="D6280">
        <v>1037022454355</v>
      </c>
      <c r="E6280">
        <v>1</v>
      </c>
      <c r="F6280">
        <v>6105468594</v>
      </c>
      <c r="G6280">
        <v>1399</v>
      </c>
      <c r="H6280" t="s">
        <v>40293</v>
      </c>
      <c r="I6280">
        <v>47927</v>
      </c>
      <c r="J6280">
        <v>24100</v>
      </c>
      <c r="K6280">
        <v>25000</v>
      </c>
    </row>
    <row r="6281" spans="1:11">
      <c r="A6281">
        <v>90</v>
      </c>
      <c r="B6281" t="b">
        <v>0</v>
      </c>
      <c r="C6281" t="s">
        <v>40532</v>
      </c>
      <c r="D6281">
        <v>1037022454355</v>
      </c>
      <c r="E6281">
        <v>1</v>
      </c>
      <c r="F6281">
        <v>6115235406</v>
      </c>
      <c r="G6281">
        <v>1340</v>
      </c>
      <c r="H6281" t="s">
        <v>40293</v>
      </c>
      <c r="I6281">
        <v>47927</v>
      </c>
      <c r="J6281">
        <v>4100</v>
      </c>
      <c r="K6281">
        <v>10000</v>
      </c>
    </row>
    <row r="6282" spans="1:11">
      <c r="A6282">
        <v>90</v>
      </c>
      <c r="B6282" t="b">
        <v>0</v>
      </c>
      <c r="C6282" t="s">
        <v>41852</v>
      </c>
      <c r="D6282">
        <v>1037022454355</v>
      </c>
      <c r="E6282">
        <v>1</v>
      </c>
      <c r="F6282">
        <v>6127628066</v>
      </c>
      <c r="G6282">
        <v>1328</v>
      </c>
      <c r="H6282" t="s">
        <v>40293</v>
      </c>
      <c r="I6282">
        <v>47927</v>
      </c>
      <c r="J6282">
        <v>1795</v>
      </c>
      <c r="K6282">
        <v>5795</v>
      </c>
    </row>
    <row r="6283" spans="1:11">
      <c r="A6283">
        <v>90</v>
      </c>
      <c r="B6283" t="b">
        <v>0</v>
      </c>
      <c r="C6283" t="s">
        <v>41810</v>
      </c>
      <c r="D6283">
        <v>1037022454355</v>
      </c>
      <c r="E6283">
        <v>1</v>
      </c>
      <c r="F6283">
        <v>6086988861</v>
      </c>
      <c r="G6283">
        <v>1326</v>
      </c>
      <c r="H6283" t="s">
        <v>40293</v>
      </c>
      <c r="I6283">
        <v>47927</v>
      </c>
      <c r="J6283">
        <v>133751</v>
      </c>
      <c r="K6283">
        <v>500000</v>
      </c>
    </row>
    <row r="6284" spans="1:11">
      <c r="A6284">
        <v>90</v>
      </c>
      <c r="B6284" t="b">
        <v>0</v>
      </c>
      <c r="C6284" t="s">
        <v>44902</v>
      </c>
      <c r="D6284">
        <v>1037022454355</v>
      </c>
      <c r="E6284">
        <v>1</v>
      </c>
      <c r="F6284">
        <v>6149811497</v>
      </c>
      <c r="G6284">
        <v>1246</v>
      </c>
      <c r="H6284" t="s">
        <v>40293</v>
      </c>
      <c r="I6284">
        <v>47927</v>
      </c>
      <c r="J6284">
        <v>7036</v>
      </c>
      <c r="K6284">
        <v>10000</v>
      </c>
    </row>
    <row r="6285" spans="1:11">
      <c r="A6285">
        <v>90</v>
      </c>
      <c r="B6285" t="b">
        <v>0</v>
      </c>
      <c r="C6285" t="s">
        <v>46244</v>
      </c>
      <c r="D6285">
        <v>1037022454355</v>
      </c>
      <c r="E6285">
        <v>1</v>
      </c>
      <c r="F6285">
        <v>6149632037</v>
      </c>
      <c r="G6285">
        <v>1242</v>
      </c>
      <c r="H6285" t="s">
        <v>40293</v>
      </c>
      <c r="I6285">
        <v>47927</v>
      </c>
      <c r="J6285">
        <v>1306</v>
      </c>
      <c r="K6285">
        <v>3965</v>
      </c>
    </row>
    <row r="6286" spans="1:11">
      <c r="A6286">
        <v>90</v>
      </c>
      <c r="B6286" t="b">
        <v>0</v>
      </c>
      <c r="C6286" t="s">
        <v>45670</v>
      </c>
      <c r="D6286">
        <v>1037022454355</v>
      </c>
      <c r="E6286">
        <v>1</v>
      </c>
      <c r="F6286">
        <v>6156597404</v>
      </c>
      <c r="G6286">
        <v>1000</v>
      </c>
      <c r="H6286" t="s">
        <v>40293</v>
      </c>
      <c r="I6286">
        <v>47927</v>
      </c>
      <c r="J6286">
        <v>1354</v>
      </c>
      <c r="K6286">
        <v>1354</v>
      </c>
    </row>
    <row r="6287" spans="1:11">
      <c r="A6287">
        <v>90</v>
      </c>
      <c r="B6287" t="b">
        <v>0</v>
      </c>
      <c r="C6287" t="s">
        <v>42949</v>
      </c>
      <c r="D6287">
        <v>1037022454355</v>
      </c>
      <c r="E6287">
        <v>1</v>
      </c>
      <c r="F6287">
        <v>6140102328</v>
      </c>
      <c r="G6287">
        <v>1001</v>
      </c>
      <c r="H6287" t="s">
        <v>40293</v>
      </c>
      <c r="I6287">
        <v>47929</v>
      </c>
      <c r="J6287">
        <v>55975</v>
      </c>
      <c r="K6287">
        <v>70000</v>
      </c>
    </row>
    <row r="6288" spans="1:11">
      <c r="A6288">
        <v>90</v>
      </c>
      <c r="B6288" t="b">
        <v>0</v>
      </c>
      <c r="C6288" t="s">
        <v>41705</v>
      </c>
      <c r="D6288">
        <v>1037022454355</v>
      </c>
      <c r="E6288">
        <v>1</v>
      </c>
      <c r="F6288">
        <v>6092749615</v>
      </c>
      <c r="G6288">
        <v>3998</v>
      </c>
      <c r="H6288" t="s">
        <v>40293</v>
      </c>
      <c r="I6288">
        <v>47930</v>
      </c>
      <c r="J6288">
        <v>3000</v>
      </c>
      <c r="K6288">
        <v>30000</v>
      </c>
    </row>
    <row r="6289" spans="1:11">
      <c r="A6289">
        <v>90</v>
      </c>
      <c r="B6289" t="b">
        <v>0</v>
      </c>
      <c r="C6289" t="s">
        <v>40805</v>
      </c>
      <c r="D6289">
        <v>1037022454355</v>
      </c>
      <c r="E6289">
        <v>1</v>
      </c>
      <c r="F6289">
        <v>6104067315</v>
      </c>
      <c r="G6289">
        <v>3314</v>
      </c>
      <c r="H6289" t="s">
        <v>40293</v>
      </c>
      <c r="I6289">
        <v>47930</v>
      </c>
      <c r="J6289">
        <v>6418</v>
      </c>
      <c r="K6289">
        <v>30000</v>
      </c>
    </row>
    <row r="6290" spans="1:11">
      <c r="A6290">
        <v>90</v>
      </c>
      <c r="B6290" t="b">
        <v>0</v>
      </c>
      <c r="C6290" t="s">
        <v>43860</v>
      </c>
      <c r="D6290">
        <v>1037022454355</v>
      </c>
      <c r="E6290">
        <v>1</v>
      </c>
      <c r="F6290">
        <v>6143486091</v>
      </c>
      <c r="G6290">
        <v>3177</v>
      </c>
      <c r="H6290" t="s">
        <v>40293</v>
      </c>
      <c r="I6290">
        <v>47930</v>
      </c>
      <c r="J6290">
        <v>4137</v>
      </c>
      <c r="K6290">
        <v>4137</v>
      </c>
    </row>
    <row r="6291" spans="1:11">
      <c r="A6291">
        <v>90</v>
      </c>
      <c r="B6291" t="b">
        <v>0</v>
      </c>
      <c r="C6291" t="s">
        <v>45640</v>
      </c>
      <c r="D6291">
        <v>1037022454355</v>
      </c>
      <c r="E6291">
        <v>1</v>
      </c>
      <c r="F6291">
        <v>6141923763</v>
      </c>
      <c r="G6291">
        <v>2497</v>
      </c>
      <c r="H6291" t="s">
        <v>40293</v>
      </c>
      <c r="I6291">
        <v>47930</v>
      </c>
      <c r="J6291">
        <v>1055</v>
      </c>
      <c r="K6291">
        <v>5999</v>
      </c>
    </row>
    <row r="6292" spans="1:11">
      <c r="A6292">
        <v>90</v>
      </c>
      <c r="B6292" t="b">
        <v>0</v>
      </c>
      <c r="C6292" t="s">
        <v>45683</v>
      </c>
      <c r="D6292">
        <v>1037022454355</v>
      </c>
      <c r="E6292">
        <v>1</v>
      </c>
      <c r="F6292">
        <v>6154201284</v>
      </c>
      <c r="G6292">
        <v>2486</v>
      </c>
      <c r="H6292" t="s">
        <v>40293</v>
      </c>
      <c r="I6292">
        <v>47930</v>
      </c>
      <c r="J6292">
        <v>3835</v>
      </c>
      <c r="K6292">
        <v>4351</v>
      </c>
    </row>
    <row r="6293" spans="1:11">
      <c r="A6293">
        <v>90</v>
      </c>
      <c r="B6293" t="b">
        <v>0</v>
      </c>
      <c r="C6293" t="s">
        <v>45480</v>
      </c>
      <c r="D6293">
        <v>1037022454355</v>
      </c>
      <c r="E6293">
        <v>1</v>
      </c>
      <c r="F6293">
        <v>6157191788</v>
      </c>
      <c r="G6293">
        <v>2485</v>
      </c>
      <c r="H6293" t="s">
        <v>40293</v>
      </c>
      <c r="I6293">
        <v>47930</v>
      </c>
      <c r="J6293">
        <v>488</v>
      </c>
      <c r="K6293">
        <v>488</v>
      </c>
    </row>
    <row r="6294" spans="1:11">
      <c r="A6294">
        <v>90</v>
      </c>
      <c r="B6294" t="b">
        <v>0</v>
      </c>
      <c r="C6294" t="s">
        <v>41700</v>
      </c>
      <c r="D6294">
        <v>1037022454355</v>
      </c>
      <c r="E6294">
        <v>1</v>
      </c>
      <c r="F6294">
        <v>6092749544</v>
      </c>
      <c r="G6294">
        <v>3865</v>
      </c>
      <c r="H6294" t="s">
        <v>40293</v>
      </c>
      <c r="I6294">
        <v>47931</v>
      </c>
      <c r="J6294">
        <v>25696</v>
      </c>
      <c r="K6294">
        <v>30000</v>
      </c>
    </row>
    <row r="6295" spans="1:11">
      <c r="A6295">
        <v>90</v>
      </c>
      <c r="B6295" t="b">
        <v>0</v>
      </c>
      <c r="C6295" t="s">
        <v>40817</v>
      </c>
      <c r="D6295">
        <v>1037022454355</v>
      </c>
      <c r="E6295">
        <v>1</v>
      </c>
      <c r="F6295">
        <v>6104067625</v>
      </c>
      <c r="G6295">
        <v>3836</v>
      </c>
      <c r="H6295" t="s">
        <v>40293</v>
      </c>
      <c r="I6295">
        <v>47931</v>
      </c>
      <c r="J6295">
        <v>25753</v>
      </c>
      <c r="K6295">
        <v>30000</v>
      </c>
    </row>
    <row r="6296" spans="1:11">
      <c r="A6296">
        <v>90</v>
      </c>
      <c r="B6296" t="b">
        <v>0</v>
      </c>
      <c r="C6296" t="s">
        <v>43956</v>
      </c>
      <c r="D6296">
        <v>1037022454355</v>
      </c>
      <c r="E6296">
        <v>1</v>
      </c>
      <c r="F6296">
        <v>6081609018</v>
      </c>
      <c r="G6296">
        <v>3829</v>
      </c>
      <c r="H6296" t="s">
        <v>40293</v>
      </c>
      <c r="I6296">
        <v>47931</v>
      </c>
      <c r="J6296">
        <v>17486</v>
      </c>
      <c r="K6296">
        <v>30000</v>
      </c>
    </row>
    <row r="6297" spans="1:11">
      <c r="A6297">
        <v>7</v>
      </c>
      <c r="B6297" t="b">
        <v>0</v>
      </c>
      <c r="C6297" t="s">
        <v>45337</v>
      </c>
      <c r="D6297">
        <v>1037022454355</v>
      </c>
      <c r="E6297">
        <v>1</v>
      </c>
      <c r="F6297">
        <v>6156634668</v>
      </c>
      <c r="G6297">
        <v>3800</v>
      </c>
      <c r="H6297" t="s">
        <v>40293</v>
      </c>
      <c r="I6297">
        <v>47931</v>
      </c>
      <c r="J6297">
        <v>8000</v>
      </c>
      <c r="K6297">
        <v>8000</v>
      </c>
    </row>
    <row r="6298" spans="1:11">
      <c r="A6298">
        <v>90</v>
      </c>
      <c r="B6298" t="b">
        <v>0</v>
      </c>
      <c r="C6298" t="s">
        <v>44822</v>
      </c>
      <c r="D6298">
        <v>1037022454355</v>
      </c>
      <c r="E6298">
        <v>1</v>
      </c>
      <c r="F6298">
        <v>6143486204</v>
      </c>
      <c r="G6298">
        <v>3799</v>
      </c>
      <c r="H6298" t="s">
        <v>40293</v>
      </c>
      <c r="I6298">
        <v>47931</v>
      </c>
      <c r="J6298">
        <v>3080</v>
      </c>
      <c r="K6298">
        <v>3080</v>
      </c>
    </row>
    <row r="6299" spans="1:11">
      <c r="A6299">
        <v>90</v>
      </c>
      <c r="B6299" t="b">
        <v>0</v>
      </c>
      <c r="C6299" t="s">
        <v>45476</v>
      </c>
      <c r="D6299">
        <v>1037022454355</v>
      </c>
      <c r="E6299">
        <v>1</v>
      </c>
      <c r="F6299">
        <v>6157191748</v>
      </c>
      <c r="G6299">
        <v>3798</v>
      </c>
      <c r="H6299" t="s">
        <v>40293</v>
      </c>
      <c r="I6299">
        <v>47931</v>
      </c>
      <c r="J6299">
        <v>918</v>
      </c>
      <c r="K6299">
        <v>918</v>
      </c>
    </row>
    <row r="6300" spans="1:11">
      <c r="A6300">
        <v>90</v>
      </c>
      <c r="B6300" t="b">
        <v>0</v>
      </c>
      <c r="C6300" t="s">
        <v>42894</v>
      </c>
      <c r="D6300">
        <v>1037022454355</v>
      </c>
      <c r="E6300">
        <v>1</v>
      </c>
      <c r="F6300">
        <v>6146392447</v>
      </c>
      <c r="G6300">
        <v>5000</v>
      </c>
      <c r="H6300" t="s">
        <v>40293</v>
      </c>
      <c r="I6300">
        <v>47933</v>
      </c>
      <c r="J6300">
        <v>3000</v>
      </c>
      <c r="K6300">
        <v>5000</v>
      </c>
    </row>
    <row r="6301" spans="1:11">
      <c r="A6301">
        <v>90</v>
      </c>
      <c r="B6301" t="b">
        <v>0</v>
      </c>
      <c r="C6301" t="s">
        <v>46569</v>
      </c>
      <c r="D6301">
        <v>1037022454355</v>
      </c>
      <c r="E6301">
        <v>1</v>
      </c>
      <c r="F6301">
        <v>6153797620</v>
      </c>
      <c r="G6301">
        <v>3250</v>
      </c>
      <c r="H6301" t="s">
        <v>40293</v>
      </c>
      <c r="I6301">
        <v>47934</v>
      </c>
      <c r="J6301">
        <v>5000</v>
      </c>
      <c r="K6301">
        <v>5000</v>
      </c>
    </row>
    <row r="6302" spans="1:11">
      <c r="A6302">
        <v>90</v>
      </c>
      <c r="B6302" t="b">
        <v>0</v>
      </c>
      <c r="C6302" t="s">
        <v>43954</v>
      </c>
      <c r="D6302">
        <v>1037022454355</v>
      </c>
      <c r="E6302">
        <v>1</v>
      </c>
      <c r="F6302">
        <v>6146391288</v>
      </c>
      <c r="G6302">
        <v>6000</v>
      </c>
      <c r="H6302" t="s">
        <v>40293</v>
      </c>
      <c r="I6302">
        <v>47935</v>
      </c>
      <c r="J6302">
        <v>3000</v>
      </c>
      <c r="K6302">
        <v>5000</v>
      </c>
    </row>
    <row r="6303" spans="1:11">
      <c r="A6303">
        <v>90</v>
      </c>
      <c r="B6303" t="b">
        <v>0</v>
      </c>
      <c r="C6303" t="s">
        <v>46138</v>
      </c>
      <c r="D6303">
        <v>1037022454355</v>
      </c>
      <c r="E6303">
        <v>1</v>
      </c>
      <c r="F6303">
        <v>6125972050</v>
      </c>
      <c r="G6303">
        <v>43980</v>
      </c>
      <c r="H6303" t="s">
        <v>40293</v>
      </c>
      <c r="I6303">
        <v>47975</v>
      </c>
      <c r="J6303">
        <v>716</v>
      </c>
      <c r="K6303">
        <v>1724</v>
      </c>
    </row>
    <row r="6304" spans="1:11">
      <c r="A6304">
        <v>90</v>
      </c>
      <c r="B6304" t="b">
        <v>0</v>
      </c>
      <c r="C6304" t="s">
        <v>45666</v>
      </c>
      <c r="D6304">
        <v>1037022454355</v>
      </c>
      <c r="E6304">
        <v>1</v>
      </c>
      <c r="F6304">
        <v>6141924175</v>
      </c>
      <c r="G6304">
        <v>43970</v>
      </c>
      <c r="H6304" t="s">
        <v>40293</v>
      </c>
      <c r="I6304">
        <v>47975</v>
      </c>
      <c r="J6304">
        <v>248</v>
      </c>
      <c r="K6304">
        <v>248</v>
      </c>
    </row>
    <row r="6305" spans="1:11">
      <c r="A6305">
        <v>90</v>
      </c>
      <c r="B6305" t="b">
        <v>0</v>
      </c>
      <c r="C6305" t="s">
        <v>40381</v>
      </c>
      <c r="D6305">
        <v>1037022454355</v>
      </c>
      <c r="E6305">
        <v>1</v>
      </c>
      <c r="F6305">
        <v>6116935805</v>
      </c>
      <c r="G6305">
        <v>57000</v>
      </c>
      <c r="H6305" t="s">
        <v>40293</v>
      </c>
      <c r="I6305">
        <v>48112</v>
      </c>
      <c r="J6305">
        <v>2075</v>
      </c>
      <c r="K6305">
        <v>2314</v>
      </c>
    </row>
    <row r="6306" spans="1:11">
      <c r="A6306">
        <v>90</v>
      </c>
      <c r="B6306" t="b">
        <v>0</v>
      </c>
      <c r="C6306" t="s">
        <v>45901</v>
      </c>
      <c r="D6306">
        <v>1037022454355</v>
      </c>
      <c r="E6306">
        <v>1</v>
      </c>
      <c r="F6306">
        <v>6152478074</v>
      </c>
      <c r="G6306">
        <v>56900</v>
      </c>
      <c r="H6306" t="s">
        <v>40293</v>
      </c>
      <c r="I6306">
        <v>48112</v>
      </c>
      <c r="J6306">
        <v>1500</v>
      </c>
      <c r="K6306">
        <v>1500</v>
      </c>
    </row>
    <row r="6307" spans="1:11">
      <c r="A6307">
        <v>90</v>
      </c>
      <c r="B6307" t="b">
        <v>0</v>
      </c>
      <c r="C6307" t="s">
        <v>43828</v>
      </c>
      <c r="D6307">
        <v>1037022454355</v>
      </c>
      <c r="E6307">
        <v>1</v>
      </c>
      <c r="F6307">
        <v>6147141258</v>
      </c>
      <c r="G6307">
        <v>56800</v>
      </c>
      <c r="H6307" t="s">
        <v>40293</v>
      </c>
      <c r="I6307">
        <v>48112</v>
      </c>
      <c r="J6307">
        <v>41</v>
      </c>
      <c r="K6307">
        <v>41</v>
      </c>
    </row>
    <row r="6308" spans="1:11">
      <c r="A6308">
        <v>90</v>
      </c>
      <c r="B6308" t="b">
        <v>0</v>
      </c>
      <c r="C6308" t="s">
        <v>45889</v>
      </c>
      <c r="D6308">
        <v>1037022454355</v>
      </c>
      <c r="E6308">
        <v>1</v>
      </c>
      <c r="F6308">
        <v>6156789516</v>
      </c>
      <c r="G6308">
        <v>55000</v>
      </c>
      <c r="H6308" t="s">
        <v>40293</v>
      </c>
      <c r="I6308">
        <v>48112</v>
      </c>
      <c r="J6308">
        <v>243</v>
      </c>
      <c r="K6308">
        <v>243</v>
      </c>
    </row>
    <row r="6309" spans="1:11">
      <c r="A6309">
        <v>90</v>
      </c>
      <c r="B6309" t="b">
        <v>0</v>
      </c>
      <c r="C6309" t="s">
        <v>41515</v>
      </c>
      <c r="D6309">
        <v>1037022454355</v>
      </c>
      <c r="E6309">
        <v>1</v>
      </c>
      <c r="F6309">
        <v>6122531125</v>
      </c>
      <c r="G6309">
        <v>49970000</v>
      </c>
      <c r="H6309" t="s">
        <v>40293</v>
      </c>
      <c r="I6309">
        <v>48113</v>
      </c>
      <c r="J6309">
        <v>1</v>
      </c>
      <c r="K6309">
        <v>1</v>
      </c>
    </row>
    <row r="6310" spans="1:11">
      <c r="A6310">
        <v>7</v>
      </c>
      <c r="B6310" t="b">
        <v>0</v>
      </c>
      <c r="C6310" t="s">
        <v>44612</v>
      </c>
      <c r="D6310">
        <v>1037022454355</v>
      </c>
      <c r="E6310">
        <v>1</v>
      </c>
      <c r="F6310">
        <v>6152920957</v>
      </c>
      <c r="G6310">
        <v>42000000</v>
      </c>
      <c r="H6310" t="s">
        <v>40293</v>
      </c>
      <c r="I6310">
        <v>48113</v>
      </c>
      <c r="J6310">
        <v>1</v>
      </c>
      <c r="K6310">
        <v>1</v>
      </c>
    </row>
    <row r="6311" spans="1:11">
      <c r="A6311">
        <v>90</v>
      </c>
      <c r="B6311" t="b">
        <v>0</v>
      </c>
      <c r="C6311" t="s">
        <v>44909</v>
      </c>
      <c r="D6311">
        <v>1037022454355</v>
      </c>
      <c r="E6311">
        <v>1</v>
      </c>
      <c r="F6311">
        <v>6117404057</v>
      </c>
      <c r="G6311">
        <v>30000000</v>
      </c>
      <c r="H6311" t="s">
        <v>40293</v>
      </c>
      <c r="I6311">
        <v>48113</v>
      </c>
      <c r="J6311">
        <v>4</v>
      </c>
      <c r="K6311">
        <v>6</v>
      </c>
    </row>
    <row r="6312" spans="1:11">
      <c r="A6312">
        <v>90</v>
      </c>
      <c r="B6312" t="b">
        <v>0</v>
      </c>
      <c r="C6312" t="s">
        <v>44501</v>
      </c>
      <c r="D6312">
        <v>1037022454355</v>
      </c>
      <c r="E6312">
        <v>1</v>
      </c>
      <c r="F6312">
        <v>6155835761</v>
      </c>
      <c r="G6312">
        <v>20010000</v>
      </c>
      <c r="H6312" t="s">
        <v>40293</v>
      </c>
      <c r="I6312">
        <v>48113</v>
      </c>
      <c r="J6312">
        <v>1</v>
      </c>
      <c r="K6312">
        <v>1</v>
      </c>
    </row>
    <row r="6313" spans="1:11">
      <c r="A6313">
        <v>90</v>
      </c>
      <c r="B6313" t="b">
        <v>0</v>
      </c>
      <c r="C6313" t="s">
        <v>40317</v>
      </c>
      <c r="D6313">
        <v>1037022454355</v>
      </c>
      <c r="E6313">
        <v>1</v>
      </c>
      <c r="F6313">
        <v>6099043039</v>
      </c>
      <c r="G6313">
        <v>25970000</v>
      </c>
      <c r="H6313" t="s">
        <v>40293</v>
      </c>
      <c r="I6313">
        <v>48114</v>
      </c>
      <c r="J6313">
        <v>1</v>
      </c>
      <c r="K6313">
        <v>1</v>
      </c>
    </row>
    <row r="6314" spans="1:11">
      <c r="A6314">
        <v>90</v>
      </c>
      <c r="B6314" t="b">
        <v>0</v>
      </c>
      <c r="C6314" t="s">
        <v>40666</v>
      </c>
      <c r="D6314">
        <v>1037022454355</v>
      </c>
      <c r="E6314">
        <v>1</v>
      </c>
      <c r="F6314">
        <v>6068543467</v>
      </c>
      <c r="G6314">
        <v>25960000</v>
      </c>
      <c r="H6314" t="s">
        <v>40293</v>
      </c>
      <c r="I6314">
        <v>48114</v>
      </c>
      <c r="J6314">
        <v>2</v>
      </c>
      <c r="K6314">
        <v>7</v>
      </c>
    </row>
    <row r="6315" spans="1:11">
      <c r="A6315">
        <v>90</v>
      </c>
      <c r="B6315" t="b">
        <v>0</v>
      </c>
      <c r="C6315" t="s">
        <v>41999</v>
      </c>
      <c r="D6315">
        <v>1037022454355</v>
      </c>
      <c r="E6315">
        <v>1</v>
      </c>
      <c r="F6315">
        <v>6090031618</v>
      </c>
      <c r="G6315">
        <v>25920000</v>
      </c>
      <c r="H6315" t="s">
        <v>40293</v>
      </c>
      <c r="I6315">
        <v>48114</v>
      </c>
      <c r="J6315">
        <v>2</v>
      </c>
      <c r="K6315">
        <v>2</v>
      </c>
    </row>
    <row r="6316" spans="1:11">
      <c r="A6316">
        <v>90</v>
      </c>
      <c r="B6316" t="b">
        <v>0</v>
      </c>
      <c r="C6316" t="s">
        <v>42004</v>
      </c>
      <c r="D6316">
        <v>1037022454355</v>
      </c>
      <c r="E6316">
        <v>1</v>
      </c>
      <c r="F6316">
        <v>6074565559</v>
      </c>
      <c r="G6316">
        <v>25910000</v>
      </c>
      <c r="H6316" t="s">
        <v>40293</v>
      </c>
      <c r="I6316">
        <v>48114</v>
      </c>
      <c r="J6316">
        <v>5</v>
      </c>
      <c r="K6316">
        <v>8</v>
      </c>
    </row>
    <row r="6317" spans="1:11">
      <c r="A6317">
        <v>90</v>
      </c>
      <c r="B6317" t="b">
        <v>0</v>
      </c>
      <c r="C6317" t="s">
        <v>45728</v>
      </c>
      <c r="D6317">
        <v>1037022454355</v>
      </c>
      <c r="E6317">
        <v>1</v>
      </c>
      <c r="F6317">
        <v>6152738367</v>
      </c>
      <c r="G6317">
        <v>25850000</v>
      </c>
      <c r="H6317" t="s">
        <v>40293</v>
      </c>
      <c r="I6317">
        <v>48114</v>
      </c>
      <c r="J6317">
        <v>2</v>
      </c>
      <c r="K6317">
        <v>5</v>
      </c>
    </row>
    <row r="6318" spans="1:11">
      <c r="A6318">
        <v>90</v>
      </c>
      <c r="B6318" t="b">
        <v>0</v>
      </c>
      <c r="C6318" t="s">
        <v>45175</v>
      </c>
      <c r="D6318">
        <v>1037022454355</v>
      </c>
      <c r="E6318">
        <v>1</v>
      </c>
      <c r="F6318">
        <v>6155844281</v>
      </c>
      <c r="G6318">
        <v>15860000</v>
      </c>
      <c r="H6318" t="s">
        <v>40293</v>
      </c>
      <c r="I6318">
        <v>48114</v>
      </c>
      <c r="J6318">
        <v>1</v>
      </c>
      <c r="K6318">
        <v>1</v>
      </c>
    </row>
    <row r="6319" spans="1:11">
      <c r="A6319">
        <v>90</v>
      </c>
      <c r="B6319" t="b">
        <v>0</v>
      </c>
      <c r="C6319" t="s">
        <v>44097</v>
      </c>
      <c r="D6319">
        <v>1037022454355</v>
      </c>
      <c r="E6319">
        <v>1</v>
      </c>
      <c r="F6319">
        <v>6157533899</v>
      </c>
      <c r="G6319">
        <v>15850000</v>
      </c>
      <c r="H6319" t="s">
        <v>40293</v>
      </c>
      <c r="I6319">
        <v>48114</v>
      </c>
      <c r="J6319">
        <v>1</v>
      </c>
      <c r="K6319">
        <v>1</v>
      </c>
    </row>
    <row r="6320" spans="1:11">
      <c r="A6320">
        <v>90</v>
      </c>
      <c r="B6320" t="b">
        <v>0</v>
      </c>
      <c r="C6320" t="s">
        <v>45274</v>
      </c>
      <c r="D6320">
        <v>1037022454355</v>
      </c>
      <c r="E6320">
        <v>1</v>
      </c>
      <c r="F6320">
        <v>6152118298</v>
      </c>
      <c r="G6320">
        <v>60000000</v>
      </c>
      <c r="H6320" t="s">
        <v>40293</v>
      </c>
      <c r="I6320">
        <v>48115</v>
      </c>
      <c r="J6320">
        <v>1</v>
      </c>
      <c r="K6320">
        <v>1</v>
      </c>
    </row>
    <row r="6321" spans="1:11">
      <c r="A6321">
        <v>90</v>
      </c>
      <c r="B6321" t="b">
        <v>0</v>
      </c>
      <c r="C6321" t="s">
        <v>42629</v>
      </c>
      <c r="D6321">
        <v>1037022454355</v>
      </c>
      <c r="E6321">
        <v>1</v>
      </c>
      <c r="F6321">
        <v>6135893013</v>
      </c>
      <c r="G6321">
        <v>1000000</v>
      </c>
      <c r="H6321" t="s">
        <v>40293</v>
      </c>
      <c r="I6321">
        <v>48386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40705</v>
      </c>
      <c r="D6322">
        <v>1037022454355</v>
      </c>
      <c r="E6322">
        <v>1</v>
      </c>
      <c r="F6322">
        <v>6100624245</v>
      </c>
      <c r="G6322">
        <v>149000</v>
      </c>
      <c r="H6322" t="s">
        <v>40293</v>
      </c>
      <c r="I6322">
        <v>48416</v>
      </c>
      <c r="J6322">
        <v>306</v>
      </c>
      <c r="K6322">
        <v>306</v>
      </c>
    </row>
    <row r="6323" spans="1:11">
      <c r="A6323">
        <v>90</v>
      </c>
      <c r="B6323" t="b">
        <v>0</v>
      </c>
      <c r="C6323" t="s">
        <v>41006</v>
      </c>
      <c r="D6323">
        <v>1037022454355</v>
      </c>
      <c r="E6323">
        <v>1</v>
      </c>
      <c r="F6323">
        <v>6114590661</v>
      </c>
      <c r="G6323">
        <v>148000</v>
      </c>
      <c r="H6323" t="s">
        <v>40293</v>
      </c>
      <c r="I6323">
        <v>48416</v>
      </c>
      <c r="J6323">
        <v>9</v>
      </c>
      <c r="K6323">
        <v>9</v>
      </c>
    </row>
    <row r="6324" spans="1:11">
      <c r="A6324">
        <v>90</v>
      </c>
      <c r="B6324" t="b">
        <v>0</v>
      </c>
      <c r="C6324" t="s">
        <v>43869</v>
      </c>
      <c r="D6324">
        <v>1037022454355</v>
      </c>
      <c r="E6324">
        <v>1</v>
      </c>
      <c r="F6324">
        <v>6143748267</v>
      </c>
      <c r="G6324">
        <v>148000</v>
      </c>
      <c r="H6324" t="s">
        <v>40293</v>
      </c>
      <c r="I6324">
        <v>48416</v>
      </c>
      <c r="J6324">
        <v>7</v>
      </c>
      <c r="K6324">
        <v>7</v>
      </c>
    </row>
    <row r="6325" spans="1:11">
      <c r="A6325">
        <v>90</v>
      </c>
      <c r="B6325" t="b">
        <v>0</v>
      </c>
      <c r="C6325" t="s">
        <v>41616</v>
      </c>
      <c r="D6325">
        <v>1037022454355</v>
      </c>
      <c r="E6325">
        <v>1</v>
      </c>
      <c r="F6325">
        <v>6114505456</v>
      </c>
      <c r="G6325">
        <v>589900</v>
      </c>
      <c r="H6325" t="s">
        <v>40293</v>
      </c>
      <c r="I6325">
        <v>48417</v>
      </c>
      <c r="J6325">
        <v>59</v>
      </c>
      <c r="K6325">
        <v>60</v>
      </c>
    </row>
    <row r="6326" spans="1:11">
      <c r="A6326">
        <v>90</v>
      </c>
      <c r="B6326" t="b">
        <v>0</v>
      </c>
      <c r="C6326" t="s">
        <v>43238</v>
      </c>
      <c r="D6326">
        <v>1037022454355</v>
      </c>
      <c r="E6326">
        <v>1</v>
      </c>
      <c r="F6326">
        <v>6143748332</v>
      </c>
      <c r="G6326">
        <v>200000</v>
      </c>
      <c r="H6326" t="s">
        <v>40293</v>
      </c>
      <c r="I6326">
        <v>48420</v>
      </c>
      <c r="J6326">
        <v>9</v>
      </c>
      <c r="K6326">
        <v>9</v>
      </c>
    </row>
    <row r="6327" spans="1:11">
      <c r="A6327">
        <v>90</v>
      </c>
      <c r="B6327" t="b">
        <v>0</v>
      </c>
      <c r="C6327" t="s">
        <v>40995</v>
      </c>
      <c r="D6327">
        <v>1037022454355</v>
      </c>
      <c r="E6327">
        <v>1</v>
      </c>
      <c r="F6327">
        <v>6114590472</v>
      </c>
      <c r="G6327">
        <v>200000</v>
      </c>
      <c r="H6327" t="s">
        <v>40293</v>
      </c>
      <c r="I6327">
        <v>48420</v>
      </c>
      <c r="J6327">
        <v>8</v>
      </c>
      <c r="K6327">
        <v>8</v>
      </c>
    </row>
    <row r="6328" spans="1:11">
      <c r="A6328">
        <v>90</v>
      </c>
      <c r="B6328" t="b">
        <v>0</v>
      </c>
      <c r="C6328" t="s">
        <v>41169</v>
      </c>
      <c r="D6328">
        <v>1037022454355</v>
      </c>
      <c r="E6328">
        <v>1</v>
      </c>
      <c r="F6328">
        <v>6093524018</v>
      </c>
      <c r="G6328">
        <v>200000</v>
      </c>
      <c r="H6328" t="s">
        <v>40293</v>
      </c>
      <c r="I6328">
        <v>48420</v>
      </c>
      <c r="J6328">
        <v>7</v>
      </c>
      <c r="K6328">
        <v>7</v>
      </c>
    </row>
    <row r="6329" spans="1:11">
      <c r="A6329">
        <v>90</v>
      </c>
      <c r="B6329" t="b">
        <v>0</v>
      </c>
      <c r="C6329" t="s">
        <v>41047</v>
      </c>
      <c r="D6329">
        <v>1037022454355</v>
      </c>
      <c r="E6329">
        <v>1</v>
      </c>
      <c r="F6329">
        <v>6114591418</v>
      </c>
      <c r="G6329">
        <v>2000000</v>
      </c>
      <c r="H6329" t="s">
        <v>40293</v>
      </c>
      <c r="I6329">
        <v>48421</v>
      </c>
      <c r="J6329">
        <v>5</v>
      </c>
      <c r="K6329">
        <v>5</v>
      </c>
    </row>
    <row r="6330" spans="1:11">
      <c r="A6330">
        <v>90</v>
      </c>
      <c r="B6330" t="b">
        <v>0</v>
      </c>
      <c r="C6330" t="s">
        <v>43248</v>
      </c>
      <c r="D6330">
        <v>1037022454355</v>
      </c>
      <c r="E6330">
        <v>1</v>
      </c>
      <c r="F6330">
        <v>6143748484</v>
      </c>
      <c r="G6330">
        <v>250000</v>
      </c>
      <c r="H6330" t="s">
        <v>40293</v>
      </c>
      <c r="I6330">
        <v>48424</v>
      </c>
      <c r="J6330">
        <v>11</v>
      </c>
      <c r="K6330">
        <v>11</v>
      </c>
    </row>
    <row r="6331" spans="1:11">
      <c r="A6331">
        <v>90</v>
      </c>
      <c r="B6331" t="b">
        <v>0</v>
      </c>
      <c r="C6331" t="s">
        <v>40974</v>
      </c>
      <c r="D6331">
        <v>1037022454355</v>
      </c>
      <c r="E6331">
        <v>1</v>
      </c>
      <c r="F6331">
        <v>6114589942</v>
      </c>
      <c r="G6331">
        <v>250000</v>
      </c>
      <c r="H6331" t="s">
        <v>40293</v>
      </c>
      <c r="I6331">
        <v>48424</v>
      </c>
      <c r="J6331">
        <v>3</v>
      </c>
      <c r="K6331">
        <v>3</v>
      </c>
    </row>
    <row r="6332" spans="1:11">
      <c r="A6332">
        <v>90</v>
      </c>
      <c r="B6332" t="b">
        <v>0</v>
      </c>
      <c r="C6332" t="s">
        <v>41207</v>
      </c>
      <c r="D6332">
        <v>1037022454355</v>
      </c>
      <c r="E6332">
        <v>1</v>
      </c>
      <c r="F6332">
        <v>6093524882</v>
      </c>
      <c r="G6332">
        <v>250000</v>
      </c>
      <c r="H6332" t="s">
        <v>40293</v>
      </c>
      <c r="I6332">
        <v>48424</v>
      </c>
      <c r="J6332">
        <v>8</v>
      </c>
      <c r="K6332">
        <v>8</v>
      </c>
    </row>
    <row r="6333" spans="1:11">
      <c r="A6333">
        <v>90</v>
      </c>
      <c r="B6333" t="b">
        <v>0</v>
      </c>
      <c r="C6333" t="s">
        <v>40344</v>
      </c>
      <c r="D6333">
        <v>1037022454355</v>
      </c>
      <c r="E6333">
        <v>1</v>
      </c>
      <c r="F6333">
        <v>6114590943</v>
      </c>
      <c r="G6333">
        <v>2250000</v>
      </c>
      <c r="H6333" t="s">
        <v>40293</v>
      </c>
      <c r="I6333">
        <v>48425</v>
      </c>
      <c r="J6333">
        <v>7</v>
      </c>
      <c r="K6333">
        <v>8</v>
      </c>
    </row>
    <row r="6334" spans="1:11">
      <c r="A6334">
        <v>90</v>
      </c>
      <c r="B6334" t="b">
        <v>0</v>
      </c>
      <c r="C6334" t="s">
        <v>41293</v>
      </c>
      <c r="D6334">
        <v>1037022454355</v>
      </c>
      <c r="E6334">
        <v>1</v>
      </c>
      <c r="F6334">
        <v>6100624244</v>
      </c>
      <c r="G6334">
        <v>199000</v>
      </c>
      <c r="H6334" t="s">
        <v>40293</v>
      </c>
      <c r="I6334">
        <v>48428</v>
      </c>
      <c r="J6334">
        <v>275</v>
      </c>
      <c r="K6334">
        <v>275</v>
      </c>
    </row>
    <row r="6335" spans="1:11">
      <c r="A6335">
        <v>90</v>
      </c>
      <c r="B6335" t="b">
        <v>0</v>
      </c>
      <c r="C6335" t="s">
        <v>43234</v>
      </c>
      <c r="D6335">
        <v>1037022454355</v>
      </c>
      <c r="E6335">
        <v>1</v>
      </c>
      <c r="F6335">
        <v>6143748300</v>
      </c>
      <c r="G6335">
        <v>198000</v>
      </c>
      <c r="H6335" t="s">
        <v>40293</v>
      </c>
      <c r="I6335">
        <v>48428</v>
      </c>
      <c r="J6335">
        <v>9</v>
      </c>
      <c r="K6335">
        <v>9</v>
      </c>
    </row>
    <row r="6336" spans="1:11">
      <c r="A6336">
        <v>90</v>
      </c>
      <c r="B6336" t="b">
        <v>0</v>
      </c>
      <c r="C6336" t="s">
        <v>40996</v>
      </c>
      <c r="D6336">
        <v>1037022454355</v>
      </c>
      <c r="E6336">
        <v>1</v>
      </c>
      <c r="F6336">
        <v>6114590508</v>
      </c>
      <c r="G6336">
        <v>198000</v>
      </c>
      <c r="H6336" t="s">
        <v>40293</v>
      </c>
      <c r="I6336">
        <v>48428</v>
      </c>
      <c r="J6336">
        <v>2</v>
      </c>
      <c r="K6336">
        <v>2</v>
      </c>
    </row>
    <row r="6337" spans="1:11">
      <c r="A6337">
        <v>90</v>
      </c>
      <c r="B6337" t="b">
        <v>0</v>
      </c>
      <c r="C6337" t="s">
        <v>40314</v>
      </c>
      <c r="D6337">
        <v>1037022454355</v>
      </c>
      <c r="E6337">
        <v>1</v>
      </c>
      <c r="F6337">
        <v>6114591473</v>
      </c>
      <c r="G6337">
        <v>1600000</v>
      </c>
      <c r="H6337" t="s">
        <v>40293</v>
      </c>
      <c r="I6337">
        <v>48429</v>
      </c>
      <c r="J6337">
        <v>5</v>
      </c>
      <c r="K6337">
        <v>5</v>
      </c>
    </row>
    <row r="6338" spans="1:11">
      <c r="A6338">
        <v>90</v>
      </c>
      <c r="B6338" t="b">
        <v>0</v>
      </c>
      <c r="C6338" t="s">
        <v>43245</v>
      </c>
      <c r="D6338">
        <v>1037022454355</v>
      </c>
      <c r="E6338">
        <v>1</v>
      </c>
      <c r="F6338">
        <v>6143748438</v>
      </c>
      <c r="G6338">
        <v>200000</v>
      </c>
      <c r="H6338" t="s">
        <v>40293</v>
      </c>
      <c r="I6338">
        <v>48432</v>
      </c>
      <c r="J6338">
        <v>9</v>
      </c>
      <c r="K6338">
        <v>9</v>
      </c>
    </row>
    <row r="6339" spans="1:11">
      <c r="A6339">
        <v>90</v>
      </c>
      <c r="B6339" t="b">
        <v>0</v>
      </c>
      <c r="C6339" t="s">
        <v>40987</v>
      </c>
      <c r="D6339">
        <v>1037022454355</v>
      </c>
      <c r="E6339">
        <v>1</v>
      </c>
      <c r="F6339">
        <v>6114590266</v>
      </c>
      <c r="G6339">
        <v>200000</v>
      </c>
      <c r="H6339" t="s">
        <v>40293</v>
      </c>
      <c r="I6339">
        <v>48432</v>
      </c>
      <c r="J6339">
        <v>4</v>
      </c>
      <c r="K6339">
        <v>4</v>
      </c>
    </row>
    <row r="6340" spans="1:11">
      <c r="A6340">
        <v>90</v>
      </c>
      <c r="B6340" t="b">
        <v>0</v>
      </c>
      <c r="C6340" t="s">
        <v>41182</v>
      </c>
      <c r="D6340">
        <v>1037022454355</v>
      </c>
      <c r="E6340">
        <v>1</v>
      </c>
      <c r="F6340">
        <v>6093524252</v>
      </c>
      <c r="G6340">
        <v>200000</v>
      </c>
      <c r="H6340" t="s">
        <v>40293</v>
      </c>
      <c r="I6340">
        <v>48432</v>
      </c>
      <c r="J6340">
        <v>5</v>
      </c>
      <c r="K6340">
        <v>8</v>
      </c>
    </row>
    <row r="6341" spans="1:11">
      <c r="A6341">
        <v>90</v>
      </c>
      <c r="B6341" t="b">
        <v>0</v>
      </c>
      <c r="C6341" t="s">
        <v>40797</v>
      </c>
      <c r="D6341">
        <v>1037022454355</v>
      </c>
      <c r="E6341">
        <v>1</v>
      </c>
      <c r="F6341">
        <v>6111833155</v>
      </c>
      <c r="G6341">
        <v>700000</v>
      </c>
      <c r="H6341" t="s">
        <v>40293</v>
      </c>
      <c r="I6341">
        <v>48433</v>
      </c>
      <c r="J6341">
        <v>20</v>
      </c>
      <c r="K6341">
        <v>20</v>
      </c>
    </row>
    <row r="6342" spans="1:11">
      <c r="A6342">
        <v>90</v>
      </c>
      <c r="B6342" t="b">
        <v>0</v>
      </c>
      <c r="C6342" t="s">
        <v>40432</v>
      </c>
      <c r="D6342">
        <v>1037022454355</v>
      </c>
      <c r="E6342">
        <v>1</v>
      </c>
      <c r="F6342">
        <v>6114591305</v>
      </c>
      <c r="G6342">
        <v>699000</v>
      </c>
      <c r="H6342" t="s">
        <v>40293</v>
      </c>
      <c r="I6342">
        <v>48433</v>
      </c>
      <c r="J6342">
        <v>4</v>
      </c>
      <c r="K6342">
        <v>4</v>
      </c>
    </row>
    <row r="6343" spans="1:11">
      <c r="A6343">
        <v>90</v>
      </c>
      <c r="B6343" t="b">
        <v>0</v>
      </c>
      <c r="C6343" t="s">
        <v>41201</v>
      </c>
      <c r="D6343">
        <v>1037022454355</v>
      </c>
      <c r="E6343">
        <v>1</v>
      </c>
      <c r="F6343">
        <v>6093524690</v>
      </c>
      <c r="G6343">
        <v>1000000</v>
      </c>
      <c r="H6343" t="s">
        <v>40293</v>
      </c>
      <c r="I6343">
        <v>48436</v>
      </c>
      <c r="J6343">
        <v>3</v>
      </c>
      <c r="K6343">
        <v>8</v>
      </c>
    </row>
    <row r="6344" spans="1:11">
      <c r="A6344">
        <v>90</v>
      </c>
      <c r="B6344" t="b">
        <v>0</v>
      </c>
      <c r="C6344" t="s">
        <v>40979</v>
      </c>
      <c r="D6344">
        <v>1037022454355</v>
      </c>
      <c r="E6344">
        <v>1</v>
      </c>
      <c r="F6344">
        <v>6114590041</v>
      </c>
      <c r="G6344">
        <v>1000000</v>
      </c>
      <c r="H6344" t="s">
        <v>40293</v>
      </c>
      <c r="I6344">
        <v>48436</v>
      </c>
      <c r="J6344">
        <v>10</v>
      </c>
      <c r="K6344">
        <v>10</v>
      </c>
    </row>
    <row r="6345" spans="1:11">
      <c r="A6345">
        <v>30</v>
      </c>
      <c r="B6345" t="b">
        <v>0</v>
      </c>
      <c r="C6345" t="s">
        <v>43751</v>
      </c>
      <c r="D6345">
        <v>1037022454355</v>
      </c>
      <c r="E6345">
        <v>1</v>
      </c>
      <c r="F6345">
        <v>6144681349</v>
      </c>
      <c r="G6345">
        <v>129800000</v>
      </c>
      <c r="H6345" t="s">
        <v>40293</v>
      </c>
      <c r="I6345">
        <v>48582</v>
      </c>
      <c r="J6345">
        <v>3</v>
      </c>
      <c r="K6345">
        <v>4</v>
      </c>
    </row>
    <row r="6346" spans="1:11">
      <c r="A6346">
        <v>7</v>
      </c>
      <c r="B6346" t="b">
        <v>0</v>
      </c>
      <c r="C6346" t="s">
        <v>46286</v>
      </c>
      <c r="D6346">
        <v>1037022454355</v>
      </c>
      <c r="E6346">
        <v>1</v>
      </c>
      <c r="F6346">
        <v>6152745486</v>
      </c>
      <c r="G6346">
        <v>128900000</v>
      </c>
      <c r="H6346" t="s">
        <v>40293</v>
      </c>
      <c r="I6346">
        <v>48582</v>
      </c>
      <c r="J6346">
        <v>1</v>
      </c>
      <c r="K6346">
        <v>3</v>
      </c>
    </row>
    <row r="6347" spans="1:11">
      <c r="A6347">
        <v>30</v>
      </c>
      <c r="B6347" t="b">
        <v>0</v>
      </c>
      <c r="C6347" t="s">
        <v>45890</v>
      </c>
      <c r="D6347">
        <v>1037022454355</v>
      </c>
      <c r="E6347">
        <v>1</v>
      </c>
      <c r="F6347">
        <v>6152674525</v>
      </c>
      <c r="G6347">
        <v>120000000</v>
      </c>
      <c r="H6347" t="s">
        <v>40293</v>
      </c>
      <c r="I6347">
        <v>48582</v>
      </c>
      <c r="J6347">
        <v>3</v>
      </c>
      <c r="K6347">
        <v>3</v>
      </c>
    </row>
    <row r="6348" spans="1:11">
      <c r="A6348">
        <v>90</v>
      </c>
      <c r="B6348" t="b">
        <v>0</v>
      </c>
      <c r="C6348" t="s">
        <v>45751</v>
      </c>
      <c r="D6348">
        <v>1037022454355</v>
      </c>
      <c r="E6348">
        <v>1</v>
      </c>
      <c r="F6348">
        <v>6155261757</v>
      </c>
      <c r="G6348">
        <v>109600000</v>
      </c>
      <c r="H6348" t="s">
        <v>40293</v>
      </c>
      <c r="I6348">
        <v>48582</v>
      </c>
      <c r="J6348">
        <v>2</v>
      </c>
      <c r="K6348">
        <v>3</v>
      </c>
    </row>
    <row r="6349" spans="1:11">
      <c r="A6349">
        <v>90</v>
      </c>
      <c r="B6349" t="b">
        <v>0</v>
      </c>
      <c r="C6349" t="s">
        <v>41015</v>
      </c>
      <c r="D6349">
        <v>1037022454355</v>
      </c>
      <c r="E6349">
        <v>1</v>
      </c>
      <c r="F6349">
        <v>6100467743</v>
      </c>
      <c r="G6349">
        <v>374000000</v>
      </c>
      <c r="H6349" t="s">
        <v>40293</v>
      </c>
      <c r="I6349">
        <v>48746</v>
      </c>
      <c r="J6349">
        <v>1</v>
      </c>
      <c r="K6349">
        <v>1</v>
      </c>
    </row>
    <row r="6350" spans="1:11">
      <c r="A6350">
        <v>90</v>
      </c>
      <c r="B6350" t="b">
        <v>0</v>
      </c>
      <c r="C6350" t="s">
        <v>45913</v>
      </c>
      <c r="D6350">
        <v>1037022454355</v>
      </c>
      <c r="E6350">
        <v>1</v>
      </c>
      <c r="F6350">
        <v>6147333607</v>
      </c>
      <c r="G6350">
        <v>369700000</v>
      </c>
      <c r="H6350" t="s">
        <v>40293</v>
      </c>
      <c r="I6350">
        <v>48746</v>
      </c>
      <c r="J6350">
        <v>2</v>
      </c>
      <c r="K6350">
        <v>2</v>
      </c>
    </row>
    <row r="6351" spans="1:11">
      <c r="A6351">
        <v>90</v>
      </c>
      <c r="B6351" t="b">
        <v>0</v>
      </c>
      <c r="C6351" t="s">
        <v>46152</v>
      </c>
      <c r="D6351">
        <v>1037022454355</v>
      </c>
      <c r="E6351">
        <v>1</v>
      </c>
      <c r="F6351">
        <v>6155692831</v>
      </c>
      <c r="G6351">
        <v>12500000</v>
      </c>
      <c r="H6351" t="s">
        <v>40293</v>
      </c>
      <c r="I6351">
        <v>49099</v>
      </c>
      <c r="J6351">
        <v>1</v>
      </c>
      <c r="K6351">
        <v>1</v>
      </c>
    </row>
    <row r="6352" spans="1:11">
      <c r="A6352">
        <v>30</v>
      </c>
      <c r="B6352" t="b">
        <v>0</v>
      </c>
      <c r="C6352" t="s">
        <v>42909</v>
      </c>
      <c r="D6352">
        <v>1037022454355</v>
      </c>
      <c r="E6352">
        <v>1</v>
      </c>
      <c r="F6352">
        <v>6146687790</v>
      </c>
      <c r="G6352">
        <v>60520000</v>
      </c>
      <c r="H6352" t="s">
        <v>40293</v>
      </c>
      <c r="I6352">
        <v>49710</v>
      </c>
      <c r="J6352">
        <v>1</v>
      </c>
      <c r="K6352">
        <v>1</v>
      </c>
    </row>
    <row r="6353" spans="1:11">
      <c r="A6353">
        <v>90</v>
      </c>
      <c r="B6353" t="b">
        <v>0</v>
      </c>
      <c r="C6353" t="s">
        <v>45918</v>
      </c>
      <c r="D6353">
        <v>1037022454355</v>
      </c>
      <c r="E6353">
        <v>1</v>
      </c>
      <c r="F6353">
        <v>6150643224</v>
      </c>
      <c r="G6353">
        <v>60280000</v>
      </c>
      <c r="H6353" t="s">
        <v>40293</v>
      </c>
      <c r="I6353">
        <v>49710</v>
      </c>
      <c r="J6353">
        <v>2</v>
      </c>
      <c r="K6353">
        <v>2</v>
      </c>
    </row>
    <row r="6354" spans="1:11">
      <c r="A6354">
        <v>90</v>
      </c>
      <c r="B6354" t="b">
        <v>0</v>
      </c>
      <c r="C6354" t="s">
        <v>46177</v>
      </c>
      <c r="D6354">
        <v>1037022454355</v>
      </c>
      <c r="E6354">
        <v>1</v>
      </c>
      <c r="F6354">
        <v>6153170054</v>
      </c>
      <c r="G6354">
        <v>58990000</v>
      </c>
      <c r="H6354" t="s">
        <v>40293</v>
      </c>
      <c r="I6354">
        <v>49710</v>
      </c>
      <c r="J6354">
        <v>1</v>
      </c>
      <c r="K6354">
        <v>1</v>
      </c>
    </row>
    <row r="6355" spans="1:11">
      <c r="A6355">
        <v>90</v>
      </c>
      <c r="B6355" t="b">
        <v>0</v>
      </c>
      <c r="C6355" t="s">
        <v>44069</v>
      </c>
      <c r="D6355">
        <v>1037022454355</v>
      </c>
      <c r="E6355">
        <v>1</v>
      </c>
      <c r="F6355">
        <v>6156583345</v>
      </c>
      <c r="G6355">
        <v>55000000</v>
      </c>
      <c r="H6355" t="s">
        <v>40293</v>
      </c>
      <c r="I6355">
        <v>49710</v>
      </c>
      <c r="J6355">
        <v>1</v>
      </c>
      <c r="K6355">
        <v>1</v>
      </c>
    </row>
    <row r="6356" spans="1:11">
      <c r="A6356">
        <v>90</v>
      </c>
      <c r="B6356" t="b">
        <v>0</v>
      </c>
      <c r="C6356" t="s">
        <v>44838</v>
      </c>
      <c r="D6356">
        <v>1037022454355</v>
      </c>
      <c r="E6356">
        <v>1</v>
      </c>
      <c r="F6356">
        <v>6146271715</v>
      </c>
      <c r="G6356">
        <v>54990000</v>
      </c>
      <c r="H6356" t="s">
        <v>40293</v>
      </c>
      <c r="I6356">
        <v>49710</v>
      </c>
      <c r="J6356">
        <v>6</v>
      </c>
      <c r="K6356">
        <v>10</v>
      </c>
    </row>
    <row r="6357" spans="1:11">
      <c r="A6357">
        <v>90</v>
      </c>
      <c r="B6357" t="b">
        <v>0</v>
      </c>
      <c r="C6357" t="s">
        <v>44947</v>
      </c>
      <c r="D6357">
        <v>1037022454355</v>
      </c>
      <c r="E6357">
        <v>1</v>
      </c>
      <c r="F6357">
        <v>6151057217</v>
      </c>
      <c r="G6357">
        <v>54000000</v>
      </c>
      <c r="H6357" t="s">
        <v>40293</v>
      </c>
      <c r="I6357">
        <v>49710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45116</v>
      </c>
      <c r="D6358">
        <v>1037022454355</v>
      </c>
      <c r="E6358">
        <v>1</v>
      </c>
      <c r="F6358">
        <v>6142539606</v>
      </c>
      <c r="G6358">
        <v>54000000</v>
      </c>
      <c r="H6358" t="s">
        <v>40293</v>
      </c>
      <c r="I6358">
        <v>49710</v>
      </c>
      <c r="J6358">
        <v>3</v>
      </c>
      <c r="K6358">
        <v>3</v>
      </c>
    </row>
    <row r="6359" spans="1:11">
      <c r="A6359">
        <v>90</v>
      </c>
      <c r="B6359" t="b">
        <v>0</v>
      </c>
      <c r="C6359" t="s">
        <v>45102</v>
      </c>
      <c r="D6359">
        <v>1037022454355</v>
      </c>
      <c r="E6359">
        <v>1</v>
      </c>
      <c r="F6359">
        <v>6142539435</v>
      </c>
      <c r="G6359">
        <v>53990000</v>
      </c>
      <c r="H6359" t="s">
        <v>40293</v>
      </c>
      <c r="I6359">
        <v>49710</v>
      </c>
      <c r="J6359">
        <v>1</v>
      </c>
      <c r="K6359">
        <v>3</v>
      </c>
    </row>
    <row r="6360" spans="1:11">
      <c r="A6360">
        <v>90</v>
      </c>
      <c r="B6360" t="b">
        <v>0</v>
      </c>
      <c r="C6360" t="s">
        <v>45081</v>
      </c>
      <c r="D6360">
        <v>1037022454355</v>
      </c>
      <c r="E6360">
        <v>1</v>
      </c>
      <c r="F6360">
        <v>6154204552</v>
      </c>
      <c r="G6360">
        <v>48000000</v>
      </c>
      <c r="H6360" t="s">
        <v>40293</v>
      </c>
      <c r="I6360">
        <v>49710</v>
      </c>
      <c r="J6360">
        <v>13</v>
      </c>
      <c r="K6360">
        <v>13</v>
      </c>
    </row>
    <row r="6361" spans="1:11">
      <c r="A6361">
        <v>90</v>
      </c>
      <c r="B6361" t="b">
        <v>0</v>
      </c>
      <c r="C6361" t="s">
        <v>44747</v>
      </c>
      <c r="D6361">
        <v>1037022454355</v>
      </c>
      <c r="E6361">
        <v>1</v>
      </c>
      <c r="F6361">
        <v>6151841125</v>
      </c>
      <c r="G6361">
        <v>47500000</v>
      </c>
      <c r="H6361" t="s">
        <v>40293</v>
      </c>
      <c r="I6361">
        <v>49710</v>
      </c>
      <c r="J6361">
        <v>1</v>
      </c>
      <c r="K6361">
        <v>1</v>
      </c>
    </row>
    <row r="6362" spans="1:11">
      <c r="A6362">
        <v>90</v>
      </c>
      <c r="B6362" t="b">
        <v>0</v>
      </c>
      <c r="C6362" t="s">
        <v>40603</v>
      </c>
      <c r="D6362">
        <v>1037022454355</v>
      </c>
      <c r="E6362">
        <v>1</v>
      </c>
      <c r="F6362">
        <v>6098153276</v>
      </c>
      <c r="G6362">
        <v>319700000</v>
      </c>
      <c r="H6362" t="s">
        <v>40293</v>
      </c>
      <c r="I6362">
        <v>49711</v>
      </c>
      <c r="J6362">
        <v>4</v>
      </c>
      <c r="K6362">
        <v>4</v>
      </c>
    </row>
    <row r="6363" spans="1:11">
      <c r="A6363">
        <v>90</v>
      </c>
      <c r="B6363" t="b">
        <v>0</v>
      </c>
      <c r="C6363" t="s">
        <v>41550</v>
      </c>
      <c r="D6363">
        <v>1037022454355</v>
      </c>
      <c r="E6363">
        <v>1</v>
      </c>
      <c r="F6363">
        <v>6111915154</v>
      </c>
      <c r="G6363">
        <v>319600000</v>
      </c>
      <c r="H6363" t="s">
        <v>40293</v>
      </c>
      <c r="I6363">
        <v>49711</v>
      </c>
      <c r="J6363">
        <v>2</v>
      </c>
      <c r="K6363">
        <v>2</v>
      </c>
    </row>
    <row r="6364" spans="1:11">
      <c r="A6364">
        <v>90</v>
      </c>
      <c r="B6364" t="b">
        <v>0</v>
      </c>
      <c r="C6364" t="s">
        <v>42019</v>
      </c>
      <c r="D6364">
        <v>1037022454355</v>
      </c>
      <c r="E6364">
        <v>1</v>
      </c>
      <c r="F6364">
        <v>6131452606</v>
      </c>
      <c r="G6364">
        <v>319400000</v>
      </c>
      <c r="H6364" t="s">
        <v>40293</v>
      </c>
      <c r="I6364">
        <v>49711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42969</v>
      </c>
      <c r="D6365">
        <v>1037022454355</v>
      </c>
      <c r="E6365">
        <v>1</v>
      </c>
      <c r="F6365">
        <v>6139447929</v>
      </c>
      <c r="G6365">
        <v>319300000</v>
      </c>
      <c r="H6365" t="s">
        <v>40293</v>
      </c>
      <c r="I6365">
        <v>49711</v>
      </c>
      <c r="J6365">
        <v>1</v>
      </c>
      <c r="K6365">
        <v>1</v>
      </c>
    </row>
    <row r="6366" spans="1:11">
      <c r="A6366">
        <v>90</v>
      </c>
      <c r="B6366" t="b">
        <v>0</v>
      </c>
      <c r="C6366" t="s">
        <v>45657</v>
      </c>
      <c r="D6366">
        <v>1037022454355</v>
      </c>
      <c r="E6366">
        <v>1</v>
      </c>
      <c r="F6366">
        <v>6152114924</v>
      </c>
      <c r="G6366">
        <v>319200000</v>
      </c>
      <c r="H6366" t="s">
        <v>40293</v>
      </c>
      <c r="I6366">
        <v>49711</v>
      </c>
      <c r="J6366">
        <v>2</v>
      </c>
      <c r="K6366">
        <v>2</v>
      </c>
    </row>
    <row r="6367" spans="1:11">
      <c r="A6367">
        <v>90</v>
      </c>
      <c r="B6367" t="b">
        <v>0</v>
      </c>
      <c r="C6367" t="s">
        <v>46067</v>
      </c>
      <c r="D6367">
        <v>1037022454355</v>
      </c>
      <c r="E6367">
        <v>1</v>
      </c>
      <c r="F6367">
        <v>6156707325</v>
      </c>
      <c r="G6367">
        <v>315100000</v>
      </c>
      <c r="H6367" t="s">
        <v>40293</v>
      </c>
      <c r="I6367">
        <v>49711</v>
      </c>
      <c r="J6367">
        <v>6</v>
      </c>
      <c r="K6367">
        <v>6</v>
      </c>
    </row>
    <row r="6368" spans="1:11">
      <c r="A6368">
        <v>90</v>
      </c>
      <c r="B6368" t="b">
        <v>0</v>
      </c>
      <c r="C6368" t="s">
        <v>42335</v>
      </c>
      <c r="D6368">
        <v>1037022454355</v>
      </c>
      <c r="E6368">
        <v>1</v>
      </c>
      <c r="F6368">
        <v>6068636646</v>
      </c>
      <c r="G6368">
        <v>109000000</v>
      </c>
      <c r="H6368" t="s">
        <v>40293</v>
      </c>
      <c r="I6368">
        <v>49712</v>
      </c>
      <c r="J6368">
        <v>1</v>
      </c>
      <c r="K6368">
        <v>1</v>
      </c>
    </row>
    <row r="6369" spans="1:11">
      <c r="A6369">
        <v>90</v>
      </c>
      <c r="B6369" t="b">
        <v>0</v>
      </c>
      <c r="C6369" t="s">
        <v>45121</v>
      </c>
      <c r="D6369">
        <v>1037022454355</v>
      </c>
      <c r="E6369">
        <v>1</v>
      </c>
      <c r="F6369">
        <v>6108657524</v>
      </c>
      <c r="G6369">
        <v>90100000</v>
      </c>
      <c r="H6369" t="s">
        <v>40293</v>
      </c>
      <c r="I6369">
        <v>49712</v>
      </c>
      <c r="J6369">
        <v>1</v>
      </c>
      <c r="K6369">
        <v>1</v>
      </c>
    </row>
    <row r="6370" spans="1:11">
      <c r="A6370">
        <v>90</v>
      </c>
      <c r="B6370" t="b">
        <v>0</v>
      </c>
      <c r="C6370" t="s">
        <v>42428</v>
      </c>
      <c r="D6370">
        <v>1037022454355</v>
      </c>
      <c r="E6370">
        <v>1</v>
      </c>
      <c r="F6370">
        <v>6067823715</v>
      </c>
      <c r="G6370">
        <v>500000000</v>
      </c>
      <c r="H6370" t="s">
        <v>40293</v>
      </c>
      <c r="I6370">
        <v>49713</v>
      </c>
      <c r="J6370">
        <v>11</v>
      </c>
      <c r="K6370">
        <v>12</v>
      </c>
    </row>
    <row r="6371" spans="1:11">
      <c r="A6371">
        <v>90</v>
      </c>
      <c r="B6371" t="b">
        <v>0</v>
      </c>
      <c r="C6371" t="s">
        <v>41272</v>
      </c>
      <c r="D6371">
        <v>1037022454355</v>
      </c>
      <c r="E6371">
        <v>1</v>
      </c>
      <c r="F6371">
        <v>6106829697</v>
      </c>
      <c r="G6371">
        <v>1500000</v>
      </c>
      <c r="H6371" t="s">
        <v>40293</v>
      </c>
      <c r="I6371">
        <v>49723</v>
      </c>
      <c r="J6371">
        <v>17</v>
      </c>
      <c r="K6371">
        <v>25</v>
      </c>
    </row>
    <row r="6372" spans="1:11">
      <c r="A6372">
        <v>90</v>
      </c>
      <c r="B6372" t="b">
        <v>0</v>
      </c>
      <c r="C6372" t="s">
        <v>40970</v>
      </c>
      <c r="D6372">
        <v>1037022454355</v>
      </c>
      <c r="E6372">
        <v>1</v>
      </c>
      <c r="F6372">
        <v>6114589838</v>
      </c>
      <c r="G6372">
        <v>1200000</v>
      </c>
      <c r="H6372" t="s">
        <v>40293</v>
      </c>
      <c r="I6372">
        <v>49727</v>
      </c>
      <c r="J6372">
        <v>4</v>
      </c>
      <c r="K6372">
        <v>4</v>
      </c>
    </row>
    <row r="6373" spans="1:11">
      <c r="A6373">
        <v>90</v>
      </c>
      <c r="B6373" t="b">
        <v>0</v>
      </c>
      <c r="C6373" t="s">
        <v>43263</v>
      </c>
      <c r="D6373">
        <v>1037022454355</v>
      </c>
      <c r="E6373">
        <v>1</v>
      </c>
      <c r="F6373">
        <v>6143748743</v>
      </c>
      <c r="G6373">
        <v>1000000</v>
      </c>
      <c r="H6373" t="s">
        <v>40293</v>
      </c>
      <c r="I6373">
        <v>49735</v>
      </c>
      <c r="J6373">
        <v>10</v>
      </c>
      <c r="K6373">
        <v>10</v>
      </c>
    </row>
    <row r="6374" spans="1:11">
      <c r="A6374">
        <v>90</v>
      </c>
      <c r="B6374" t="b">
        <v>0</v>
      </c>
      <c r="C6374" t="s">
        <v>40887</v>
      </c>
      <c r="D6374">
        <v>1037022454355</v>
      </c>
      <c r="E6374">
        <v>1</v>
      </c>
      <c r="F6374">
        <v>6100596153</v>
      </c>
      <c r="G6374">
        <v>3987000</v>
      </c>
      <c r="H6374" t="s">
        <v>40293</v>
      </c>
      <c r="I6374">
        <v>49742</v>
      </c>
      <c r="J6374">
        <v>3</v>
      </c>
      <c r="K6374">
        <v>5</v>
      </c>
    </row>
    <row r="6375" spans="1:11">
      <c r="A6375">
        <v>90</v>
      </c>
      <c r="B6375" t="b">
        <v>0</v>
      </c>
      <c r="C6375" t="s">
        <v>41654</v>
      </c>
      <c r="D6375">
        <v>1037022454355</v>
      </c>
      <c r="E6375">
        <v>1</v>
      </c>
      <c r="F6375">
        <v>6122534420</v>
      </c>
      <c r="G6375">
        <v>3987000</v>
      </c>
      <c r="H6375" t="s">
        <v>40293</v>
      </c>
      <c r="I6375">
        <v>49742</v>
      </c>
      <c r="J6375">
        <v>5</v>
      </c>
      <c r="K6375">
        <v>5</v>
      </c>
    </row>
    <row r="6376" spans="1:11">
      <c r="A6376">
        <v>90</v>
      </c>
      <c r="B6376" t="b">
        <v>0</v>
      </c>
      <c r="C6376" t="s">
        <v>45959</v>
      </c>
      <c r="D6376">
        <v>1037022454355</v>
      </c>
      <c r="E6376">
        <v>1</v>
      </c>
      <c r="F6376">
        <v>6147596323</v>
      </c>
      <c r="G6376">
        <v>666000</v>
      </c>
      <c r="H6376" t="s">
        <v>40293</v>
      </c>
      <c r="I6376">
        <v>49742</v>
      </c>
      <c r="J6376">
        <v>4</v>
      </c>
      <c r="K6376">
        <v>9</v>
      </c>
    </row>
    <row r="6377" spans="1:11">
      <c r="A6377">
        <v>90</v>
      </c>
      <c r="B6377" t="b">
        <v>0</v>
      </c>
      <c r="C6377" t="s">
        <v>41299</v>
      </c>
      <c r="D6377">
        <v>1037022454355</v>
      </c>
      <c r="E6377">
        <v>1</v>
      </c>
      <c r="F6377">
        <v>6068622627</v>
      </c>
      <c r="G6377">
        <v>7790000</v>
      </c>
      <c r="H6377" t="s">
        <v>40293</v>
      </c>
      <c r="I6377">
        <v>49743</v>
      </c>
      <c r="J6377">
        <v>5</v>
      </c>
      <c r="K6377">
        <v>9</v>
      </c>
    </row>
    <row r="6378" spans="1:11">
      <c r="A6378">
        <v>90</v>
      </c>
      <c r="B6378" t="b">
        <v>0</v>
      </c>
      <c r="C6378" t="s">
        <v>43930</v>
      </c>
      <c r="D6378">
        <v>1037022454355</v>
      </c>
      <c r="E6378">
        <v>1</v>
      </c>
      <c r="F6378">
        <v>6140099090</v>
      </c>
      <c r="G6378">
        <v>33000000</v>
      </c>
      <c r="H6378" t="s">
        <v>40293</v>
      </c>
      <c r="I6378">
        <v>49790</v>
      </c>
      <c r="J6378">
        <v>3</v>
      </c>
      <c r="K6378">
        <v>4</v>
      </c>
    </row>
    <row r="6379" spans="1:11">
      <c r="A6379">
        <v>90</v>
      </c>
      <c r="B6379" t="b">
        <v>0</v>
      </c>
      <c r="C6379" t="s">
        <v>44671</v>
      </c>
      <c r="D6379">
        <v>1037022454355</v>
      </c>
      <c r="E6379">
        <v>1</v>
      </c>
      <c r="F6379">
        <v>6155051575</v>
      </c>
      <c r="G6379">
        <v>75000000</v>
      </c>
      <c r="H6379" t="s">
        <v>40293</v>
      </c>
      <c r="I6379">
        <v>50144</v>
      </c>
      <c r="J6379">
        <v>1</v>
      </c>
      <c r="K6379">
        <v>1</v>
      </c>
    </row>
    <row r="6380" spans="1:11">
      <c r="A6380">
        <v>90</v>
      </c>
      <c r="B6380" t="b">
        <v>0</v>
      </c>
      <c r="C6380" t="s">
        <v>42818</v>
      </c>
      <c r="D6380">
        <v>1037022454355</v>
      </c>
      <c r="E6380">
        <v>1</v>
      </c>
      <c r="F6380">
        <v>6132561310</v>
      </c>
      <c r="G6380">
        <v>1000</v>
      </c>
      <c r="H6380" t="s">
        <v>40293</v>
      </c>
      <c r="I6380">
        <v>52219</v>
      </c>
      <c r="J6380">
        <v>100</v>
      </c>
      <c r="K6380">
        <v>100</v>
      </c>
    </row>
    <row r="6381" spans="1:11">
      <c r="A6381">
        <v>90</v>
      </c>
      <c r="B6381" t="b">
        <v>0</v>
      </c>
      <c r="C6381" t="s">
        <v>42827</v>
      </c>
      <c r="D6381">
        <v>1037022454355</v>
      </c>
      <c r="E6381">
        <v>1</v>
      </c>
      <c r="F6381">
        <v>6136067958</v>
      </c>
      <c r="G6381">
        <v>999</v>
      </c>
      <c r="H6381" t="s">
        <v>40293</v>
      </c>
      <c r="I6381">
        <v>52219</v>
      </c>
      <c r="J6381">
        <v>200</v>
      </c>
      <c r="K6381">
        <v>200</v>
      </c>
    </row>
    <row r="6382" spans="1:11">
      <c r="A6382">
        <v>90</v>
      </c>
      <c r="B6382" t="b">
        <v>0</v>
      </c>
      <c r="C6382" t="s">
        <v>42431</v>
      </c>
      <c r="D6382">
        <v>1037022454355</v>
      </c>
      <c r="E6382">
        <v>1</v>
      </c>
      <c r="F6382">
        <v>6137881877</v>
      </c>
      <c r="G6382">
        <v>900</v>
      </c>
      <c r="H6382" t="s">
        <v>40293</v>
      </c>
      <c r="I6382">
        <v>52219</v>
      </c>
      <c r="J6382">
        <v>100</v>
      </c>
      <c r="K6382">
        <v>100</v>
      </c>
    </row>
    <row r="6383" spans="1:11">
      <c r="A6383">
        <v>90</v>
      </c>
      <c r="B6383" t="b">
        <v>0</v>
      </c>
      <c r="C6383" t="s">
        <v>43565</v>
      </c>
      <c r="D6383">
        <v>1037022454355</v>
      </c>
      <c r="E6383">
        <v>1</v>
      </c>
      <c r="F6383">
        <v>6140382467</v>
      </c>
      <c r="G6383">
        <v>900</v>
      </c>
      <c r="H6383" t="s">
        <v>40293</v>
      </c>
      <c r="I6383">
        <v>52219</v>
      </c>
      <c r="J6383">
        <v>100</v>
      </c>
      <c r="K6383">
        <v>100</v>
      </c>
    </row>
    <row r="6384" spans="1:11">
      <c r="A6384">
        <v>90</v>
      </c>
      <c r="B6384" t="b">
        <v>0</v>
      </c>
      <c r="C6384" t="s">
        <v>42295</v>
      </c>
      <c r="D6384">
        <v>1037022454355</v>
      </c>
      <c r="E6384">
        <v>1</v>
      </c>
      <c r="F6384">
        <v>6137178884</v>
      </c>
      <c r="G6384">
        <v>900</v>
      </c>
      <c r="H6384" t="s">
        <v>40293</v>
      </c>
      <c r="I6384">
        <v>52219</v>
      </c>
      <c r="J6384">
        <v>100</v>
      </c>
      <c r="K6384">
        <v>100</v>
      </c>
    </row>
    <row r="6385" spans="1:11">
      <c r="A6385">
        <v>30</v>
      </c>
      <c r="B6385" t="b">
        <v>0</v>
      </c>
      <c r="C6385" t="s">
        <v>43330</v>
      </c>
      <c r="D6385">
        <v>1037022454355</v>
      </c>
      <c r="E6385">
        <v>1</v>
      </c>
      <c r="F6385">
        <v>6144733508</v>
      </c>
      <c r="G6385">
        <v>899.9</v>
      </c>
      <c r="H6385" t="s">
        <v>40293</v>
      </c>
      <c r="I6385">
        <v>52219</v>
      </c>
      <c r="J6385">
        <v>300</v>
      </c>
      <c r="K6385">
        <v>300</v>
      </c>
    </row>
    <row r="6386" spans="1:11">
      <c r="A6386">
        <v>90</v>
      </c>
      <c r="B6386" t="b">
        <v>0</v>
      </c>
      <c r="C6386" t="s">
        <v>40704</v>
      </c>
      <c r="D6386">
        <v>1037022454355</v>
      </c>
      <c r="E6386">
        <v>1</v>
      </c>
      <c r="F6386">
        <v>6100624243</v>
      </c>
      <c r="G6386">
        <v>2990000</v>
      </c>
      <c r="H6386" t="s">
        <v>40293</v>
      </c>
      <c r="I6386">
        <v>52224</v>
      </c>
      <c r="J6386">
        <v>105</v>
      </c>
      <c r="K6386">
        <v>150</v>
      </c>
    </row>
    <row r="6387" spans="1:11">
      <c r="A6387">
        <v>90</v>
      </c>
      <c r="B6387" t="b">
        <v>0</v>
      </c>
      <c r="C6387" t="s">
        <v>43279</v>
      </c>
      <c r="D6387">
        <v>1037022454355</v>
      </c>
      <c r="E6387">
        <v>1</v>
      </c>
      <c r="F6387">
        <v>6144220341</v>
      </c>
      <c r="G6387">
        <v>100000000</v>
      </c>
      <c r="H6387" t="s">
        <v>40293</v>
      </c>
      <c r="I6387">
        <v>52559</v>
      </c>
      <c r="J6387">
        <v>1</v>
      </c>
      <c r="K6387">
        <v>1</v>
      </c>
    </row>
    <row r="6388" spans="1:11">
      <c r="A6388">
        <v>90</v>
      </c>
      <c r="B6388" t="b">
        <v>0</v>
      </c>
      <c r="C6388" t="s">
        <v>43442</v>
      </c>
      <c r="D6388">
        <v>1037022454355</v>
      </c>
      <c r="E6388">
        <v>1</v>
      </c>
      <c r="F6388">
        <v>6147137401</v>
      </c>
      <c r="G6388">
        <v>300000</v>
      </c>
      <c r="H6388" t="s">
        <v>40293</v>
      </c>
      <c r="I6388">
        <v>52568</v>
      </c>
      <c r="J6388">
        <v>10</v>
      </c>
      <c r="K6388">
        <v>10</v>
      </c>
    </row>
    <row r="6389" spans="1:11">
      <c r="A6389">
        <v>90</v>
      </c>
      <c r="B6389" t="b">
        <v>0</v>
      </c>
      <c r="C6389" t="s">
        <v>43981</v>
      </c>
      <c r="D6389">
        <v>1037022454355</v>
      </c>
      <c r="E6389">
        <v>1</v>
      </c>
      <c r="F6389">
        <v>6138822610</v>
      </c>
      <c r="G6389">
        <v>2595000</v>
      </c>
      <c r="H6389" t="s">
        <v>40293</v>
      </c>
      <c r="I6389">
        <v>52694</v>
      </c>
      <c r="J6389">
        <v>1</v>
      </c>
      <c r="K6389">
        <v>2</v>
      </c>
    </row>
    <row r="6390" spans="1:11">
      <c r="A6390">
        <v>90</v>
      </c>
      <c r="B6390" t="b">
        <v>0</v>
      </c>
      <c r="C6390" t="s">
        <v>43098</v>
      </c>
      <c r="D6390">
        <v>1037022454355</v>
      </c>
      <c r="E6390">
        <v>1</v>
      </c>
      <c r="F6390">
        <v>6072310178</v>
      </c>
      <c r="G6390">
        <v>2594000</v>
      </c>
      <c r="H6390" t="s">
        <v>40293</v>
      </c>
      <c r="I6390">
        <v>52694</v>
      </c>
      <c r="J6390">
        <v>179</v>
      </c>
      <c r="K6390">
        <v>200</v>
      </c>
    </row>
    <row r="6391" spans="1:11">
      <c r="A6391">
        <v>90</v>
      </c>
      <c r="B6391" t="b">
        <v>0</v>
      </c>
      <c r="C6391" t="s">
        <v>41468</v>
      </c>
      <c r="D6391">
        <v>1037022454355</v>
      </c>
      <c r="E6391">
        <v>1</v>
      </c>
      <c r="F6391">
        <v>6113518670</v>
      </c>
      <c r="G6391">
        <v>3200000000</v>
      </c>
      <c r="H6391" t="s">
        <v>40293</v>
      </c>
      <c r="I6391">
        <v>52781</v>
      </c>
      <c r="J6391">
        <v>1</v>
      </c>
      <c r="K6391">
        <v>1</v>
      </c>
    </row>
    <row r="6392" spans="1:11">
      <c r="A6392">
        <v>90</v>
      </c>
      <c r="B6392" t="b">
        <v>0</v>
      </c>
      <c r="C6392" t="s">
        <v>43806</v>
      </c>
      <c r="D6392">
        <v>1037022454355</v>
      </c>
      <c r="E6392">
        <v>1</v>
      </c>
      <c r="F6392">
        <v>6145895542</v>
      </c>
      <c r="G6392">
        <v>1001</v>
      </c>
      <c r="H6392" t="s">
        <v>40293</v>
      </c>
      <c r="I6392">
        <v>53343</v>
      </c>
      <c r="J6392">
        <v>274</v>
      </c>
      <c r="K6392">
        <v>274</v>
      </c>
    </row>
    <row r="6393" spans="1:11">
      <c r="A6393">
        <v>90</v>
      </c>
      <c r="B6393" t="b">
        <v>0</v>
      </c>
      <c r="C6393" t="s">
        <v>45535</v>
      </c>
      <c r="D6393">
        <v>1037022454355</v>
      </c>
      <c r="E6393">
        <v>1</v>
      </c>
      <c r="F6393">
        <v>6150343897</v>
      </c>
      <c r="G6393">
        <v>1000</v>
      </c>
      <c r="H6393" t="s">
        <v>40293</v>
      </c>
      <c r="I6393">
        <v>53343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45706</v>
      </c>
      <c r="D6394">
        <v>1037022454355</v>
      </c>
      <c r="E6394">
        <v>1</v>
      </c>
      <c r="F6394">
        <v>6152246644</v>
      </c>
      <c r="G6394">
        <v>999.9</v>
      </c>
      <c r="H6394" t="s">
        <v>40293</v>
      </c>
      <c r="I6394">
        <v>53343</v>
      </c>
      <c r="J6394">
        <v>500</v>
      </c>
      <c r="K6394">
        <v>500</v>
      </c>
    </row>
    <row r="6395" spans="1:11">
      <c r="A6395">
        <v>90</v>
      </c>
      <c r="B6395" t="b">
        <v>0</v>
      </c>
      <c r="C6395" t="s">
        <v>45385</v>
      </c>
      <c r="D6395">
        <v>1037022454355</v>
      </c>
      <c r="E6395">
        <v>1</v>
      </c>
      <c r="F6395">
        <v>6155919613</v>
      </c>
      <c r="G6395">
        <v>999.9</v>
      </c>
      <c r="H6395" t="s">
        <v>40293</v>
      </c>
      <c r="I6395">
        <v>53343</v>
      </c>
      <c r="J6395">
        <v>174</v>
      </c>
      <c r="K6395">
        <v>174</v>
      </c>
    </row>
    <row r="6396" spans="1:11">
      <c r="A6396">
        <v>90</v>
      </c>
      <c r="B6396" t="b">
        <v>0</v>
      </c>
      <c r="C6396" t="s">
        <v>46349</v>
      </c>
      <c r="D6396">
        <v>1037022454355</v>
      </c>
      <c r="E6396">
        <v>1</v>
      </c>
      <c r="F6396">
        <v>6156121411</v>
      </c>
      <c r="G6396">
        <v>329900000</v>
      </c>
      <c r="H6396" t="s">
        <v>40293</v>
      </c>
      <c r="I6396">
        <v>53710</v>
      </c>
      <c r="J6396">
        <v>2</v>
      </c>
      <c r="K6396">
        <v>2</v>
      </c>
    </row>
    <row r="6397" spans="1:11">
      <c r="A6397">
        <v>90</v>
      </c>
      <c r="B6397" t="b">
        <v>0</v>
      </c>
      <c r="C6397" t="s">
        <v>46412</v>
      </c>
      <c r="D6397">
        <v>1037022454355</v>
      </c>
      <c r="E6397">
        <v>1</v>
      </c>
      <c r="F6397">
        <v>6153632106</v>
      </c>
      <c r="G6397">
        <v>525000000</v>
      </c>
      <c r="H6397" t="s">
        <v>40293</v>
      </c>
      <c r="I6397">
        <v>53712</v>
      </c>
      <c r="J6397">
        <v>1</v>
      </c>
      <c r="K6397">
        <v>1</v>
      </c>
    </row>
    <row r="6398" spans="1:11">
      <c r="A6398">
        <v>90</v>
      </c>
      <c r="B6398" t="b">
        <v>0</v>
      </c>
      <c r="C6398" t="s">
        <v>46349</v>
      </c>
      <c r="D6398">
        <v>1037022454355</v>
      </c>
      <c r="E6398">
        <v>1</v>
      </c>
      <c r="F6398">
        <v>6156121412</v>
      </c>
      <c r="G6398">
        <v>524900000</v>
      </c>
      <c r="H6398" t="s">
        <v>40293</v>
      </c>
      <c r="I6398">
        <v>53712</v>
      </c>
      <c r="J6398">
        <v>2</v>
      </c>
      <c r="K6398">
        <v>2</v>
      </c>
    </row>
    <row r="6399" spans="1:11">
      <c r="A6399">
        <v>90</v>
      </c>
      <c r="B6399" t="b">
        <v>0</v>
      </c>
      <c r="C6399" t="s">
        <v>46465</v>
      </c>
      <c r="D6399">
        <v>1037022454355</v>
      </c>
      <c r="E6399">
        <v>1</v>
      </c>
      <c r="F6399">
        <v>6153632723</v>
      </c>
      <c r="G6399">
        <v>725000000</v>
      </c>
      <c r="H6399" t="s">
        <v>40293</v>
      </c>
      <c r="I6399">
        <v>53713</v>
      </c>
      <c r="J6399">
        <v>2</v>
      </c>
      <c r="K6399">
        <v>2</v>
      </c>
    </row>
    <row r="6400" spans="1:11">
      <c r="A6400">
        <v>90</v>
      </c>
      <c r="B6400" t="b">
        <v>0</v>
      </c>
      <c r="C6400" t="s">
        <v>46349</v>
      </c>
      <c r="D6400">
        <v>1037022454355</v>
      </c>
      <c r="E6400">
        <v>1</v>
      </c>
      <c r="F6400">
        <v>6156121413</v>
      </c>
      <c r="G6400">
        <v>724900000</v>
      </c>
      <c r="H6400" t="s">
        <v>40293</v>
      </c>
      <c r="I6400">
        <v>53713</v>
      </c>
      <c r="J6400">
        <v>2</v>
      </c>
      <c r="K6400">
        <v>2</v>
      </c>
    </row>
    <row r="6401" spans="1:11">
      <c r="A6401">
        <v>90</v>
      </c>
      <c r="B6401" t="b">
        <v>0</v>
      </c>
      <c r="C6401" t="s">
        <v>46349</v>
      </c>
      <c r="D6401">
        <v>1037022454355</v>
      </c>
      <c r="E6401">
        <v>1</v>
      </c>
      <c r="F6401">
        <v>6156121415</v>
      </c>
      <c r="G6401">
        <v>1299000000</v>
      </c>
      <c r="H6401" t="s">
        <v>40293</v>
      </c>
      <c r="I6401">
        <v>53714</v>
      </c>
      <c r="J6401">
        <v>1</v>
      </c>
      <c r="K6401">
        <v>1</v>
      </c>
    </row>
    <row r="6402" spans="1:11">
      <c r="A6402">
        <v>90</v>
      </c>
      <c r="B6402" t="b">
        <v>0</v>
      </c>
      <c r="C6402" t="s">
        <v>46349</v>
      </c>
      <c r="D6402">
        <v>1037022454355</v>
      </c>
      <c r="E6402">
        <v>1</v>
      </c>
      <c r="F6402">
        <v>6156121414</v>
      </c>
      <c r="G6402">
        <v>499900000</v>
      </c>
      <c r="H6402" t="s">
        <v>40293</v>
      </c>
      <c r="I6402">
        <v>53715</v>
      </c>
      <c r="J6402">
        <v>2</v>
      </c>
      <c r="K6402">
        <v>2</v>
      </c>
    </row>
    <row r="6403" spans="1:11">
      <c r="A6403">
        <v>90</v>
      </c>
      <c r="B6403" t="b">
        <v>0</v>
      </c>
      <c r="C6403" t="s">
        <v>44224</v>
      </c>
      <c r="D6403">
        <v>1037022454355</v>
      </c>
      <c r="E6403">
        <v>1</v>
      </c>
      <c r="F6403">
        <v>6144428522</v>
      </c>
      <c r="G6403">
        <v>300000</v>
      </c>
      <c r="H6403" t="s">
        <v>40293</v>
      </c>
      <c r="I6403">
        <v>53977</v>
      </c>
      <c r="J6403">
        <v>55</v>
      </c>
      <c r="K6403">
        <v>60</v>
      </c>
    </row>
    <row r="6404" spans="1:11">
      <c r="A6404">
        <v>90</v>
      </c>
      <c r="B6404" t="b">
        <v>0</v>
      </c>
      <c r="C6404" t="s">
        <v>44698</v>
      </c>
      <c r="D6404">
        <v>1037022454355</v>
      </c>
      <c r="E6404">
        <v>1</v>
      </c>
      <c r="F6404">
        <v>6151283566</v>
      </c>
      <c r="G6404">
        <v>100100</v>
      </c>
      <c r="H6404" t="s">
        <v>40293</v>
      </c>
      <c r="I6404">
        <v>53977</v>
      </c>
      <c r="J6404">
        <v>1</v>
      </c>
      <c r="K6404">
        <v>8</v>
      </c>
    </row>
    <row r="6405" spans="1:11">
      <c r="A6405">
        <v>90</v>
      </c>
      <c r="B6405" t="b">
        <v>0</v>
      </c>
      <c r="C6405" t="s">
        <v>46248</v>
      </c>
      <c r="D6405">
        <v>1037022454355</v>
      </c>
      <c r="E6405">
        <v>1</v>
      </c>
      <c r="F6405">
        <v>6156841104</v>
      </c>
      <c r="G6405">
        <v>100100</v>
      </c>
      <c r="H6405" t="s">
        <v>40293</v>
      </c>
      <c r="I6405">
        <v>53977</v>
      </c>
      <c r="J6405">
        <v>20</v>
      </c>
      <c r="K6405">
        <v>20</v>
      </c>
    </row>
    <row r="6406" spans="1:11">
      <c r="A6406">
        <v>90</v>
      </c>
      <c r="B6406" t="b">
        <v>0</v>
      </c>
      <c r="C6406" t="s">
        <v>41103</v>
      </c>
      <c r="D6406">
        <v>1037022454355</v>
      </c>
      <c r="E6406">
        <v>1</v>
      </c>
      <c r="F6406">
        <v>6123276170</v>
      </c>
      <c r="G6406">
        <v>7000000</v>
      </c>
      <c r="H6406" t="s">
        <v>40293</v>
      </c>
      <c r="I6406">
        <v>53983</v>
      </c>
      <c r="J6406">
        <v>2</v>
      </c>
      <c r="K6406">
        <v>5</v>
      </c>
    </row>
    <row r="6407" spans="1:11">
      <c r="A6407">
        <v>90</v>
      </c>
      <c r="B6407" t="b">
        <v>0</v>
      </c>
      <c r="C6407" t="s">
        <v>41867</v>
      </c>
      <c r="D6407">
        <v>1037022454355</v>
      </c>
      <c r="E6407">
        <v>1</v>
      </c>
      <c r="F6407">
        <v>6127099629</v>
      </c>
      <c r="G6407">
        <v>6500000</v>
      </c>
      <c r="H6407" t="s">
        <v>40293</v>
      </c>
      <c r="I6407">
        <v>53983</v>
      </c>
      <c r="J6407">
        <v>1</v>
      </c>
      <c r="K6407">
        <v>1</v>
      </c>
    </row>
    <row r="6408" spans="1:11">
      <c r="A6408">
        <v>90</v>
      </c>
      <c r="B6408" t="b">
        <v>0</v>
      </c>
      <c r="C6408" t="s">
        <v>42105</v>
      </c>
      <c r="D6408">
        <v>1037022454355</v>
      </c>
      <c r="E6408">
        <v>1</v>
      </c>
      <c r="F6408">
        <v>6131064201</v>
      </c>
      <c r="G6408">
        <v>6499000</v>
      </c>
      <c r="H6408" t="s">
        <v>40293</v>
      </c>
      <c r="I6408">
        <v>53983</v>
      </c>
      <c r="J6408">
        <v>1</v>
      </c>
      <c r="K6408">
        <v>1</v>
      </c>
    </row>
    <row r="6409" spans="1:11">
      <c r="A6409">
        <v>90</v>
      </c>
      <c r="B6409" t="b">
        <v>0</v>
      </c>
      <c r="C6409" t="s">
        <v>42389</v>
      </c>
      <c r="D6409">
        <v>1037022454355</v>
      </c>
      <c r="E6409">
        <v>1</v>
      </c>
      <c r="F6409">
        <v>6137125481</v>
      </c>
      <c r="G6409">
        <v>2000000</v>
      </c>
      <c r="H6409" t="s">
        <v>40293</v>
      </c>
      <c r="I6409">
        <v>53983</v>
      </c>
      <c r="J6409">
        <v>1</v>
      </c>
      <c r="K6409">
        <v>1</v>
      </c>
    </row>
    <row r="6410" spans="1:11">
      <c r="A6410">
        <v>90</v>
      </c>
      <c r="B6410" t="b">
        <v>0</v>
      </c>
      <c r="C6410" t="s">
        <v>42862</v>
      </c>
      <c r="D6410">
        <v>1037022454355</v>
      </c>
      <c r="E6410">
        <v>1</v>
      </c>
      <c r="F6410">
        <v>6137183721</v>
      </c>
      <c r="G6410">
        <v>2000000</v>
      </c>
      <c r="H6410" t="s">
        <v>40293</v>
      </c>
      <c r="I6410">
        <v>53983</v>
      </c>
      <c r="J6410">
        <v>1</v>
      </c>
      <c r="K6410">
        <v>1</v>
      </c>
    </row>
    <row r="6411" spans="1:11">
      <c r="A6411">
        <v>90</v>
      </c>
      <c r="B6411" t="b">
        <v>0</v>
      </c>
      <c r="C6411" t="s">
        <v>43226</v>
      </c>
      <c r="D6411">
        <v>1037022454355</v>
      </c>
      <c r="E6411">
        <v>1</v>
      </c>
      <c r="F6411">
        <v>6147155937</v>
      </c>
      <c r="G6411">
        <v>750000</v>
      </c>
      <c r="H6411" t="s">
        <v>40293</v>
      </c>
      <c r="I6411">
        <v>53983</v>
      </c>
      <c r="J6411">
        <v>30</v>
      </c>
      <c r="K6411">
        <v>30</v>
      </c>
    </row>
    <row r="6412" spans="1:11">
      <c r="A6412">
        <v>90</v>
      </c>
      <c r="B6412" t="b">
        <v>0</v>
      </c>
      <c r="C6412" t="s">
        <v>42482</v>
      </c>
      <c r="D6412">
        <v>1037022454355</v>
      </c>
      <c r="E6412">
        <v>1</v>
      </c>
      <c r="F6412">
        <v>6137511417</v>
      </c>
      <c r="G6412">
        <v>700000</v>
      </c>
      <c r="H6412" t="s">
        <v>40293</v>
      </c>
      <c r="I6412">
        <v>53983</v>
      </c>
      <c r="J6412">
        <v>1</v>
      </c>
      <c r="K6412">
        <v>1</v>
      </c>
    </row>
    <row r="6413" spans="1:11">
      <c r="A6413">
        <v>90</v>
      </c>
      <c r="B6413" t="b">
        <v>0</v>
      </c>
      <c r="C6413" t="s">
        <v>44554</v>
      </c>
      <c r="D6413">
        <v>1037022454355</v>
      </c>
      <c r="E6413">
        <v>1</v>
      </c>
      <c r="F6413">
        <v>6151740509</v>
      </c>
      <c r="G6413">
        <v>690000</v>
      </c>
      <c r="H6413" t="s">
        <v>40293</v>
      </c>
      <c r="I6413">
        <v>53983</v>
      </c>
      <c r="J6413">
        <v>178</v>
      </c>
      <c r="K6413">
        <v>220</v>
      </c>
    </row>
    <row r="6414" spans="1:11">
      <c r="A6414">
        <v>90</v>
      </c>
      <c r="B6414" t="b">
        <v>0</v>
      </c>
      <c r="C6414" t="s">
        <v>44181</v>
      </c>
      <c r="D6414">
        <v>1037022454355</v>
      </c>
      <c r="E6414">
        <v>1</v>
      </c>
      <c r="F6414">
        <v>6157404096</v>
      </c>
      <c r="G6414">
        <v>682400</v>
      </c>
      <c r="H6414" t="s">
        <v>40293</v>
      </c>
      <c r="I6414">
        <v>53983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45168</v>
      </c>
      <c r="D6415">
        <v>1037022454355</v>
      </c>
      <c r="E6415">
        <v>1</v>
      </c>
      <c r="F6415">
        <v>6149782156</v>
      </c>
      <c r="G6415">
        <v>500000</v>
      </c>
      <c r="H6415" t="s">
        <v>40293</v>
      </c>
      <c r="I6415">
        <v>53984</v>
      </c>
      <c r="J6415">
        <v>36</v>
      </c>
      <c r="K6415">
        <v>51</v>
      </c>
    </row>
    <row r="6416" spans="1:11">
      <c r="A6416">
        <v>90</v>
      </c>
      <c r="B6416" t="b">
        <v>0</v>
      </c>
      <c r="C6416" t="s">
        <v>42156</v>
      </c>
      <c r="D6416">
        <v>1037022454355</v>
      </c>
      <c r="E6416">
        <v>1</v>
      </c>
      <c r="F6416">
        <v>6130398240</v>
      </c>
      <c r="G6416">
        <v>400000</v>
      </c>
      <c r="H6416" t="s">
        <v>40293</v>
      </c>
      <c r="I6416">
        <v>53987</v>
      </c>
      <c r="J6416">
        <v>27</v>
      </c>
      <c r="K6416">
        <v>27</v>
      </c>
    </row>
    <row r="6417" spans="1:11">
      <c r="A6417">
        <v>90</v>
      </c>
      <c r="B6417" t="b">
        <v>0</v>
      </c>
      <c r="C6417" t="s">
        <v>42074</v>
      </c>
      <c r="D6417">
        <v>1037022454355</v>
      </c>
      <c r="E6417">
        <v>1</v>
      </c>
      <c r="F6417">
        <v>6129272906</v>
      </c>
      <c r="G6417">
        <v>361600</v>
      </c>
      <c r="H6417" t="s">
        <v>40293</v>
      </c>
      <c r="I6417">
        <v>53987</v>
      </c>
      <c r="J6417">
        <v>1</v>
      </c>
      <c r="K6417">
        <v>1</v>
      </c>
    </row>
    <row r="6418" spans="1:11">
      <c r="A6418">
        <v>90</v>
      </c>
      <c r="B6418" t="b">
        <v>0</v>
      </c>
      <c r="C6418" t="s">
        <v>44262</v>
      </c>
      <c r="D6418">
        <v>1037022454355</v>
      </c>
      <c r="E6418">
        <v>1</v>
      </c>
      <c r="F6418">
        <v>6151740164</v>
      </c>
      <c r="G6418">
        <v>250000</v>
      </c>
      <c r="H6418" t="s">
        <v>40293</v>
      </c>
      <c r="I6418">
        <v>53987</v>
      </c>
      <c r="J6418">
        <v>320</v>
      </c>
      <c r="K6418">
        <v>320</v>
      </c>
    </row>
    <row r="6419" spans="1:11">
      <c r="A6419">
        <v>90</v>
      </c>
      <c r="B6419" t="b">
        <v>0</v>
      </c>
      <c r="C6419" t="s">
        <v>42276</v>
      </c>
      <c r="D6419">
        <v>1037022454355</v>
      </c>
      <c r="E6419">
        <v>1</v>
      </c>
      <c r="F6419">
        <v>6131219675</v>
      </c>
      <c r="G6419">
        <v>240000</v>
      </c>
      <c r="H6419" t="s">
        <v>40293</v>
      </c>
      <c r="I6419">
        <v>53987</v>
      </c>
      <c r="J6419">
        <v>74</v>
      </c>
      <c r="K6419">
        <v>121</v>
      </c>
    </row>
    <row r="6420" spans="1:11">
      <c r="A6420">
        <v>90</v>
      </c>
      <c r="B6420" t="b">
        <v>0</v>
      </c>
      <c r="C6420" t="s">
        <v>45141</v>
      </c>
      <c r="D6420">
        <v>1037022454355</v>
      </c>
      <c r="E6420">
        <v>1</v>
      </c>
      <c r="F6420">
        <v>6153255167</v>
      </c>
      <c r="G6420">
        <v>237700</v>
      </c>
      <c r="H6420" t="s">
        <v>40293</v>
      </c>
      <c r="I6420">
        <v>53987</v>
      </c>
      <c r="J6420">
        <v>3</v>
      </c>
      <c r="K6420">
        <v>3</v>
      </c>
    </row>
    <row r="6421" spans="1:11">
      <c r="A6421">
        <v>90</v>
      </c>
      <c r="B6421" t="b">
        <v>0</v>
      </c>
      <c r="C6421" t="s">
        <v>45733</v>
      </c>
      <c r="D6421">
        <v>1037022454355</v>
      </c>
      <c r="E6421">
        <v>1</v>
      </c>
      <c r="F6421">
        <v>6155727793</v>
      </c>
      <c r="G6421">
        <v>210000</v>
      </c>
      <c r="H6421" t="s">
        <v>40293</v>
      </c>
      <c r="I6421">
        <v>53987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40870</v>
      </c>
      <c r="D6422">
        <v>1037022454355</v>
      </c>
      <c r="E6422">
        <v>1</v>
      </c>
      <c r="F6422">
        <v>6109603247</v>
      </c>
      <c r="G6422">
        <v>24070000</v>
      </c>
      <c r="H6422" t="s">
        <v>40293</v>
      </c>
      <c r="I6422">
        <v>54165</v>
      </c>
      <c r="J6422">
        <v>10</v>
      </c>
      <c r="K6422">
        <v>10</v>
      </c>
    </row>
    <row r="6423" spans="1:11">
      <c r="A6423">
        <v>90</v>
      </c>
      <c r="B6423" t="b">
        <v>0</v>
      </c>
      <c r="C6423" t="s">
        <v>40389</v>
      </c>
      <c r="D6423">
        <v>1037022454355</v>
      </c>
      <c r="E6423">
        <v>1</v>
      </c>
      <c r="F6423">
        <v>6108711229</v>
      </c>
      <c r="G6423">
        <v>791300</v>
      </c>
      <c r="H6423" t="s">
        <v>40293</v>
      </c>
      <c r="I6423">
        <v>54291</v>
      </c>
      <c r="J6423">
        <v>8</v>
      </c>
      <c r="K6423">
        <v>10</v>
      </c>
    </row>
    <row r="6424" spans="1:11">
      <c r="A6424">
        <v>90</v>
      </c>
      <c r="B6424" t="b">
        <v>0</v>
      </c>
      <c r="C6424" t="s">
        <v>42139</v>
      </c>
      <c r="D6424">
        <v>1037022454355</v>
      </c>
      <c r="E6424">
        <v>1</v>
      </c>
      <c r="F6424">
        <v>6130081713</v>
      </c>
      <c r="G6424">
        <v>290000</v>
      </c>
      <c r="H6424" t="s">
        <v>40293</v>
      </c>
      <c r="I6424">
        <v>54291</v>
      </c>
      <c r="J6424">
        <v>88</v>
      </c>
      <c r="K6424">
        <v>102</v>
      </c>
    </row>
    <row r="6425" spans="1:11">
      <c r="A6425">
        <v>90</v>
      </c>
      <c r="B6425" t="b">
        <v>0</v>
      </c>
      <c r="C6425" t="s">
        <v>46510</v>
      </c>
      <c r="D6425">
        <v>1037022454355</v>
      </c>
      <c r="E6425">
        <v>1</v>
      </c>
      <c r="F6425">
        <v>6155337090</v>
      </c>
      <c r="G6425">
        <v>289900</v>
      </c>
      <c r="H6425" t="s">
        <v>40293</v>
      </c>
      <c r="I6425">
        <v>54291</v>
      </c>
      <c r="J6425">
        <v>7</v>
      </c>
      <c r="K6425">
        <v>10</v>
      </c>
    </row>
    <row r="6426" spans="1:11">
      <c r="A6426">
        <v>90</v>
      </c>
      <c r="B6426" t="b">
        <v>0</v>
      </c>
      <c r="C6426" t="s">
        <v>44087</v>
      </c>
      <c r="D6426">
        <v>1037022454355</v>
      </c>
      <c r="E6426">
        <v>1</v>
      </c>
      <c r="F6426">
        <v>6157369981</v>
      </c>
      <c r="G6426">
        <v>150000</v>
      </c>
      <c r="H6426" t="s">
        <v>40293</v>
      </c>
      <c r="I6426">
        <v>54291</v>
      </c>
      <c r="J6426">
        <v>639</v>
      </c>
      <c r="K6426">
        <v>640</v>
      </c>
    </row>
    <row r="6427" spans="1:11">
      <c r="A6427">
        <v>90</v>
      </c>
      <c r="B6427" t="b">
        <v>0</v>
      </c>
      <c r="C6427" t="s">
        <v>42060</v>
      </c>
      <c r="D6427">
        <v>1037022454355</v>
      </c>
      <c r="E6427">
        <v>1</v>
      </c>
      <c r="F6427">
        <v>6130080605</v>
      </c>
      <c r="G6427">
        <v>70000</v>
      </c>
      <c r="H6427" t="s">
        <v>40293</v>
      </c>
      <c r="I6427">
        <v>54292</v>
      </c>
      <c r="J6427">
        <v>93</v>
      </c>
      <c r="K6427">
        <v>105</v>
      </c>
    </row>
    <row r="6428" spans="1:11">
      <c r="A6428">
        <v>90</v>
      </c>
      <c r="B6428" t="b">
        <v>0</v>
      </c>
      <c r="C6428" t="s">
        <v>42674</v>
      </c>
      <c r="D6428">
        <v>1037022454355</v>
      </c>
      <c r="E6428">
        <v>1</v>
      </c>
      <c r="F6428">
        <v>6133732661</v>
      </c>
      <c r="G6428">
        <v>70000</v>
      </c>
      <c r="H6428" t="s">
        <v>40293</v>
      </c>
      <c r="I6428">
        <v>54292</v>
      </c>
      <c r="J6428">
        <v>40</v>
      </c>
      <c r="K6428">
        <v>40</v>
      </c>
    </row>
    <row r="6429" spans="1:11">
      <c r="A6429">
        <v>90</v>
      </c>
      <c r="B6429" t="b">
        <v>0</v>
      </c>
      <c r="C6429" t="s">
        <v>44372</v>
      </c>
      <c r="D6429">
        <v>1037022454355</v>
      </c>
      <c r="E6429">
        <v>1</v>
      </c>
      <c r="F6429">
        <v>6152295019</v>
      </c>
      <c r="G6429">
        <v>69990</v>
      </c>
      <c r="H6429" t="s">
        <v>40293</v>
      </c>
      <c r="I6429">
        <v>54292</v>
      </c>
      <c r="J6429">
        <v>1</v>
      </c>
      <c r="K6429">
        <v>2</v>
      </c>
    </row>
    <row r="6430" spans="1:11">
      <c r="A6430">
        <v>90</v>
      </c>
      <c r="B6430" t="b">
        <v>0</v>
      </c>
      <c r="C6430" t="s">
        <v>42064</v>
      </c>
      <c r="D6430">
        <v>1037022454355</v>
      </c>
      <c r="E6430">
        <v>1</v>
      </c>
      <c r="F6430">
        <v>6130080760</v>
      </c>
      <c r="G6430">
        <v>80000</v>
      </c>
      <c r="H6430" t="s">
        <v>40293</v>
      </c>
      <c r="I6430">
        <v>54293</v>
      </c>
      <c r="J6430">
        <v>99</v>
      </c>
      <c r="K6430">
        <v>99</v>
      </c>
    </row>
    <row r="6431" spans="1:11">
      <c r="A6431">
        <v>90</v>
      </c>
      <c r="B6431" t="b">
        <v>0</v>
      </c>
      <c r="C6431" t="s">
        <v>42281</v>
      </c>
      <c r="D6431">
        <v>1037022454355</v>
      </c>
      <c r="E6431">
        <v>1</v>
      </c>
      <c r="F6431">
        <v>6089604839</v>
      </c>
      <c r="G6431">
        <v>500000</v>
      </c>
      <c r="H6431" t="s">
        <v>40293</v>
      </c>
      <c r="I6431">
        <v>54294</v>
      </c>
      <c r="J6431">
        <v>1</v>
      </c>
      <c r="K6431">
        <v>1</v>
      </c>
    </row>
    <row r="6432" spans="1:11">
      <c r="A6432">
        <v>90</v>
      </c>
      <c r="B6432" t="b">
        <v>0</v>
      </c>
      <c r="C6432" t="s">
        <v>42067</v>
      </c>
      <c r="D6432">
        <v>1037022454355</v>
      </c>
      <c r="E6432">
        <v>1</v>
      </c>
      <c r="F6432">
        <v>6130081242</v>
      </c>
      <c r="G6432">
        <v>50000</v>
      </c>
      <c r="H6432" t="s">
        <v>40293</v>
      </c>
      <c r="I6432">
        <v>54294</v>
      </c>
      <c r="J6432">
        <v>66</v>
      </c>
      <c r="K6432">
        <v>66</v>
      </c>
    </row>
    <row r="6433" spans="1:11">
      <c r="A6433">
        <v>90</v>
      </c>
      <c r="B6433" t="b">
        <v>0</v>
      </c>
      <c r="C6433" t="s">
        <v>42036</v>
      </c>
      <c r="D6433">
        <v>1037022454355</v>
      </c>
      <c r="E6433">
        <v>1</v>
      </c>
      <c r="F6433">
        <v>6069786584</v>
      </c>
      <c r="G6433">
        <v>49000</v>
      </c>
      <c r="H6433" t="s">
        <v>40293</v>
      </c>
      <c r="I6433">
        <v>54294</v>
      </c>
      <c r="J6433">
        <v>1</v>
      </c>
      <c r="K6433">
        <v>1</v>
      </c>
    </row>
    <row r="6434" spans="1:11">
      <c r="A6434">
        <v>90</v>
      </c>
      <c r="B6434" t="b">
        <v>0</v>
      </c>
      <c r="C6434" t="s">
        <v>42070</v>
      </c>
      <c r="D6434">
        <v>1037022454355</v>
      </c>
      <c r="E6434">
        <v>1</v>
      </c>
      <c r="F6434">
        <v>6130082005</v>
      </c>
      <c r="G6434">
        <v>80000</v>
      </c>
      <c r="H6434" t="s">
        <v>40293</v>
      </c>
      <c r="I6434">
        <v>54295</v>
      </c>
      <c r="J6434">
        <v>96</v>
      </c>
      <c r="K6434">
        <v>99</v>
      </c>
    </row>
    <row r="6435" spans="1:11">
      <c r="A6435">
        <v>90</v>
      </c>
      <c r="B6435" t="b">
        <v>0</v>
      </c>
      <c r="C6435" t="s">
        <v>45816</v>
      </c>
      <c r="D6435">
        <v>1037022454355</v>
      </c>
      <c r="E6435">
        <v>1</v>
      </c>
      <c r="F6435">
        <v>6067739180</v>
      </c>
      <c r="G6435">
        <v>79900</v>
      </c>
      <c r="H6435" t="s">
        <v>40293</v>
      </c>
      <c r="I6435">
        <v>54295</v>
      </c>
      <c r="J6435">
        <v>8</v>
      </c>
      <c r="K6435">
        <v>20</v>
      </c>
    </row>
    <row r="6436" spans="1:11">
      <c r="A6436">
        <v>90</v>
      </c>
      <c r="B6436" t="b">
        <v>0</v>
      </c>
      <c r="C6436" t="s">
        <v>40938</v>
      </c>
      <c r="D6436">
        <v>1037022454355</v>
      </c>
      <c r="E6436">
        <v>1</v>
      </c>
      <c r="F6436">
        <v>6118980032</v>
      </c>
      <c r="G6436">
        <v>25000000</v>
      </c>
      <c r="H6436" t="s">
        <v>40293</v>
      </c>
      <c r="I6436">
        <v>54434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40651</v>
      </c>
      <c r="D6437">
        <v>1037022454355</v>
      </c>
      <c r="E6437">
        <v>1</v>
      </c>
      <c r="F6437">
        <v>6097608453</v>
      </c>
      <c r="G6437">
        <v>5000000</v>
      </c>
      <c r="H6437" t="s">
        <v>40293</v>
      </c>
      <c r="I6437">
        <v>54442</v>
      </c>
      <c r="J6437">
        <v>1</v>
      </c>
      <c r="K6437">
        <v>1</v>
      </c>
    </row>
    <row r="6438" spans="1:11">
      <c r="A6438">
        <v>30</v>
      </c>
      <c r="B6438" t="b">
        <v>0</v>
      </c>
      <c r="C6438" t="s">
        <v>43887</v>
      </c>
      <c r="D6438">
        <v>1037022454355</v>
      </c>
      <c r="E6438">
        <v>1</v>
      </c>
      <c r="F6438">
        <v>6144718211</v>
      </c>
      <c r="G6438">
        <v>100000</v>
      </c>
      <c r="H6438" t="s">
        <v>40293</v>
      </c>
      <c r="I6438">
        <v>54564</v>
      </c>
      <c r="J6438">
        <v>300</v>
      </c>
      <c r="K6438">
        <v>300</v>
      </c>
    </row>
    <row r="6439" spans="1:11">
      <c r="A6439">
        <v>90</v>
      </c>
      <c r="B6439" t="b">
        <v>0</v>
      </c>
      <c r="C6439" t="s">
        <v>42176</v>
      </c>
      <c r="D6439">
        <v>1037022454355</v>
      </c>
      <c r="E6439">
        <v>1</v>
      </c>
      <c r="F6439">
        <v>6131275402</v>
      </c>
      <c r="G6439">
        <v>75000000</v>
      </c>
      <c r="H6439" t="s">
        <v>40293</v>
      </c>
      <c r="I6439">
        <v>54742</v>
      </c>
      <c r="J6439">
        <v>1</v>
      </c>
      <c r="K6439">
        <v>1</v>
      </c>
    </row>
    <row r="6440" spans="1:11">
      <c r="A6440">
        <v>90</v>
      </c>
      <c r="B6440" t="b">
        <v>0</v>
      </c>
      <c r="C6440" t="s">
        <v>43601</v>
      </c>
      <c r="D6440">
        <v>1037022454355</v>
      </c>
      <c r="E6440">
        <v>1</v>
      </c>
      <c r="F6440">
        <v>6138417319</v>
      </c>
      <c r="G6440">
        <v>17000</v>
      </c>
      <c r="H6440" t="s">
        <v>40293</v>
      </c>
      <c r="I6440">
        <v>54774</v>
      </c>
      <c r="J6440">
        <v>1039</v>
      </c>
      <c r="K6440">
        <v>1039</v>
      </c>
    </row>
    <row r="6441" spans="1:11">
      <c r="A6441">
        <v>90</v>
      </c>
      <c r="B6441" t="b">
        <v>0</v>
      </c>
      <c r="C6441" t="s">
        <v>42914</v>
      </c>
      <c r="D6441">
        <v>1037022454355</v>
      </c>
      <c r="E6441">
        <v>1</v>
      </c>
      <c r="F6441">
        <v>6145213301</v>
      </c>
      <c r="G6441">
        <v>18350</v>
      </c>
      <c r="H6441" t="s">
        <v>40293</v>
      </c>
      <c r="I6441">
        <v>54786</v>
      </c>
      <c r="J6441">
        <v>1511</v>
      </c>
      <c r="K6441">
        <v>6510</v>
      </c>
    </row>
    <row r="6442" spans="1:11">
      <c r="A6442">
        <v>90</v>
      </c>
      <c r="B6442" t="b">
        <v>0</v>
      </c>
      <c r="C6442" t="s">
        <v>46113</v>
      </c>
      <c r="D6442">
        <v>1037022454355</v>
      </c>
      <c r="E6442">
        <v>1</v>
      </c>
      <c r="F6442">
        <v>6155571577</v>
      </c>
      <c r="G6442">
        <v>15000</v>
      </c>
      <c r="H6442" t="s">
        <v>40293</v>
      </c>
      <c r="I6442">
        <v>54786</v>
      </c>
      <c r="J6442">
        <v>1000</v>
      </c>
      <c r="K6442">
        <v>1000</v>
      </c>
    </row>
    <row r="6443" spans="1:11">
      <c r="A6443">
        <v>90</v>
      </c>
      <c r="B6443" t="b">
        <v>0</v>
      </c>
      <c r="C6443" t="s">
        <v>43021</v>
      </c>
      <c r="D6443">
        <v>1037022454355</v>
      </c>
      <c r="E6443">
        <v>1</v>
      </c>
      <c r="F6443">
        <v>6144180978</v>
      </c>
      <c r="G6443">
        <v>5000000</v>
      </c>
      <c r="H6443" t="s">
        <v>40293</v>
      </c>
      <c r="I6443">
        <v>55298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42263</v>
      </c>
      <c r="D6444">
        <v>1037022454355</v>
      </c>
      <c r="E6444">
        <v>1</v>
      </c>
      <c r="F6444">
        <v>6068009148</v>
      </c>
      <c r="G6444">
        <v>3999000</v>
      </c>
      <c r="H6444" t="s">
        <v>40293</v>
      </c>
      <c r="I6444">
        <v>55300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43736</v>
      </c>
      <c r="D6445">
        <v>1037022454355</v>
      </c>
      <c r="E6445">
        <v>1</v>
      </c>
      <c r="F6445">
        <v>6141043877</v>
      </c>
      <c r="G6445">
        <v>15000000</v>
      </c>
      <c r="H6445" t="s">
        <v>40293</v>
      </c>
      <c r="I6445">
        <v>55314</v>
      </c>
      <c r="J6445">
        <v>1</v>
      </c>
      <c r="K6445">
        <v>1</v>
      </c>
    </row>
    <row r="6446" spans="1:11">
      <c r="A6446">
        <v>90</v>
      </c>
      <c r="B6446" t="b">
        <v>0</v>
      </c>
      <c r="C6446" t="s">
        <v>42379</v>
      </c>
      <c r="D6446">
        <v>1037022454355</v>
      </c>
      <c r="E6446">
        <v>1</v>
      </c>
      <c r="F6446">
        <v>6136600812</v>
      </c>
      <c r="G6446">
        <v>15000000</v>
      </c>
      <c r="H6446" t="s">
        <v>40293</v>
      </c>
      <c r="I6446">
        <v>55315</v>
      </c>
      <c r="J6446">
        <v>1</v>
      </c>
      <c r="K6446">
        <v>1</v>
      </c>
    </row>
    <row r="6447" spans="1:11">
      <c r="A6447">
        <v>90</v>
      </c>
      <c r="B6447" t="b">
        <v>0</v>
      </c>
      <c r="C6447" t="s">
        <v>42218</v>
      </c>
      <c r="D6447">
        <v>1037022454355</v>
      </c>
      <c r="E6447">
        <v>1</v>
      </c>
      <c r="F6447">
        <v>6068005460</v>
      </c>
      <c r="G6447">
        <v>19990000</v>
      </c>
      <c r="H6447" t="s">
        <v>40293</v>
      </c>
      <c r="I6447">
        <v>55316</v>
      </c>
      <c r="J6447">
        <v>2</v>
      </c>
      <c r="K6447">
        <v>2</v>
      </c>
    </row>
    <row r="6448" spans="1:11">
      <c r="A6448">
        <v>90</v>
      </c>
      <c r="B6448" t="b">
        <v>0</v>
      </c>
      <c r="C6448" t="s">
        <v>43492</v>
      </c>
      <c r="D6448">
        <v>1037022454355</v>
      </c>
      <c r="E6448">
        <v>1</v>
      </c>
      <c r="F6448">
        <v>6125996868</v>
      </c>
      <c r="G6448">
        <v>10000000</v>
      </c>
      <c r="H6448" t="s">
        <v>40293</v>
      </c>
      <c r="I6448">
        <v>55316</v>
      </c>
      <c r="J6448">
        <v>1</v>
      </c>
      <c r="K6448">
        <v>1</v>
      </c>
    </row>
    <row r="6449" spans="1:11">
      <c r="A6449">
        <v>90</v>
      </c>
      <c r="B6449" t="b">
        <v>0</v>
      </c>
      <c r="C6449" t="s">
        <v>43686</v>
      </c>
      <c r="D6449">
        <v>1037022454355</v>
      </c>
      <c r="E6449">
        <v>1</v>
      </c>
      <c r="F6449">
        <v>6144187919</v>
      </c>
      <c r="G6449">
        <v>5000000</v>
      </c>
      <c r="H6449" t="s">
        <v>40293</v>
      </c>
      <c r="I6449">
        <v>55320</v>
      </c>
      <c r="J6449">
        <v>1</v>
      </c>
      <c r="K6449">
        <v>1</v>
      </c>
    </row>
    <row r="6450" spans="1:11">
      <c r="A6450">
        <v>90</v>
      </c>
      <c r="B6450" t="b">
        <v>0</v>
      </c>
      <c r="C6450" t="s">
        <v>42230</v>
      </c>
      <c r="D6450">
        <v>1037022454355</v>
      </c>
      <c r="E6450">
        <v>1</v>
      </c>
      <c r="F6450">
        <v>6080294716</v>
      </c>
      <c r="G6450">
        <v>30000</v>
      </c>
      <c r="H6450" t="s">
        <v>40293</v>
      </c>
      <c r="I6450">
        <v>55323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40461</v>
      </c>
      <c r="D6451">
        <v>1037022454355</v>
      </c>
      <c r="E6451">
        <v>1</v>
      </c>
      <c r="F6451">
        <v>6114971466</v>
      </c>
      <c r="G6451">
        <v>1000000</v>
      </c>
      <c r="H6451" t="s">
        <v>40293</v>
      </c>
      <c r="I6451">
        <v>55324</v>
      </c>
      <c r="J6451">
        <v>4</v>
      </c>
      <c r="K6451">
        <v>4</v>
      </c>
    </row>
    <row r="6452" spans="1:11">
      <c r="A6452">
        <v>90</v>
      </c>
      <c r="B6452" t="b">
        <v>0</v>
      </c>
      <c r="C6452" t="s">
        <v>42118</v>
      </c>
      <c r="D6452">
        <v>1037022454355</v>
      </c>
      <c r="E6452">
        <v>1</v>
      </c>
      <c r="F6452">
        <v>6098958393</v>
      </c>
      <c r="G6452">
        <v>4000000</v>
      </c>
      <c r="H6452" t="s">
        <v>40293</v>
      </c>
      <c r="I6452">
        <v>55325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43440</v>
      </c>
      <c r="D6453">
        <v>1037022454355</v>
      </c>
      <c r="E6453">
        <v>1</v>
      </c>
      <c r="F6453">
        <v>6144179389</v>
      </c>
      <c r="G6453">
        <v>10000000</v>
      </c>
      <c r="H6453" t="s">
        <v>40293</v>
      </c>
      <c r="I6453">
        <v>55330</v>
      </c>
      <c r="J6453">
        <v>1</v>
      </c>
      <c r="K6453">
        <v>1</v>
      </c>
    </row>
    <row r="6454" spans="1:11">
      <c r="A6454">
        <v>90</v>
      </c>
      <c r="B6454" t="b">
        <v>0</v>
      </c>
      <c r="C6454" t="s">
        <v>41488</v>
      </c>
      <c r="D6454">
        <v>1037022454355</v>
      </c>
      <c r="E6454">
        <v>1</v>
      </c>
      <c r="F6454">
        <v>6075639484</v>
      </c>
      <c r="G6454">
        <v>100000</v>
      </c>
      <c r="H6454" t="s">
        <v>40293</v>
      </c>
      <c r="I6454">
        <v>55332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41536</v>
      </c>
      <c r="D6455">
        <v>1037022454355</v>
      </c>
      <c r="E6455">
        <v>1</v>
      </c>
      <c r="F6455">
        <v>6103814624</v>
      </c>
      <c r="G6455">
        <v>100000</v>
      </c>
      <c r="H6455" t="s">
        <v>40293</v>
      </c>
      <c r="I6455">
        <v>55340</v>
      </c>
      <c r="J6455">
        <v>1</v>
      </c>
      <c r="K6455">
        <v>1</v>
      </c>
    </row>
    <row r="6456" spans="1:11">
      <c r="A6456">
        <v>90</v>
      </c>
      <c r="B6456" t="b">
        <v>0</v>
      </c>
      <c r="C6456" t="s">
        <v>41275</v>
      </c>
      <c r="D6456">
        <v>1037022454355</v>
      </c>
      <c r="E6456">
        <v>1</v>
      </c>
      <c r="F6456">
        <v>6078616543</v>
      </c>
      <c r="G6456">
        <v>499000</v>
      </c>
      <c r="H6456" t="s">
        <v>40293</v>
      </c>
      <c r="I6456">
        <v>55344</v>
      </c>
      <c r="J6456">
        <v>1</v>
      </c>
      <c r="K6456">
        <v>1</v>
      </c>
    </row>
    <row r="6457" spans="1:11">
      <c r="A6457">
        <v>90</v>
      </c>
      <c r="B6457" t="b">
        <v>0</v>
      </c>
      <c r="C6457" t="s">
        <v>41628</v>
      </c>
      <c r="D6457">
        <v>1037022454355</v>
      </c>
      <c r="E6457">
        <v>1</v>
      </c>
      <c r="F6457">
        <v>6068007995</v>
      </c>
      <c r="G6457">
        <v>400000</v>
      </c>
      <c r="H6457" t="s">
        <v>40293</v>
      </c>
      <c r="I6457">
        <v>55344</v>
      </c>
      <c r="J6457">
        <v>2</v>
      </c>
      <c r="K6457">
        <v>3</v>
      </c>
    </row>
    <row r="6458" spans="1:11">
      <c r="A6458">
        <v>90</v>
      </c>
      <c r="B6458" t="b">
        <v>0</v>
      </c>
      <c r="C6458" t="s">
        <v>40473</v>
      </c>
      <c r="D6458">
        <v>1037022454355</v>
      </c>
      <c r="E6458">
        <v>1</v>
      </c>
      <c r="F6458">
        <v>6104584302</v>
      </c>
      <c r="G6458">
        <v>2000000</v>
      </c>
      <c r="H6458" t="s">
        <v>40293</v>
      </c>
      <c r="I6458">
        <v>55345</v>
      </c>
      <c r="J6458">
        <v>1</v>
      </c>
      <c r="K6458">
        <v>1</v>
      </c>
    </row>
    <row r="6459" spans="1:11">
      <c r="A6459">
        <v>90</v>
      </c>
      <c r="B6459" t="b">
        <v>0</v>
      </c>
      <c r="C6459" t="s">
        <v>45195</v>
      </c>
      <c r="D6459">
        <v>1037022454355</v>
      </c>
      <c r="E6459">
        <v>1</v>
      </c>
      <c r="F6459">
        <v>6136740781</v>
      </c>
      <c r="G6459">
        <v>100</v>
      </c>
      <c r="H6459" t="s">
        <v>40293</v>
      </c>
      <c r="I6459">
        <v>55347</v>
      </c>
      <c r="J6459">
        <v>1</v>
      </c>
      <c r="K6459">
        <v>1</v>
      </c>
    </row>
    <row r="6460" spans="1:11">
      <c r="A6460">
        <v>90</v>
      </c>
      <c r="B6460" t="b">
        <v>0</v>
      </c>
      <c r="C6460" t="s">
        <v>43179</v>
      </c>
      <c r="D6460">
        <v>1037022454355</v>
      </c>
      <c r="E6460">
        <v>1</v>
      </c>
      <c r="F6460">
        <v>6138405280</v>
      </c>
      <c r="G6460">
        <v>4000000</v>
      </c>
      <c r="H6460" t="s">
        <v>40293</v>
      </c>
      <c r="I6460">
        <v>55348</v>
      </c>
      <c r="J6460">
        <v>1</v>
      </c>
      <c r="K6460">
        <v>4</v>
      </c>
    </row>
    <row r="6461" spans="1:11">
      <c r="A6461">
        <v>90</v>
      </c>
      <c r="B6461" t="b">
        <v>0</v>
      </c>
      <c r="C6461" t="s">
        <v>43184</v>
      </c>
      <c r="D6461">
        <v>1037022454355</v>
      </c>
      <c r="E6461">
        <v>1</v>
      </c>
      <c r="F6461">
        <v>6138405451</v>
      </c>
      <c r="G6461">
        <v>20000000</v>
      </c>
      <c r="H6461" t="s">
        <v>40293</v>
      </c>
      <c r="I6461">
        <v>55350</v>
      </c>
      <c r="J6461">
        <v>1</v>
      </c>
      <c r="K6461">
        <v>1</v>
      </c>
    </row>
    <row r="6462" spans="1:11">
      <c r="A6462">
        <v>90</v>
      </c>
      <c r="B6462" t="b">
        <v>0</v>
      </c>
      <c r="C6462" t="s">
        <v>40912</v>
      </c>
      <c r="D6462">
        <v>1037022454355</v>
      </c>
      <c r="E6462">
        <v>1</v>
      </c>
      <c r="F6462">
        <v>6098958182</v>
      </c>
      <c r="G6462">
        <v>2000000</v>
      </c>
      <c r="H6462" t="s">
        <v>40293</v>
      </c>
      <c r="I6462">
        <v>55351</v>
      </c>
      <c r="J6462">
        <v>3</v>
      </c>
      <c r="K6462">
        <v>3</v>
      </c>
    </row>
    <row r="6463" spans="1:11">
      <c r="A6463">
        <v>90</v>
      </c>
      <c r="B6463" t="b">
        <v>0</v>
      </c>
      <c r="C6463" t="s">
        <v>43794</v>
      </c>
      <c r="D6463">
        <v>1037022454355</v>
      </c>
      <c r="E6463">
        <v>1</v>
      </c>
      <c r="F6463">
        <v>6068005684</v>
      </c>
      <c r="G6463">
        <v>20990000</v>
      </c>
      <c r="H6463" t="s">
        <v>40293</v>
      </c>
      <c r="I6463">
        <v>55352</v>
      </c>
      <c r="J6463">
        <v>1</v>
      </c>
      <c r="K6463">
        <v>1</v>
      </c>
    </row>
    <row r="6464" spans="1:11">
      <c r="A6464">
        <v>90</v>
      </c>
      <c r="B6464" t="b">
        <v>0</v>
      </c>
      <c r="C6464" t="s">
        <v>43968</v>
      </c>
      <c r="D6464">
        <v>1037022454355</v>
      </c>
      <c r="E6464">
        <v>1</v>
      </c>
      <c r="F6464">
        <v>6139477594</v>
      </c>
      <c r="G6464">
        <v>4000000</v>
      </c>
      <c r="H6464" t="s">
        <v>40293</v>
      </c>
      <c r="I6464">
        <v>55353</v>
      </c>
      <c r="J6464">
        <v>4</v>
      </c>
      <c r="K6464">
        <v>4</v>
      </c>
    </row>
    <row r="6465" spans="1:11">
      <c r="A6465">
        <v>90</v>
      </c>
      <c r="B6465" t="b">
        <v>0</v>
      </c>
      <c r="C6465" t="s">
        <v>45019</v>
      </c>
      <c r="D6465">
        <v>1037022454355</v>
      </c>
      <c r="E6465">
        <v>1</v>
      </c>
      <c r="F6465">
        <v>6137786991</v>
      </c>
      <c r="G6465">
        <v>3000000</v>
      </c>
      <c r="H6465" t="s">
        <v>40293</v>
      </c>
      <c r="I6465">
        <v>55512</v>
      </c>
      <c r="J6465">
        <v>5</v>
      </c>
      <c r="K6465">
        <v>5</v>
      </c>
    </row>
    <row r="6466" spans="1:11">
      <c r="A6466">
        <v>90</v>
      </c>
      <c r="B6466" t="b">
        <v>0</v>
      </c>
      <c r="C6466" t="s">
        <v>42086</v>
      </c>
      <c r="D6466">
        <v>1037022454355</v>
      </c>
      <c r="E6466">
        <v>1</v>
      </c>
      <c r="F6466">
        <v>6131833805</v>
      </c>
      <c r="G6466">
        <v>20000000</v>
      </c>
      <c r="H6466" t="s">
        <v>40293</v>
      </c>
      <c r="I6466">
        <v>55513</v>
      </c>
      <c r="J6466">
        <v>1</v>
      </c>
      <c r="K6466">
        <v>1</v>
      </c>
    </row>
    <row r="6467" spans="1:11">
      <c r="A6467">
        <v>90</v>
      </c>
      <c r="B6467" t="b">
        <v>0</v>
      </c>
      <c r="C6467" t="s">
        <v>43883</v>
      </c>
      <c r="D6467">
        <v>1037022454355</v>
      </c>
      <c r="E6467">
        <v>1</v>
      </c>
      <c r="F6467">
        <v>6140359997</v>
      </c>
      <c r="G6467">
        <v>1000000</v>
      </c>
      <c r="H6467" t="s">
        <v>40293</v>
      </c>
      <c r="I6467">
        <v>55516</v>
      </c>
      <c r="J6467">
        <v>3</v>
      </c>
      <c r="K6467">
        <v>5</v>
      </c>
    </row>
    <row r="6468" spans="1:11">
      <c r="A6468">
        <v>90</v>
      </c>
      <c r="B6468" t="b">
        <v>0</v>
      </c>
      <c r="C6468" t="s">
        <v>43096</v>
      </c>
      <c r="D6468">
        <v>1037022454355</v>
      </c>
      <c r="E6468">
        <v>1</v>
      </c>
      <c r="F6468">
        <v>6142302628</v>
      </c>
      <c r="G6468">
        <v>20000000</v>
      </c>
      <c r="H6468" t="s">
        <v>40293</v>
      </c>
      <c r="I6468">
        <v>55517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42809</v>
      </c>
      <c r="D6469">
        <v>1037022454355</v>
      </c>
      <c r="E6469">
        <v>1</v>
      </c>
      <c r="F6469">
        <v>6068007758</v>
      </c>
      <c r="G6469">
        <v>20000000</v>
      </c>
      <c r="H6469" t="s">
        <v>40293</v>
      </c>
      <c r="I6469">
        <v>55520</v>
      </c>
      <c r="J6469">
        <v>1</v>
      </c>
      <c r="K6469">
        <v>1</v>
      </c>
    </row>
    <row r="6470" spans="1:11">
      <c r="A6470">
        <v>90</v>
      </c>
      <c r="B6470" t="b">
        <v>0</v>
      </c>
      <c r="C6470" t="s">
        <v>40527</v>
      </c>
      <c r="D6470">
        <v>1037022454355</v>
      </c>
      <c r="E6470">
        <v>1</v>
      </c>
      <c r="F6470">
        <v>6104585686</v>
      </c>
      <c r="G6470">
        <v>3000000</v>
      </c>
      <c r="H6470" t="s">
        <v>40293</v>
      </c>
      <c r="I6470">
        <v>55523</v>
      </c>
      <c r="J6470">
        <v>1</v>
      </c>
      <c r="K6470">
        <v>1</v>
      </c>
    </row>
    <row r="6471" spans="1:11">
      <c r="A6471">
        <v>90</v>
      </c>
      <c r="B6471" t="b">
        <v>0</v>
      </c>
      <c r="C6471" t="s">
        <v>40875</v>
      </c>
      <c r="D6471">
        <v>1037022454355</v>
      </c>
      <c r="E6471">
        <v>1</v>
      </c>
      <c r="F6471">
        <v>6103577706</v>
      </c>
      <c r="G6471">
        <v>4500000</v>
      </c>
      <c r="H6471" t="s">
        <v>40293</v>
      </c>
      <c r="I6471">
        <v>55525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43118</v>
      </c>
      <c r="D6472">
        <v>1037022454355</v>
      </c>
      <c r="E6472">
        <v>1</v>
      </c>
      <c r="F6472">
        <v>6138108746</v>
      </c>
      <c r="G6472">
        <v>4499000</v>
      </c>
      <c r="H6472" t="s">
        <v>40293</v>
      </c>
      <c r="I6472">
        <v>55525</v>
      </c>
      <c r="J6472">
        <v>4</v>
      </c>
      <c r="K6472">
        <v>4</v>
      </c>
    </row>
    <row r="6473" spans="1:11">
      <c r="A6473">
        <v>90</v>
      </c>
      <c r="B6473" t="b">
        <v>0</v>
      </c>
      <c r="C6473" t="s">
        <v>43971</v>
      </c>
      <c r="D6473">
        <v>1037022454355</v>
      </c>
      <c r="E6473">
        <v>1</v>
      </c>
      <c r="F6473">
        <v>6139477710</v>
      </c>
      <c r="G6473">
        <v>3000000</v>
      </c>
      <c r="H6473" t="s">
        <v>40293</v>
      </c>
      <c r="I6473">
        <v>55526</v>
      </c>
      <c r="J6473">
        <v>4</v>
      </c>
      <c r="K6473">
        <v>4</v>
      </c>
    </row>
    <row r="6474" spans="1:11">
      <c r="A6474">
        <v>90</v>
      </c>
      <c r="B6474" t="b">
        <v>0</v>
      </c>
      <c r="C6474" t="s">
        <v>42224</v>
      </c>
      <c r="D6474">
        <v>1037022454355</v>
      </c>
      <c r="E6474">
        <v>1</v>
      </c>
      <c r="F6474">
        <v>6068006140</v>
      </c>
      <c r="G6474">
        <v>20000000</v>
      </c>
      <c r="H6474" t="s">
        <v>40293</v>
      </c>
      <c r="I6474">
        <v>55527</v>
      </c>
      <c r="J6474">
        <v>1</v>
      </c>
      <c r="K6474">
        <v>1</v>
      </c>
    </row>
    <row r="6475" spans="1:11">
      <c r="A6475">
        <v>90</v>
      </c>
      <c r="B6475" t="b">
        <v>0</v>
      </c>
      <c r="C6475" t="s">
        <v>40881</v>
      </c>
      <c r="D6475">
        <v>1037022454355</v>
      </c>
      <c r="E6475">
        <v>1</v>
      </c>
      <c r="F6475">
        <v>6103577806</v>
      </c>
      <c r="G6475">
        <v>3300000</v>
      </c>
      <c r="H6475" t="s">
        <v>40293</v>
      </c>
      <c r="I6475">
        <v>55531</v>
      </c>
      <c r="J6475">
        <v>1</v>
      </c>
      <c r="K6475">
        <v>1</v>
      </c>
    </row>
    <row r="6476" spans="1:11">
      <c r="A6476">
        <v>90</v>
      </c>
      <c r="B6476" t="b">
        <v>0</v>
      </c>
      <c r="C6476" t="s">
        <v>43054</v>
      </c>
      <c r="D6476">
        <v>1037022454355</v>
      </c>
      <c r="E6476">
        <v>1</v>
      </c>
      <c r="F6476">
        <v>6139861206</v>
      </c>
      <c r="G6476">
        <v>2999000</v>
      </c>
      <c r="H6476" t="s">
        <v>40293</v>
      </c>
      <c r="I6476">
        <v>55531</v>
      </c>
      <c r="J6476">
        <v>2</v>
      </c>
      <c r="K6476">
        <v>3</v>
      </c>
    </row>
    <row r="6477" spans="1:11">
      <c r="A6477">
        <v>90</v>
      </c>
      <c r="B6477" t="b">
        <v>0</v>
      </c>
      <c r="C6477" t="s">
        <v>43725</v>
      </c>
      <c r="D6477">
        <v>1037022454355</v>
      </c>
      <c r="E6477">
        <v>1</v>
      </c>
      <c r="F6477">
        <v>6139863716</v>
      </c>
      <c r="G6477">
        <v>2000000</v>
      </c>
      <c r="H6477" t="s">
        <v>40293</v>
      </c>
      <c r="I6477">
        <v>55538</v>
      </c>
      <c r="J6477">
        <v>2</v>
      </c>
      <c r="K6477">
        <v>2</v>
      </c>
    </row>
    <row r="6478" spans="1:11">
      <c r="A6478">
        <v>90</v>
      </c>
      <c r="B6478" t="b">
        <v>0</v>
      </c>
      <c r="C6478" t="s">
        <v>43135</v>
      </c>
      <c r="D6478">
        <v>1037022454355</v>
      </c>
      <c r="E6478">
        <v>1</v>
      </c>
      <c r="F6478">
        <v>6138109191</v>
      </c>
      <c r="G6478">
        <v>3000000</v>
      </c>
      <c r="H6478" t="s">
        <v>40293</v>
      </c>
      <c r="I6478">
        <v>55539</v>
      </c>
      <c r="J6478">
        <v>3</v>
      </c>
      <c r="K6478">
        <v>4</v>
      </c>
    </row>
    <row r="6479" spans="1:11">
      <c r="A6479">
        <v>90</v>
      </c>
      <c r="B6479" t="b">
        <v>0</v>
      </c>
      <c r="C6479" t="s">
        <v>42405</v>
      </c>
      <c r="D6479">
        <v>1037022454355</v>
      </c>
      <c r="E6479">
        <v>1</v>
      </c>
      <c r="F6479">
        <v>6136602131</v>
      </c>
      <c r="G6479">
        <v>2000000</v>
      </c>
      <c r="H6479" t="s">
        <v>40293</v>
      </c>
      <c r="I6479">
        <v>55546</v>
      </c>
      <c r="J6479">
        <v>2</v>
      </c>
      <c r="K6479">
        <v>2</v>
      </c>
    </row>
    <row r="6480" spans="1:11">
      <c r="A6480">
        <v>90</v>
      </c>
      <c r="B6480" t="b">
        <v>0</v>
      </c>
      <c r="C6480" t="s">
        <v>43556</v>
      </c>
      <c r="D6480">
        <v>1037022454355</v>
      </c>
      <c r="E6480">
        <v>1</v>
      </c>
      <c r="F6480">
        <v>6144183184</v>
      </c>
      <c r="G6480">
        <v>10000000</v>
      </c>
      <c r="H6480" t="s">
        <v>40293</v>
      </c>
      <c r="I6480">
        <v>55550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43477</v>
      </c>
      <c r="D6481">
        <v>1037022454355</v>
      </c>
      <c r="E6481">
        <v>1</v>
      </c>
      <c r="F6481">
        <v>6139863114</v>
      </c>
      <c r="G6481">
        <v>3000000</v>
      </c>
      <c r="H6481" t="s">
        <v>40293</v>
      </c>
      <c r="I6481">
        <v>55553</v>
      </c>
      <c r="J6481">
        <v>5</v>
      </c>
      <c r="K6481">
        <v>5</v>
      </c>
    </row>
    <row r="6482" spans="1:11">
      <c r="A6482">
        <v>90</v>
      </c>
      <c r="B6482" t="b">
        <v>0</v>
      </c>
      <c r="C6482" t="s">
        <v>42222</v>
      </c>
      <c r="D6482">
        <v>1037022454355</v>
      </c>
      <c r="E6482">
        <v>1</v>
      </c>
      <c r="F6482">
        <v>6068005880</v>
      </c>
      <c r="G6482">
        <v>5000000</v>
      </c>
      <c r="H6482" t="s">
        <v>40293</v>
      </c>
      <c r="I6482">
        <v>55556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43727</v>
      </c>
      <c r="D6483">
        <v>1037022454355</v>
      </c>
      <c r="E6483">
        <v>1</v>
      </c>
      <c r="F6483">
        <v>6141043400</v>
      </c>
      <c r="G6483">
        <v>2000000</v>
      </c>
      <c r="H6483" t="s">
        <v>40293</v>
      </c>
      <c r="I6483">
        <v>55557</v>
      </c>
      <c r="J6483">
        <v>2</v>
      </c>
      <c r="K6483">
        <v>3</v>
      </c>
    </row>
    <row r="6484" spans="1:11">
      <c r="A6484">
        <v>90</v>
      </c>
      <c r="B6484" t="b">
        <v>0</v>
      </c>
      <c r="C6484" t="s">
        <v>43837</v>
      </c>
      <c r="D6484">
        <v>1037022454355</v>
      </c>
      <c r="E6484">
        <v>1</v>
      </c>
      <c r="F6484">
        <v>6141079481</v>
      </c>
      <c r="G6484">
        <v>4000000</v>
      </c>
      <c r="H6484" t="s">
        <v>40293</v>
      </c>
      <c r="I6484">
        <v>55561</v>
      </c>
      <c r="J6484">
        <v>2</v>
      </c>
      <c r="K6484">
        <v>2</v>
      </c>
    </row>
    <row r="6485" spans="1:11">
      <c r="A6485">
        <v>90</v>
      </c>
      <c r="B6485" t="b">
        <v>0</v>
      </c>
      <c r="C6485" t="s">
        <v>41292</v>
      </c>
      <c r="D6485">
        <v>1037022454355</v>
      </c>
      <c r="E6485">
        <v>1</v>
      </c>
      <c r="F6485">
        <v>6115021974</v>
      </c>
      <c r="G6485">
        <v>9500000</v>
      </c>
      <c r="H6485" t="s">
        <v>40293</v>
      </c>
      <c r="I6485">
        <v>55564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43346</v>
      </c>
      <c r="D6486">
        <v>1037022454355</v>
      </c>
      <c r="E6486">
        <v>1</v>
      </c>
      <c r="F6486">
        <v>6138770148</v>
      </c>
      <c r="G6486">
        <v>9000000</v>
      </c>
      <c r="H6486" t="s">
        <v>40293</v>
      </c>
      <c r="I6486">
        <v>55566</v>
      </c>
      <c r="J6486">
        <v>3</v>
      </c>
      <c r="K6486">
        <v>3</v>
      </c>
    </row>
    <row r="6487" spans="1:11">
      <c r="A6487">
        <v>90</v>
      </c>
      <c r="B6487" t="b">
        <v>0</v>
      </c>
      <c r="C6487" t="s">
        <v>43894</v>
      </c>
      <c r="D6487">
        <v>1037022454355</v>
      </c>
      <c r="E6487">
        <v>1</v>
      </c>
      <c r="F6487">
        <v>6140360269</v>
      </c>
      <c r="G6487">
        <v>4000000</v>
      </c>
      <c r="H6487" t="s">
        <v>40293</v>
      </c>
      <c r="I6487">
        <v>55567</v>
      </c>
      <c r="J6487">
        <v>3</v>
      </c>
      <c r="K6487">
        <v>3</v>
      </c>
    </row>
    <row r="6488" spans="1:11">
      <c r="A6488">
        <v>90</v>
      </c>
      <c r="B6488" t="b">
        <v>0</v>
      </c>
      <c r="C6488" t="s">
        <v>43721</v>
      </c>
      <c r="D6488">
        <v>1037022454355</v>
      </c>
      <c r="E6488">
        <v>1</v>
      </c>
      <c r="F6488">
        <v>6141043210</v>
      </c>
      <c r="G6488">
        <v>2000000</v>
      </c>
      <c r="H6488" t="s">
        <v>40293</v>
      </c>
      <c r="I6488">
        <v>55569</v>
      </c>
      <c r="J6488">
        <v>7</v>
      </c>
      <c r="K6488">
        <v>7</v>
      </c>
    </row>
    <row r="6489" spans="1:11">
      <c r="A6489">
        <v>90</v>
      </c>
      <c r="B6489" t="b">
        <v>0</v>
      </c>
      <c r="C6489" t="s">
        <v>40568</v>
      </c>
      <c r="D6489">
        <v>1037022454355</v>
      </c>
      <c r="E6489">
        <v>1</v>
      </c>
      <c r="F6489">
        <v>6104586406</v>
      </c>
      <c r="G6489">
        <v>3000000</v>
      </c>
      <c r="H6489" t="s">
        <v>40293</v>
      </c>
      <c r="I6489">
        <v>55573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42382</v>
      </c>
      <c r="D6490">
        <v>1037022454355</v>
      </c>
      <c r="E6490">
        <v>1</v>
      </c>
      <c r="F6490">
        <v>6136600924</v>
      </c>
      <c r="G6490">
        <v>1000000</v>
      </c>
      <c r="H6490" t="s">
        <v>40293</v>
      </c>
      <c r="I6490">
        <v>55576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40411</v>
      </c>
      <c r="D6491">
        <v>1037022454355</v>
      </c>
      <c r="E6491">
        <v>1</v>
      </c>
      <c r="F6491">
        <v>6104582991</v>
      </c>
      <c r="G6491">
        <v>1000000</v>
      </c>
      <c r="H6491" t="s">
        <v>40293</v>
      </c>
      <c r="I6491">
        <v>55577</v>
      </c>
      <c r="J6491">
        <v>1</v>
      </c>
      <c r="K6491">
        <v>2</v>
      </c>
    </row>
    <row r="6492" spans="1:11">
      <c r="A6492">
        <v>90</v>
      </c>
      <c r="B6492" t="b">
        <v>0</v>
      </c>
      <c r="C6492" t="s">
        <v>40433</v>
      </c>
      <c r="D6492">
        <v>1037022454355</v>
      </c>
      <c r="E6492">
        <v>1</v>
      </c>
      <c r="F6492">
        <v>6104583614</v>
      </c>
      <c r="G6492">
        <v>4000000</v>
      </c>
      <c r="H6492" t="s">
        <v>40293</v>
      </c>
      <c r="I6492">
        <v>55579</v>
      </c>
      <c r="J6492">
        <v>1</v>
      </c>
      <c r="K6492">
        <v>1</v>
      </c>
    </row>
    <row r="6493" spans="1:11">
      <c r="A6493">
        <v>90</v>
      </c>
      <c r="B6493" t="b">
        <v>0</v>
      </c>
      <c r="C6493" t="s">
        <v>42238</v>
      </c>
      <c r="D6493">
        <v>1037022454355</v>
      </c>
      <c r="E6493">
        <v>1</v>
      </c>
      <c r="F6493">
        <v>6068007339</v>
      </c>
      <c r="G6493">
        <v>3999000</v>
      </c>
      <c r="H6493" t="s">
        <v>40293</v>
      </c>
      <c r="I6493">
        <v>55580</v>
      </c>
      <c r="J6493">
        <v>2</v>
      </c>
      <c r="K6493">
        <v>2</v>
      </c>
    </row>
    <row r="6494" spans="1:11">
      <c r="A6494">
        <v>90</v>
      </c>
      <c r="B6494" t="b">
        <v>0</v>
      </c>
      <c r="C6494" t="s">
        <v>43229</v>
      </c>
      <c r="D6494">
        <v>1037022454355</v>
      </c>
      <c r="E6494">
        <v>1</v>
      </c>
      <c r="F6494">
        <v>6142339141</v>
      </c>
      <c r="G6494">
        <v>2000000</v>
      </c>
      <c r="H6494" t="s">
        <v>40293</v>
      </c>
      <c r="I6494">
        <v>55582</v>
      </c>
      <c r="J6494">
        <v>1</v>
      </c>
      <c r="K6494">
        <v>2</v>
      </c>
    </row>
    <row r="6495" spans="1:11">
      <c r="A6495">
        <v>90</v>
      </c>
      <c r="B6495" t="b">
        <v>0</v>
      </c>
      <c r="C6495" t="s">
        <v>44632</v>
      </c>
      <c r="D6495">
        <v>1037022454355</v>
      </c>
      <c r="E6495">
        <v>1</v>
      </c>
      <c r="F6495">
        <v>6156296348</v>
      </c>
      <c r="G6495">
        <v>8000000</v>
      </c>
      <c r="H6495" t="s">
        <v>40293</v>
      </c>
      <c r="I6495">
        <v>55584</v>
      </c>
      <c r="J6495">
        <v>2</v>
      </c>
      <c r="K6495">
        <v>2</v>
      </c>
    </row>
    <row r="6496" spans="1:11">
      <c r="A6496">
        <v>90</v>
      </c>
      <c r="B6496" t="b">
        <v>0</v>
      </c>
      <c r="C6496" t="s">
        <v>43400</v>
      </c>
      <c r="D6496">
        <v>1037022454355</v>
      </c>
      <c r="E6496">
        <v>1</v>
      </c>
      <c r="F6496">
        <v>6139862736</v>
      </c>
      <c r="G6496">
        <v>2000000</v>
      </c>
      <c r="H6496" t="s">
        <v>40293</v>
      </c>
      <c r="I6496">
        <v>55587</v>
      </c>
      <c r="J6496">
        <v>3</v>
      </c>
      <c r="K6496">
        <v>4</v>
      </c>
    </row>
    <row r="6497" spans="1:11">
      <c r="A6497">
        <v>90</v>
      </c>
      <c r="B6497" t="b">
        <v>0</v>
      </c>
      <c r="C6497" t="s">
        <v>43825</v>
      </c>
      <c r="D6497">
        <v>1037022454355</v>
      </c>
      <c r="E6497">
        <v>1</v>
      </c>
      <c r="F6497">
        <v>6141079049</v>
      </c>
      <c r="G6497">
        <v>3000000</v>
      </c>
      <c r="H6497" t="s">
        <v>40293</v>
      </c>
      <c r="I6497">
        <v>55588</v>
      </c>
      <c r="J6497">
        <v>2</v>
      </c>
      <c r="K6497">
        <v>2</v>
      </c>
    </row>
    <row r="6498" spans="1:11">
      <c r="A6498">
        <v>90</v>
      </c>
      <c r="B6498" t="b">
        <v>0</v>
      </c>
      <c r="C6498" t="s">
        <v>43675</v>
      </c>
      <c r="D6498">
        <v>1037022454355</v>
      </c>
      <c r="E6498">
        <v>1</v>
      </c>
      <c r="F6498">
        <v>6139862186</v>
      </c>
      <c r="G6498">
        <v>2000000</v>
      </c>
      <c r="H6498" t="s">
        <v>40293</v>
      </c>
      <c r="I6498">
        <v>55589</v>
      </c>
      <c r="J6498">
        <v>5</v>
      </c>
      <c r="K6498">
        <v>5</v>
      </c>
    </row>
    <row r="6499" spans="1:11">
      <c r="A6499">
        <v>90</v>
      </c>
      <c r="B6499" t="b">
        <v>0</v>
      </c>
      <c r="C6499" t="s">
        <v>40680</v>
      </c>
      <c r="D6499">
        <v>1037022454355</v>
      </c>
      <c r="E6499">
        <v>1</v>
      </c>
      <c r="F6499">
        <v>6096855431</v>
      </c>
      <c r="G6499">
        <v>20000000</v>
      </c>
      <c r="H6499" t="s">
        <v>40293</v>
      </c>
      <c r="I6499">
        <v>55590</v>
      </c>
      <c r="J6499">
        <v>1</v>
      </c>
      <c r="K6499">
        <v>1</v>
      </c>
    </row>
    <row r="6500" spans="1:11">
      <c r="A6500">
        <v>90</v>
      </c>
      <c r="B6500" t="b">
        <v>0</v>
      </c>
      <c r="C6500" t="s">
        <v>42409</v>
      </c>
      <c r="D6500">
        <v>1037022454355</v>
      </c>
      <c r="E6500">
        <v>1</v>
      </c>
      <c r="F6500">
        <v>6136602458</v>
      </c>
      <c r="G6500">
        <v>19990000</v>
      </c>
      <c r="H6500" t="s">
        <v>40293</v>
      </c>
      <c r="I6500">
        <v>55590</v>
      </c>
      <c r="J6500">
        <v>1</v>
      </c>
      <c r="K6500">
        <v>1</v>
      </c>
    </row>
    <row r="6501" spans="1:11">
      <c r="A6501">
        <v>90</v>
      </c>
      <c r="B6501" t="b">
        <v>0</v>
      </c>
      <c r="C6501" t="s">
        <v>43587</v>
      </c>
      <c r="D6501">
        <v>1037022454355</v>
      </c>
      <c r="E6501">
        <v>1</v>
      </c>
      <c r="F6501">
        <v>6098964288</v>
      </c>
      <c r="G6501">
        <v>15000000</v>
      </c>
      <c r="H6501" t="s">
        <v>40293</v>
      </c>
      <c r="I6501">
        <v>55591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43113</v>
      </c>
      <c r="D6502">
        <v>1037022454355</v>
      </c>
      <c r="E6502">
        <v>1</v>
      </c>
      <c r="F6502">
        <v>6142302930</v>
      </c>
      <c r="G6502">
        <v>14000000</v>
      </c>
      <c r="H6502" t="s">
        <v>40293</v>
      </c>
      <c r="I6502">
        <v>55592</v>
      </c>
      <c r="J6502">
        <v>1</v>
      </c>
      <c r="K6502">
        <v>1</v>
      </c>
    </row>
    <row r="6503" spans="1:11">
      <c r="A6503">
        <v>90</v>
      </c>
      <c r="B6503" t="b">
        <v>0</v>
      </c>
      <c r="C6503" t="s">
        <v>41390</v>
      </c>
      <c r="D6503">
        <v>1037022454355</v>
      </c>
      <c r="E6503">
        <v>1</v>
      </c>
      <c r="F6503">
        <v>6104584027</v>
      </c>
      <c r="G6503">
        <v>499900</v>
      </c>
      <c r="H6503" t="s">
        <v>40293</v>
      </c>
      <c r="I6503">
        <v>55594</v>
      </c>
      <c r="J6503">
        <v>1</v>
      </c>
      <c r="K6503">
        <v>1</v>
      </c>
    </row>
    <row r="6504" spans="1:11">
      <c r="A6504">
        <v>90</v>
      </c>
      <c r="B6504" t="b">
        <v>0</v>
      </c>
      <c r="C6504" t="s">
        <v>43557</v>
      </c>
      <c r="D6504">
        <v>1037022454355</v>
      </c>
      <c r="E6504">
        <v>1</v>
      </c>
      <c r="F6504">
        <v>6139863543</v>
      </c>
      <c r="G6504">
        <v>2000000</v>
      </c>
      <c r="H6504" t="s">
        <v>40293</v>
      </c>
      <c r="I6504">
        <v>55599</v>
      </c>
      <c r="J6504">
        <v>4</v>
      </c>
      <c r="K6504">
        <v>5</v>
      </c>
    </row>
    <row r="6505" spans="1:11">
      <c r="A6505">
        <v>90</v>
      </c>
      <c r="B6505" t="b">
        <v>0</v>
      </c>
      <c r="C6505" t="s">
        <v>43748</v>
      </c>
      <c r="D6505">
        <v>1037022454355</v>
      </c>
      <c r="E6505">
        <v>1</v>
      </c>
      <c r="F6505">
        <v>6139864386</v>
      </c>
      <c r="G6505">
        <v>2000000</v>
      </c>
      <c r="H6505" t="s">
        <v>40293</v>
      </c>
      <c r="I6505">
        <v>55600</v>
      </c>
      <c r="J6505">
        <v>4</v>
      </c>
      <c r="K6505">
        <v>4</v>
      </c>
    </row>
    <row r="6506" spans="1:11">
      <c r="A6506">
        <v>90</v>
      </c>
      <c r="B6506" t="b">
        <v>0</v>
      </c>
      <c r="C6506" t="s">
        <v>44659</v>
      </c>
      <c r="D6506">
        <v>1037022454355</v>
      </c>
      <c r="E6506">
        <v>1</v>
      </c>
      <c r="F6506">
        <v>6156296590</v>
      </c>
      <c r="G6506">
        <v>2000000</v>
      </c>
      <c r="H6506" t="s">
        <v>40293</v>
      </c>
      <c r="I6506">
        <v>55603</v>
      </c>
      <c r="J6506">
        <v>4</v>
      </c>
      <c r="K6506">
        <v>4</v>
      </c>
    </row>
    <row r="6507" spans="1:11">
      <c r="A6507">
        <v>90</v>
      </c>
      <c r="B6507" t="b">
        <v>0</v>
      </c>
      <c r="C6507" t="s">
        <v>43448</v>
      </c>
      <c r="D6507">
        <v>1037022454355</v>
      </c>
      <c r="E6507">
        <v>1</v>
      </c>
      <c r="F6507">
        <v>6144179565</v>
      </c>
      <c r="G6507">
        <v>10000000</v>
      </c>
      <c r="H6507" t="s">
        <v>40293</v>
      </c>
      <c r="I6507">
        <v>55604</v>
      </c>
      <c r="J6507">
        <v>1</v>
      </c>
      <c r="K6507">
        <v>1</v>
      </c>
    </row>
    <row r="6508" spans="1:11">
      <c r="A6508">
        <v>90</v>
      </c>
      <c r="B6508" t="b">
        <v>0</v>
      </c>
      <c r="C6508" t="s">
        <v>41099</v>
      </c>
      <c r="D6508">
        <v>1037022454355</v>
      </c>
      <c r="E6508">
        <v>1</v>
      </c>
      <c r="F6508">
        <v>6104467230</v>
      </c>
      <c r="G6508">
        <v>100000</v>
      </c>
      <c r="H6508" t="s">
        <v>40293</v>
      </c>
      <c r="I6508">
        <v>55606</v>
      </c>
      <c r="J6508">
        <v>1</v>
      </c>
      <c r="K6508">
        <v>1</v>
      </c>
    </row>
    <row r="6509" spans="1:11">
      <c r="A6509">
        <v>90</v>
      </c>
      <c r="B6509" t="b">
        <v>0</v>
      </c>
      <c r="C6509" t="s">
        <v>43476</v>
      </c>
      <c r="D6509">
        <v>1037022454355</v>
      </c>
      <c r="E6509">
        <v>1</v>
      </c>
      <c r="F6509">
        <v>6104582895</v>
      </c>
      <c r="G6509">
        <v>3000000</v>
      </c>
      <c r="H6509" t="s">
        <v>40293</v>
      </c>
      <c r="I6509">
        <v>55607</v>
      </c>
      <c r="J6509">
        <v>2</v>
      </c>
      <c r="K6509">
        <v>2</v>
      </c>
    </row>
    <row r="6510" spans="1:11">
      <c r="A6510">
        <v>90</v>
      </c>
      <c r="B6510" t="b">
        <v>0</v>
      </c>
      <c r="C6510" t="s">
        <v>43050</v>
      </c>
      <c r="D6510">
        <v>1037022454355</v>
      </c>
      <c r="E6510">
        <v>1</v>
      </c>
      <c r="F6510">
        <v>6104585403</v>
      </c>
      <c r="G6510">
        <v>2000000</v>
      </c>
      <c r="H6510" t="s">
        <v>40293</v>
      </c>
      <c r="I6510">
        <v>55615</v>
      </c>
      <c r="J6510">
        <v>3</v>
      </c>
      <c r="K6510">
        <v>3</v>
      </c>
    </row>
    <row r="6511" spans="1:11">
      <c r="A6511">
        <v>90</v>
      </c>
      <c r="B6511" t="b">
        <v>0</v>
      </c>
      <c r="C6511" t="s">
        <v>43567</v>
      </c>
      <c r="D6511">
        <v>1037022454355</v>
      </c>
      <c r="E6511">
        <v>1</v>
      </c>
      <c r="F6511">
        <v>6144183631</v>
      </c>
      <c r="G6511">
        <v>5000000</v>
      </c>
      <c r="H6511" t="s">
        <v>40293</v>
      </c>
      <c r="I6511">
        <v>55617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42386</v>
      </c>
      <c r="D6512">
        <v>1037022454355</v>
      </c>
      <c r="E6512">
        <v>1</v>
      </c>
      <c r="F6512">
        <v>6136601095</v>
      </c>
      <c r="G6512">
        <v>15000000</v>
      </c>
      <c r="H6512" t="s">
        <v>40293</v>
      </c>
      <c r="I6512">
        <v>55625</v>
      </c>
      <c r="J6512">
        <v>1</v>
      </c>
      <c r="K6512">
        <v>1</v>
      </c>
    </row>
    <row r="6513" spans="1:11">
      <c r="A6513">
        <v>90</v>
      </c>
      <c r="B6513" t="b">
        <v>0</v>
      </c>
      <c r="C6513" t="s">
        <v>45588</v>
      </c>
      <c r="D6513">
        <v>1037022454355</v>
      </c>
      <c r="E6513">
        <v>1</v>
      </c>
      <c r="F6513">
        <v>6156296210</v>
      </c>
      <c r="G6513">
        <v>7000000</v>
      </c>
      <c r="H6513" t="s">
        <v>40293</v>
      </c>
      <c r="I6513">
        <v>55626</v>
      </c>
      <c r="J6513">
        <v>2</v>
      </c>
      <c r="K6513">
        <v>2</v>
      </c>
    </row>
    <row r="6514" spans="1:11">
      <c r="A6514">
        <v>90</v>
      </c>
      <c r="B6514" t="b">
        <v>0</v>
      </c>
      <c r="C6514" t="s">
        <v>44555</v>
      </c>
      <c r="D6514">
        <v>1037022454355</v>
      </c>
      <c r="E6514">
        <v>1</v>
      </c>
      <c r="F6514">
        <v>6154034272</v>
      </c>
      <c r="G6514">
        <v>3000000</v>
      </c>
      <c r="H6514" t="s">
        <v>40293</v>
      </c>
      <c r="I6514">
        <v>55626</v>
      </c>
      <c r="J6514">
        <v>1</v>
      </c>
      <c r="K6514">
        <v>1</v>
      </c>
    </row>
    <row r="6515" spans="1:11">
      <c r="A6515">
        <v>90</v>
      </c>
      <c r="B6515" t="b">
        <v>0</v>
      </c>
      <c r="C6515" t="s">
        <v>42254</v>
      </c>
      <c r="D6515">
        <v>1037022454355</v>
      </c>
      <c r="E6515">
        <v>1</v>
      </c>
      <c r="F6515">
        <v>6068008548</v>
      </c>
      <c r="G6515">
        <v>4000000</v>
      </c>
      <c r="H6515" t="s">
        <v>40293</v>
      </c>
      <c r="I6515">
        <v>55632</v>
      </c>
      <c r="J6515">
        <v>1</v>
      </c>
      <c r="K6515">
        <v>1</v>
      </c>
    </row>
    <row r="6516" spans="1:11">
      <c r="A6516">
        <v>90</v>
      </c>
      <c r="B6516" t="b">
        <v>0</v>
      </c>
      <c r="C6516" t="s">
        <v>41104</v>
      </c>
      <c r="D6516">
        <v>1037022454355</v>
      </c>
      <c r="E6516">
        <v>1</v>
      </c>
      <c r="F6516">
        <v>6104467348</v>
      </c>
      <c r="G6516">
        <v>100000</v>
      </c>
      <c r="H6516" t="s">
        <v>40293</v>
      </c>
      <c r="I6516">
        <v>55639</v>
      </c>
      <c r="J6516">
        <v>1</v>
      </c>
      <c r="K6516">
        <v>1</v>
      </c>
    </row>
    <row r="6517" spans="1:11">
      <c r="A6517">
        <v>90</v>
      </c>
      <c r="B6517" t="b">
        <v>0</v>
      </c>
      <c r="C6517" t="s">
        <v>40341</v>
      </c>
      <c r="D6517">
        <v>1037022454355</v>
      </c>
      <c r="E6517">
        <v>1</v>
      </c>
      <c r="F6517">
        <v>6099830008</v>
      </c>
      <c r="G6517">
        <v>100000</v>
      </c>
      <c r="H6517" t="s">
        <v>40293</v>
      </c>
      <c r="I6517">
        <v>55641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41089</v>
      </c>
      <c r="D6518">
        <v>1037022454355</v>
      </c>
      <c r="E6518">
        <v>1</v>
      </c>
      <c r="F6518">
        <v>6095479059</v>
      </c>
      <c r="G6518">
        <v>100000</v>
      </c>
      <c r="H6518" t="s">
        <v>40293</v>
      </c>
      <c r="I6518">
        <v>55641</v>
      </c>
      <c r="J6518">
        <v>1</v>
      </c>
      <c r="K6518">
        <v>1</v>
      </c>
    </row>
    <row r="6519" spans="1:11">
      <c r="A6519">
        <v>90</v>
      </c>
      <c r="B6519" t="b">
        <v>0</v>
      </c>
      <c r="C6519" t="s">
        <v>41287</v>
      </c>
      <c r="D6519">
        <v>1037022454355</v>
      </c>
      <c r="E6519">
        <v>1</v>
      </c>
      <c r="F6519">
        <v>6078616656</v>
      </c>
      <c r="G6519">
        <v>99000</v>
      </c>
      <c r="H6519" t="s">
        <v>40293</v>
      </c>
      <c r="I6519">
        <v>55643</v>
      </c>
      <c r="J6519">
        <v>2</v>
      </c>
      <c r="K6519">
        <v>2</v>
      </c>
    </row>
    <row r="6520" spans="1:11">
      <c r="A6520">
        <v>90</v>
      </c>
      <c r="B6520" t="b">
        <v>0</v>
      </c>
      <c r="C6520" t="s">
        <v>40508</v>
      </c>
      <c r="D6520">
        <v>1037022454355</v>
      </c>
      <c r="E6520">
        <v>1</v>
      </c>
      <c r="F6520">
        <v>6080959433</v>
      </c>
      <c r="G6520">
        <v>90000</v>
      </c>
      <c r="H6520" t="s">
        <v>40293</v>
      </c>
      <c r="I6520">
        <v>55643</v>
      </c>
      <c r="J6520">
        <v>1</v>
      </c>
      <c r="K6520">
        <v>1</v>
      </c>
    </row>
    <row r="6521" spans="1:11">
      <c r="A6521">
        <v>90</v>
      </c>
      <c r="B6521" t="b">
        <v>0</v>
      </c>
      <c r="C6521" t="s">
        <v>41215</v>
      </c>
      <c r="D6521">
        <v>1037022454355</v>
      </c>
      <c r="E6521">
        <v>1</v>
      </c>
      <c r="F6521">
        <v>6098964483</v>
      </c>
      <c r="G6521">
        <v>1000000</v>
      </c>
      <c r="H6521" t="s">
        <v>40293</v>
      </c>
      <c r="I6521">
        <v>55645</v>
      </c>
      <c r="J6521">
        <v>2</v>
      </c>
      <c r="K6521">
        <v>2</v>
      </c>
    </row>
    <row r="6522" spans="1:11">
      <c r="A6522">
        <v>90</v>
      </c>
      <c r="B6522" t="b">
        <v>0</v>
      </c>
      <c r="C6522" t="s">
        <v>41254</v>
      </c>
      <c r="D6522">
        <v>1037022454355</v>
      </c>
      <c r="E6522">
        <v>1</v>
      </c>
      <c r="F6522">
        <v>6103814710</v>
      </c>
      <c r="G6522">
        <v>999000</v>
      </c>
      <c r="H6522" t="s">
        <v>40293</v>
      </c>
      <c r="I6522">
        <v>55645</v>
      </c>
      <c r="J6522">
        <v>2</v>
      </c>
      <c r="K6522">
        <v>2</v>
      </c>
    </row>
    <row r="6523" spans="1:11">
      <c r="A6523">
        <v>90</v>
      </c>
      <c r="B6523" t="b">
        <v>0</v>
      </c>
      <c r="C6523" t="s">
        <v>41911</v>
      </c>
      <c r="D6523">
        <v>1037022454355</v>
      </c>
      <c r="E6523">
        <v>1</v>
      </c>
      <c r="F6523">
        <v>6127045803</v>
      </c>
      <c r="G6523">
        <v>350000</v>
      </c>
      <c r="H6523" t="s">
        <v>40293</v>
      </c>
      <c r="I6523">
        <v>55645</v>
      </c>
      <c r="J6523">
        <v>39</v>
      </c>
      <c r="K6523">
        <v>39</v>
      </c>
    </row>
    <row r="6524" spans="1:11">
      <c r="A6524">
        <v>90</v>
      </c>
      <c r="B6524" t="b">
        <v>0</v>
      </c>
      <c r="C6524" t="s">
        <v>41914</v>
      </c>
      <c r="D6524">
        <v>1037022454355</v>
      </c>
      <c r="E6524">
        <v>1</v>
      </c>
      <c r="F6524">
        <v>6127045867</v>
      </c>
      <c r="G6524">
        <v>1250000</v>
      </c>
      <c r="H6524" t="s">
        <v>40293</v>
      </c>
      <c r="I6524">
        <v>55649</v>
      </c>
      <c r="J6524">
        <v>37</v>
      </c>
      <c r="K6524">
        <v>37</v>
      </c>
    </row>
    <row r="6525" spans="1:11">
      <c r="A6525">
        <v>90</v>
      </c>
      <c r="B6525" t="b">
        <v>0</v>
      </c>
      <c r="C6525" t="s">
        <v>41195</v>
      </c>
      <c r="D6525">
        <v>1037022454355</v>
      </c>
      <c r="E6525">
        <v>1</v>
      </c>
      <c r="F6525">
        <v>6098964026</v>
      </c>
      <c r="G6525">
        <v>3000000</v>
      </c>
      <c r="H6525" t="s">
        <v>40293</v>
      </c>
      <c r="I6525">
        <v>55650</v>
      </c>
      <c r="J6525">
        <v>3</v>
      </c>
      <c r="K6525">
        <v>4</v>
      </c>
    </row>
    <row r="6526" spans="1:11">
      <c r="A6526">
        <v>90</v>
      </c>
      <c r="B6526" t="b">
        <v>0</v>
      </c>
      <c r="C6526" t="s">
        <v>43117</v>
      </c>
      <c r="D6526">
        <v>1037022454355</v>
      </c>
      <c r="E6526">
        <v>1</v>
      </c>
      <c r="F6526">
        <v>6142303039</v>
      </c>
      <c r="G6526">
        <v>12000000</v>
      </c>
      <c r="H6526" t="s">
        <v>40293</v>
      </c>
      <c r="I6526">
        <v>55653</v>
      </c>
      <c r="J6526">
        <v>1</v>
      </c>
      <c r="K6526">
        <v>1</v>
      </c>
    </row>
    <row r="6527" spans="1:11">
      <c r="A6527">
        <v>90</v>
      </c>
      <c r="B6527" t="b">
        <v>0</v>
      </c>
      <c r="C6527" t="s">
        <v>42270</v>
      </c>
      <c r="D6527">
        <v>1037022454355</v>
      </c>
      <c r="E6527">
        <v>1</v>
      </c>
      <c r="F6527">
        <v>6068009742</v>
      </c>
      <c r="G6527">
        <v>1999000</v>
      </c>
      <c r="H6527" t="s">
        <v>40293</v>
      </c>
      <c r="I6527">
        <v>55658</v>
      </c>
      <c r="J6527">
        <v>1</v>
      </c>
      <c r="K6527">
        <v>3</v>
      </c>
    </row>
    <row r="6528" spans="1:11">
      <c r="A6528">
        <v>90</v>
      </c>
      <c r="B6528" t="b">
        <v>0</v>
      </c>
      <c r="C6528" t="s">
        <v>42231</v>
      </c>
      <c r="D6528">
        <v>1037022454355</v>
      </c>
      <c r="E6528">
        <v>1</v>
      </c>
      <c r="F6528">
        <v>6068006777</v>
      </c>
      <c r="G6528">
        <v>2999000</v>
      </c>
      <c r="H6528" t="s">
        <v>40293</v>
      </c>
      <c r="I6528">
        <v>55660</v>
      </c>
      <c r="J6528">
        <v>2</v>
      </c>
      <c r="K6528">
        <v>3</v>
      </c>
    </row>
    <row r="6529" spans="1:11">
      <c r="A6529">
        <v>90</v>
      </c>
      <c r="B6529" t="b">
        <v>0</v>
      </c>
      <c r="C6529" t="s">
        <v>45393</v>
      </c>
      <c r="D6529">
        <v>1037022454355</v>
      </c>
      <c r="E6529">
        <v>1</v>
      </c>
      <c r="F6529">
        <v>6153127561</v>
      </c>
      <c r="G6529">
        <v>15010000</v>
      </c>
      <c r="H6529" t="s">
        <v>40293</v>
      </c>
      <c r="I6529">
        <v>55664</v>
      </c>
      <c r="J6529">
        <v>1</v>
      </c>
      <c r="K6529">
        <v>1</v>
      </c>
    </row>
    <row r="6530" spans="1:11">
      <c r="A6530">
        <v>90</v>
      </c>
      <c r="B6530" t="b">
        <v>0</v>
      </c>
      <c r="C6530" t="s">
        <v>40555</v>
      </c>
      <c r="D6530">
        <v>1037022454355</v>
      </c>
      <c r="E6530">
        <v>1</v>
      </c>
      <c r="F6530">
        <v>6104586169</v>
      </c>
      <c r="G6530">
        <v>2000000</v>
      </c>
      <c r="H6530" t="s">
        <v>40293</v>
      </c>
      <c r="I6530">
        <v>55667</v>
      </c>
      <c r="J6530">
        <v>2</v>
      </c>
      <c r="K6530">
        <v>2</v>
      </c>
    </row>
    <row r="6531" spans="1:11">
      <c r="A6531">
        <v>90</v>
      </c>
      <c r="B6531" t="b">
        <v>0</v>
      </c>
      <c r="C6531" t="s">
        <v>41913</v>
      </c>
      <c r="D6531">
        <v>1037022454355</v>
      </c>
      <c r="E6531">
        <v>1</v>
      </c>
      <c r="F6531">
        <v>6127046014</v>
      </c>
      <c r="G6531">
        <v>1250000</v>
      </c>
      <c r="H6531" t="s">
        <v>40293</v>
      </c>
      <c r="I6531">
        <v>55667</v>
      </c>
      <c r="J6531">
        <v>14</v>
      </c>
      <c r="K6531">
        <v>14</v>
      </c>
    </row>
    <row r="6532" spans="1:11">
      <c r="A6532">
        <v>90</v>
      </c>
      <c r="B6532" t="b">
        <v>0</v>
      </c>
      <c r="C6532" t="s">
        <v>42838</v>
      </c>
      <c r="D6532">
        <v>1037022454355</v>
      </c>
      <c r="E6532">
        <v>1</v>
      </c>
      <c r="F6532">
        <v>6068009437</v>
      </c>
      <c r="G6532">
        <v>2000000</v>
      </c>
      <c r="H6532" t="s">
        <v>40293</v>
      </c>
      <c r="I6532">
        <v>55678</v>
      </c>
      <c r="J6532">
        <v>3</v>
      </c>
      <c r="K6532">
        <v>3</v>
      </c>
    </row>
    <row r="6533" spans="1:11">
      <c r="A6533">
        <v>90</v>
      </c>
      <c r="B6533" t="b">
        <v>0</v>
      </c>
      <c r="C6533" t="s">
        <v>43143</v>
      </c>
      <c r="D6533">
        <v>1037022454355</v>
      </c>
      <c r="E6533">
        <v>1</v>
      </c>
      <c r="F6533">
        <v>6136602018</v>
      </c>
      <c r="G6533">
        <v>10000000</v>
      </c>
      <c r="H6533" t="s">
        <v>40293</v>
      </c>
      <c r="I6533">
        <v>55680</v>
      </c>
      <c r="J6533">
        <v>1</v>
      </c>
      <c r="K6533">
        <v>1</v>
      </c>
    </row>
    <row r="6534" spans="1:11">
      <c r="A6534">
        <v>90</v>
      </c>
      <c r="B6534" t="b">
        <v>0</v>
      </c>
      <c r="C6534" t="s">
        <v>43648</v>
      </c>
      <c r="D6534">
        <v>1037022454355</v>
      </c>
      <c r="E6534">
        <v>1</v>
      </c>
      <c r="F6534">
        <v>6139860929</v>
      </c>
      <c r="G6534">
        <v>3000000</v>
      </c>
      <c r="H6534" t="s">
        <v>40293</v>
      </c>
      <c r="I6534">
        <v>55684</v>
      </c>
      <c r="J6534">
        <v>3</v>
      </c>
      <c r="K6534">
        <v>3</v>
      </c>
    </row>
    <row r="6535" spans="1:11">
      <c r="A6535">
        <v>90</v>
      </c>
      <c r="B6535" t="b">
        <v>0</v>
      </c>
      <c r="C6535" t="s">
        <v>42729</v>
      </c>
      <c r="D6535">
        <v>1037022454355</v>
      </c>
      <c r="E6535">
        <v>1</v>
      </c>
      <c r="F6535">
        <v>6137700912</v>
      </c>
      <c r="G6535">
        <v>13500000</v>
      </c>
      <c r="H6535" t="s">
        <v>40293</v>
      </c>
      <c r="I6535">
        <v>55686</v>
      </c>
      <c r="J6535">
        <v>3</v>
      </c>
      <c r="K6535">
        <v>3</v>
      </c>
    </row>
    <row r="6536" spans="1:11">
      <c r="A6536">
        <v>90</v>
      </c>
      <c r="B6536" t="b">
        <v>0</v>
      </c>
      <c r="C6536" t="s">
        <v>46361</v>
      </c>
      <c r="D6536">
        <v>1037022454355</v>
      </c>
      <c r="E6536">
        <v>1</v>
      </c>
      <c r="F6536">
        <v>6067287636</v>
      </c>
      <c r="G6536">
        <v>13490000</v>
      </c>
      <c r="H6536" t="s">
        <v>40293</v>
      </c>
      <c r="I6536">
        <v>55686</v>
      </c>
      <c r="J6536">
        <v>17</v>
      </c>
      <c r="K6536">
        <v>22</v>
      </c>
    </row>
    <row r="6537" spans="1:11">
      <c r="A6537">
        <v>90</v>
      </c>
      <c r="B6537" t="b">
        <v>0</v>
      </c>
      <c r="C6537" t="s">
        <v>43775</v>
      </c>
      <c r="D6537">
        <v>1037022454355</v>
      </c>
      <c r="E6537">
        <v>1</v>
      </c>
      <c r="F6537">
        <v>6139477751</v>
      </c>
      <c r="G6537">
        <v>5000000</v>
      </c>
      <c r="H6537" t="s">
        <v>40293</v>
      </c>
      <c r="I6537">
        <v>55687</v>
      </c>
      <c r="J6537">
        <v>2</v>
      </c>
      <c r="K6537">
        <v>2</v>
      </c>
    </row>
    <row r="6538" spans="1:11">
      <c r="A6538">
        <v>90</v>
      </c>
      <c r="B6538" t="b">
        <v>0</v>
      </c>
      <c r="C6538" t="s">
        <v>42375</v>
      </c>
      <c r="D6538">
        <v>1037022454355</v>
      </c>
      <c r="E6538">
        <v>1</v>
      </c>
      <c r="F6538">
        <v>6104585965</v>
      </c>
      <c r="G6538">
        <v>5000000</v>
      </c>
      <c r="H6538" t="s">
        <v>40293</v>
      </c>
      <c r="I6538">
        <v>55688</v>
      </c>
      <c r="J6538">
        <v>1</v>
      </c>
      <c r="K6538">
        <v>1</v>
      </c>
    </row>
    <row r="6539" spans="1:11">
      <c r="A6539">
        <v>90</v>
      </c>
      <c r="B6539" t="b">
        <v>0</v>
      </c>
      <c r="C6539" t="s">
        <v>42390</v>
      </c>
      <c r="D6539">
        <v>1037022454355</v>
      </c>
      <c r="E6539">
        <v>1</v>
      </c>
      <c r="F6539">
        <v>6136601256</v>
      </c>
      <c r="G6539">
        <v>2000000</v>
      </c>
      <c r="H6539" t="s">
        <v>40293</v>
      </c>
      <c r="I6539">
        <v>55693</v>
      </c>
      <c r="J6539">
        <v>1</v>
      </c>
      <c r="K6539">
        <v>1</v>
      </c>
    </row>
    <row r="6540" spans="1:11">
      <c r="A6540">
        <v>90</v>
      </c>
      <c r="B6540" t="b">
        <v>0</v>
      </c>
      <c r="C6540" t="s">
        <v>43129</v>
      </c>
      <c r="D6540">
        <v>1037022454355</v>
      </c>
      <c r="E6540">
        <v>1</v>
      </c>
      <c r="F6540">
        <v>6138109010</v>
      </c>
      <c r="G6540">
        <v>5000000</v>
      </c>
      <c r="H6540" t="s">
        <v>40293</v>
      </c>
      <c r="I6540">
        <v>55695</v>
      </c>
      <c r="J6540">
        <v>4</v>
      </c>
      <c r="K6540">
        <v>5</v>
      </c>
    </row>
    <row r="6541" spans="1:11">
      <c r="A6541">
        <v>90</v>
      </c>
      <c r="B6541" t="b">
        <v>0</v>
      </c>
      <c r="C6541" t="s">
        <v>40524</v>
      </c>
      <c r="D6541">
        <v>1037022454355</v>
      </c>
      <c r="E6541">
        <v>1</v>
      </c>
      <c r="F6541">
        <v>6104585621</v>
      </c>
      <c r="G6541">
        <v>2000000</v>
      </c>
      <c r="H6541" t="s">
        <v>40293</v>
      </c>
      <c r="I6541">
        <v>55696</v>
      </c>
      <c r="J6541">
        <v>2</v>
      </c>
      <c r="K6541">
        <v>2</v>
      </c>
    </row>
    <row r="6542" spans="1:11">
      <c r="A6542">
        <v>90</v>
      </c>
      <c r="B6542" t="b">
        <v>0</v>
      </c>
      <c r="C6542" t="s">
        <v>42265</v>
      </c>
      <c r="D6542">
        <v>1037022454355</v>
      </c>
      <c r="E6542">
        <v>1</v>
      </c>
      <c r="F6542">
        <v>6068009241</v>
      </c>
      <c r="G6542">
        <v>3999000</v>
      </c>
      <c r="H6542" t="s">
        <v>40293</v>
      </c>
      <c r="I6542">
        <v>55697</v>
      </c>
      <c r="J6542">
        <v>2</v>
      </c>
      <c r="K6542">
        <v>3</v>
      </c>
    </row>
    <row r="6543" spans="1:11">
      <c r="A6543">
        <v>90</v>
      </c>
      <c r="B6543" t="b">
        <v>0</v>
      </c>
      <c r="C6543" t="s">
        <v>44726</v>
      </c>
      <c r="D6543">
        <v>1037022454355</v>
      </c>
      <c r="E6543">
        <v>1</v>
      </c>
      <c r="F6543">
        <v>6138775065</v>
      </c>
      <c r="G6543">
        <v>3000000</v>
      </c>
      <c r="H6543" t="s">
        <v>40293</v>
      </c>
      <c r="I6543">
        <v>55698</v>
      </c>
      <c r="J6543">
        <v>3</v>
      </c>
      <c r="K6543">
        <v>3</v>
      </c>
    </row>
    <row r="6544" spans="1:11">
      <c r="A6544">
        <v>90</v>
      </c>
      <c r="B6544" t="b">
        <v>0</v>
      </c>
      <c r="C6544" t="s">
        <v>45304</v>
      </c>
      <c r="D6544">
        <v>1037022454355</v>
      </c>
      <c r="E6544">
        <v>1</v>
      </c>
      <c r="F6544">
        <v>6156116054</v>
      </c>
      <c r="G6544">
        <v>1299000000</v>
      </c>
      <c r="H6544" t="s">
        <v>40293</v>
      </c>
      <c r="I6544">
        <v>55826</v>
      </c>
      <c r="J6544">
        <v>1</v>
      </c>
      <c r="K6544">
        <v>1</v>
      </c>
    </row>
    <row r="6545" spans="1:11">
      <c r="A6545">
        <v>90</v>
      </c>
      <c r="B6545" t="b">
        <v>0</v>
      </c>
      <c r="C6545" t="s">
        <v>44079</v>
      </c>
      <c r="D6545">
        <v>1037022454355</v>
      </c>
      <c r="E6545">
        <v>1</v>
      </c>
      <c r="F6545">
        <v>6152487448</v>
      </c>
      <c r="G6545">
        <v>90010</v>
      </c>
      <c r="H6545" t="s">
        <v>40293</v>
      </c>
      <c r="I6545">
        <v>55930</v>
      </c>
      <c r="J6545">
        <v>2</v>
      </c>
      <c r="K6545">
        <v>2</v>
      </c>
    </row>
    <row r="6546" spans="1:11">
      <c r="A6546">
        <v>90</v>
      </c>
      <c r="B6546" t="b">
        <v>0</v>
      </c>
      <c r="C6546" t="s">
        <v>44073</v>
      </c>
      <c r="D6546">
        <v>1037022454355</v>
      </c>
      <c r="E6546">
        <v>1</v>
      </c>
      <c r="F6546">
        <v>6152487385</v>
      </c>
      <c r="G6546">
        <v>9001</v>
      </c>
      <c r="H6546" t="s">
        <v>40293</v>
      </c>
      <c r="I6546">
        <v>55931</v>
      </c>
      <c r="J6546">
        <v>12</v>
      </c>
      <c r="K6546">
        <v>12</v>
      </c>
    </row>
    <row r="6547" spans="1:11">
      <c r="A6547">
        <v>90</v>
      </c>
      <c r="B6547" t="b">
        <v>0</v>
      </c>
      <c r="C6547" t="s">
        <v>44043</v>
      </c>
      <c r="D6547">
        <v>1037022454355</v>
      </c>
      <c r="E6547">
        <v>1</v>
      </c>
      <c r="F6547">
        <v>6152487025</v>
      </c>
      <c r="G6547">
        <v>9001000</v>
      </c>
      <c r="H6547" t="s">
        <v>40293</v>
      </c>
      <c r="I6547">
        <v>55932</v>
      </c>
      <c r="J6547">
        <v>3</v>
      </c>
      <c r="K6547">
        <v>3</v>
      </c>
    </row>
    <row r="6548" spans="1:11">
      <c r="A6548">
        <v>90</v>
      </c>
      <c r="B6548" t="b">
        <v>0</v>
      </c>
      <c r="C6548" t="s">
        <v>44055</v>
      </c>
      <c r="D6548">
        <v>1037022454355</v>
      </c>
      <c r="E6548">
        <v>1</v>
      </c>
      <c r="F6548">
        <v>6152487225</v>
      </c>
      <c r="G6548">
        <v>900100</v>
      </c>
      <c r="H6548" t="s">
        <v>40293</v>
      </c>
      <c r="I6548">
        <v>55933</v>
      </c>
      <c r="J6548">
        <v>3</v>
      </c>
      <c r="K6548">
        <v>3</v>
      </c>
    </row>
    <row r="6549" spans="1:11">
      <c r="A6549">
        <v>90</v>
      </c>
      <c r="B6549" t="b">
        <v>0</v>
      </c>
      <c r="C6549" t="s">
        <v>40672</v>
      </c>
      <c r="D6549">
        <v>1037022454355</v>
      </c>
      <c r="E6549">
        <v>1</v>
      </c>
      <c r="F6549">
        <v>6119432248</v>
      </c>
      <c r="G6549">
        <v>200000</v>
      </c>
      <c r="H6549" t="s">
        <v>40293</v>
      </c>
      <c r="I6549">
        <v>56065</v>
      </c>
      <c r="J6549">
        <v>37</v>
      </c>
      <c r="K6549">
        <v>40</v>
      </c>
    </row>
    <row r="6550" spans="1:11">
      <c r="A6550">
        <v>90</v>
      </c>
      <c r="B6550" t="b">
        <v>0</v>
      </c>
      <c r="C6550" t="s">
        <v>43076</v>
      </c>
      <c r="D6550">
        <v>1037022454355</v>
      </c>
      <c r="E6550">
        <v>1</v>
      </c>
      <c r="F6550">
        <v>6144464650</v>
      </c>
      <c r="G6550">
        <v>199800</v>
      </c>
      <c r="H6550" t="s">
        <v>40293</v>
      </c>
      <c r="I6550">
        <v>56065</v>
      </c>
      <c r="J6550">
        <v>10</v>
      </c>
      <c r="K6550">
        <v>10</v>
      </c>
    </row>
    <row r="6551" spans="1:11">
      <c r="A6551">
        <v>90</v>
      </c>
      <c r="B6551" t="b">
        <v>0</v>
      </c>
      <c r="C6551" t="s">
        <v>43691</v>
      </c>
      <c r="D6551">
        <v>1037022454355</v>
      </c>
      <c r="E6551">
        <v>1</v>
      </c>
      <c r="F6551">
        <v>6145138338</v>
      </c>
      <c r="G6551">
        <v>198000</v>
      </c>
      <c r="H6551" t="s">
        <v>40293</v>
      </c>
      <c r="I6551">
        <v>56065</v>
      </c>
      <c r="J6551">
        <v>100</v>
      </c>
      <c r="K6551">
        <v>100</v>
      </c>
    </row>
    <row r="6552" spans="1:11">
      <c r="A6552">
        <v>90</v>
      </c>
      <c r="B6552" t="b">
        <v>0</v>
      </c>
      <c r="C6552" t="s">
        <v>45672</v>
      </c>
      <c r="D6552">
        <v>1037022454355</v>
      </c>
      <c r="E6552">
        <v>1</v>
      </c>
      <c r="F6552">
        <v>6142972868</v>
      </c>
      <c r="G6552">
        <v>196600</v>
      </c>
      <c r="H6552" t="s">
        <v>40293</v>
      </c>
      <c r="I6552">
        <v>56065</v>
      </c>
      <c r="J6552">
        <v>44</v>
      </c>
      <c r="K6552">
        <v>50</v>
      </c>
    </row>
    <row r="6553" spans="1:11">
      <c r="A6553">
        <v>90</v>
      </c>
      <c r="B6553" t="b">
        <v>0</v>
      </c>
      <c r="C6553" t="s">
        <v>45449</v>
      </c>
      <c r="D6553">
        <v>1037022454355</v>
      </c>
      <c r="E6553">
        <v>1</v>
      </c>
      <c r="F6553">
        <v>6145296592</v>
      </c>
      <c r="G6553">
        <v>196500</v>
      </c>
      <c r="H6553" t="s">
        <v>40293</v>
      </c>
      <c r="I6553">
        <v>56065</v>
      </c>
      <c r="J6553">
        <v>90</v>
      </c>
      <c r="K6553">
        <v>98</v>
      </c>
    </row>
    <row r="6554" spans="1:11">
      <c r="A6554">
        <v>90</v>
      </c>
      <c r="B6554" t="b">
        <v>0</v>
      </c>
      <c r="C6554" t="s">
        <v>46222</v>
      </c>
      <c r="D6554">
        <v>1037022454355</v>
      </c>
      <c r="E6554">
        <v>1</v>
      </c>
      <c r="F6554">
        <v>6156840641</v>
      </c>
      <c r="G6554">
        <v>180000</v>
      </c>
      <c r="H6554" t="s">
        <v>40293</v>
      </c>
      <c r="I6554">
        <v>56065</v>
      </c>
      <c r="J6554">
        <v>14</v>
      </c>
      <c r="K6554">
        <v>14</v>
      </c>
    </row>
    <row r="6555" spans="1:11">
      <c r="A6555">
        <v>30</v>
      </c>
      <c r="B6555" t="b">
        <v>0</v>
      </c>
      <c r="C6555" t="s">
        <v>46253</v>
      </c>
      <c r="D6555">
        <v>1037022454355</v>
      </c>
      <c r="E6555">
        <v>1</v>
      </c>
      <c r="F6555">
        <v>6151290226</v>
      </c>
      <c r="G6555">
        <v>7301000</v>
      </c>
      <c r="H6555" t="s">
        <v>40293</v>
      </c>
      <c r="I6555">
        <v>56068</v>
      </c>
      <c r="J6555">
        <v>2</v>
      </c>
      <c r="K6555">
        <v>2</v>
      </c>
    </row>
    <row r="6556" spans="1:11">
      <c r="A6556">
        <v>90</v>
      </c>
      <c r="B6556" t="b">
        <v>0</v>
      </c>
      <c r="C6556" t="s">
        <v>43439</v>
      </c>
      <c r="D6556">
        <v>1037022454355</v>
      </c>
      <c r="E6556">
        <v>1</v>
      </c>
      <c r="F6556">
        <v>6138903715</v>
      </c>
      <c r="G6556">
        <v>5001000</v>
      </c>
      <c r="H6556" t="s">
        <v>40293</v>
      </c>
      <c r="I6556">
        <v>56075</v>
      </c>
      <c r="J6556">
        <v>6</v>
      </c>
      <c r="K6556">
        <v>6</v>
      </c>
    </row>
    <row r="6557" spans="1:11">
      <c r="A6557">
        <v>90</v>
      </c>
      <c r="B6557" t="b">
        <v>0</v>
      </c>
      <c r="C6557" t="s">
        <v>40349</v>
      </c>
      <c r="D6557">
        <v>1037022454355</v>
      </c>
      <c r="E6557">
        <v>1</v>
      </c>
      <c r="F6557">
        <v>6122788417</v>
      </c>
      <c r="G6557">
        <v>5930000</v>
      </c>
      <c r="H6557" t="s">
        <v>40293</v>
      </c>
      <c r="I6557">
        <v>56076</v>
      </c>
      <c r="J6557">
        <v>1</v>
      </c>
      <c r="K6557">
        <v>15</v>
      </c>
    </row>
    <row r="6558" spans="1:11">
      <c r="A6558">
        <v>90</v>
      </c>
      <c r="B6558" t="b">
        <v>0</v>
      </c>
      <c r="C6558" t="s">
        <v>44363</v>
      </c>
      <c r="D6558">
        <v>1037022454355</v>
      </c>
      <c r="E6558">
        <v>1</v>
      </c>
      <c r="F6558">
        <v>6151836152</v>
      </c>
      <c r="G6558">
        <v>5000000</v>
      </c>
      <c r="H6558" t="s">
        <v>40293</v>
      </c>
      <c r="I6558">
        <v>56076</v>
      </c>
      <c r="J6558">
        <v>4</v>
      </c>
      <c r="K6558">
        <v>7</v>
      </c>
    </row>
    <row r="6559" spans="1:11">
      <c r="A6559">
        <v>90</v>
      </c>
      <c r="B6559" t="b">
        <v>0</v>
      </c>
      <c r="C6559" t="s">
        <v>44571</v>
      </c>
      <c r="D6559">
        <v>1037022454355</v>
      </c>
      <c r="E6559">
        <v>1</v>
      </c>
      <c r="F6559">
        <v>6156840843</v>
      </c>
      <c r="G6559">
        <v>4500000</v>
      </c>
      <c r="H6559" t="s">
        <v>40293</v>
      </c>
      <c r="I6559">
        <v>56076</v>
      </c>
      <c r="J6559">
        <v>14</v>
      </c>
      <c r="K6559">
        <v>14</v>
      </c>
    </row>
    <row r="6560" spans="1:11">
      <c r="A6560">
        <v>90</v>
      </c>
      <c r="B6560" t="b">
        <v>0</v>
      </c>
      <c r="C6560" t="s">
        <v>42308</v>
      </c>
      <c r="D6560">
        <v>1037022454355</v>
      </c>
      <c r="E6560">
        <v>1</v>
      </c>
      <c r="F6560">
        <v>6132991282</v>
      </c>
      <c r="G6560">
        <v>1900000</v>
      </c>
      <c r="H6560" t="s">
        <v>40293</v>
      </c>
      <c r="I6560">
        <v>56077</v>
      </c>
      <c r="J6560">
        <v>3</v>
      </c>
      <c r="K6560">
        <v>5</v>
      </c>
    </row>
    <row r="6561" spans="1:11">
      <c r="A6561">
        <v>90</v>
      </c>
      <c r="B6561" t="b">
        <v>0</v>
      </c>
      <c r="C6561" t="s">
        <v>41776</v>
      </c>
      <c r="D6561">
        <v>1037022454355</v>
      </c>
      <c r="E6561">
        <v>1</v>
      </c>
      <c r="F6561">
        <v>6099173821</v>
      </c>
      <c r="G6561">
        <v>3939000</v>
      </c>
      <c r="H6561" t="s">
        <v>40293</v>
      </c>
      <c r="I6561">
        <v>56079</v>
      </c>
      <c r="J6561">
        <v>2</v>
      </c>
      <c r="K6561">
        <v>2</v>
      </c>
    </row>
    <row r="6562" spans="1:11">
      <c r="A6562">
        <v>90</v>
      </c>
      <c r="B6562" t="b">
        <v>0</v>
      </c>
      <c r="C6562" t="s">
        <v>41865</v>
      </c>
      <c r="D6562">
        <v>1037022454355</v>
      </c>
      <c r="E6562">
        <v>1</v>
      </c>
      <c r="F6562">
        <v>6110557905</v>
      </c>
      <c r="G6562">
        <v>3938000</v>
      </c>
      <c r="H6562" t="s">
        <v>40293</v>
      </c>
      <c r="I6562">
        <v>56079</v>
      </c>
      <c r="J6562">
        <v>5</v>
      </c>
      <c r="K6562">
        <v>6</v>
      </c>
    </row>
    <row r="6563" spans="1:11">
      <c r="A6563">
        <v>90</v>
      </c>
      <c r="B6563" t="b">
        <v>0</v>
      </c>
      <c r="C6563" t="s">
        <v>43734</v>
      </c>
      <c r="D6563">
        <v>1037022454355</v>
      </c>
      <c r="E6563">
        <v>1</v>
      </c>
      <c r="F6563">
        <v>6145139722</v>
      </c>
      <c r="G6563">
        <v>3001000</v>
      </c>
      <c r="H6563" t="s">
        <v>40293</v>
      </c>
      <c r="I6563">
        <v>56079</v>
      </c>
      <c r="J6563">
        <v>5</v>
      </c>
      <c r="K6563">
        <v>5</v>
      </c>
    </row>
    <row r="6564" spans="1:11">
      <c r="A6564">
        <v>90</v>
      </c>
      <c r="B6564" t="b">
        <v>0</v>
      </c>
      <c r="C6564" t="s">
        <v>42301</v>
      </c>
      <c r="D6564">
        <v>1037022454355</v>
      </c>
      <c r="E6564">
        <v>1</v>
      </c>
      <c r="F6564">
        <v>6132990691</v>
      </c>
      <c r="G6564">
        <v>3000000</v>
      </c>
      <c r="H6564" t="s">
        <v>40293</v>
      </c>
      <c r="I6564">
        <v>56079</v>
      </c>
      <c r="J6564">
        <v>2</v>
      </c>
      <c r="K6564">
        <v>5</v>
      </c>
    </row>
    <row r="6565" spans="1:11">
      <c r="A6565">
        <v>30</v>
      </c>
      <c r="B6565" t="b">
        <v>0</v>
      </c>
      <c r="C6565" t="s">
        <v>44669</v>
      </c>
      <c r="D6565">
        <v>1037022454355</v>
      </c>
      <c r="E6565">
        <v>1</v>
      </c>
      <c r="F6565">
        <v>6149513772</v>
      </c>
      <c r="G6565">
        <v>2500000</v>
      </c>
      <c r="H6565" t="s">
        <v>40293</v>
      </c>
      <c r="I6565">
        <v>56079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42091</v>
      </c>
      <c r="D6566">
        <v>1037022454355</v>
      </c>
      <c r="E6566">
        <v>1</v>
      </c>
      <c r="F6566">
        <v>6129363114</v>
      </c>
      <c r="G6566">
        <v>4000000</v>
      </c>
      <c r="H6566" t="s">
        <v>40293</v>
      </c>
      <c r="I6566">
        <v>56080</v>
      </c>
      <c r="J6566">
        <v>3</v>
      </c>
      <c r="K6566">
        <v>5</v>
      </c>
    </row>
    <row r="6567" spans="1:11">
      <c r="A6567">
        <v>90</v>
      </c>
      <c r="B6567" t="b">
        <v>0</v>
      </c>
      <c r="C6567" t="s">
        <v>40898</v>
      </c>
      <c r="D6567">
        <v>1037022454355</v>
      </c>
      <c r="E6567">
        <v>1</v>
      </c>
      <c r="F6567">
        <v>6110557798</v>
      </c>
      <c r="G6567">
        <v>4001000</v>
      </c>
      <c r="H6567" t="s">
        <v>40293</v>
      </c>
      <c r="I6567">
        <v>56081</v>
      </c>
      <c r="J6567">
        <v>5</v>
      </c>
      <c r="K6567">
        <v>5</v>
      </c>
    </row>
    <row r="6568" spans="1:11">
      <c r="A6568">
        <v>90</v>
      </c>
      <c r="B6568" t="b">
        <v>0</v>
      </c>
      <c r="C6568" t="s">
        <v>46240</v>
      </c>
      <c r="D6568">
        <v>1037022454355</v>
      </c>
      <c r="E6568">
        <v>1</v>
      </c>
      <c r="F6568">
        <v>6148288443</v>
      </c>
      <c r="G6568">
        <v>700000000</v>
      </c>
      <c r="H6568" t="s">
        <v>40293</v>
      </c>
      <c r="I6568">
        <v>56202</v>
      </c>
      <c r="J6568">
        <v>5</v>
      </c>
      <c r="K6568">
        <v>6</v>
      </c>
    </row>
    <row r="6569" spans="1:11">
      <c r="A6569">
        <v>90</v>
      </c>
      <c r="B6569" t="b">
        <v>0</v>
      </c>
      <c r="C6569" t="s">
        <v>45328</v>
      </c>
      <c r="D6569">
        <v>1037022454355</v>
      </c>
      <c r="E6569">
        <v>1</v>
      </c>
      <c r="F6569">
        <v>6119310204</v>
      </c>
      <c r="G6569">
        <v>10000000</v>
      </c>
      <c r="H6569" t="s">
        <v>40293</v>
      </c>
      <c r="I6569">
        <v>56701</v>
      </c>
      <c r="J6569">
        <v>1</v>
      </c>
      <c r="K6569">
        <v>1</v>
      </c>
    </row>
    <row r="6570" spans="1:11">
      <c r="A6570">
        <v>90</v>
      </c>
      <c r="B6570" t="b">
        <v>0</v>
      </c>
      <c r="C6570" t="s">
        <v>40902</v>
      </c>
      <c r="D6570">
        <v>1037022454355</v>
      </c>
      <c r="E6570">
        <v>1</v>
      </c>
      <c r="F6570">
        <v>6125303489</v>
      </c>
      <c r="G6570">
        <v>1000000</v>
      </c>
      <c r="H6570" t="s">
        <v>40293</v>
      </c>
      <c r="I6570">
        <v>56733</v>
      </c>
      <c r="J6570">
        <v>59</v>
      </c>
      <c r="K6570">
        <v>200</v>
      </c>
    </row>
    <row r="6571" spans="1:11">
      <c r="A6571">
        <v>90</v>
      </c>
      <c r="B6571" t="b">
        <v>0</v>
      </c>
      <c r="C6571" t="s">
        <v>42044</v>
      </c>
      <c r="D6571">
        <v>1037022454355</v>
      </c>
      <c r="E6571">
        <v>1</v>
      </c>
      <c r="F6571">
        <v>6131945970</v>
      </c>
      <c r="G6571">
        <v>999900</v>
      </c>
      <c r="H6571" t="s">
        <v>40293</v>
      </c>
      <c r="I6571">
        <v>56733</v>
      </c>
      <c r="J6571">
        <v>71</v>
      </c>
      <c r="K6571">
        <v>81</v>
      </c>
    </row>
    <row r="6572" spans="1:11">
      <c r="A6572">
        <v>90</v>
      </c>
      <c r="B6572" t="b">
        <v>0</v>
      </c>
      <c r="C6572" t="s">
        <v>43217</v>
      </c>
      <c r="D6572">
        <v>1037022454355</v>
      </c>
      <c r="E6572">
        <v>1</v>
      </c>
      <c r="F6572">
        <v>6143911672</v>
      </c>
      <c r="G6572">
        <v>333400</v>
      </c>
      <c r="H6572" t="s">
        <v>40293</v>
      </c>
      <c r="I6572">
        <v>56745</v>
      </c>
      <c r="J6572">
        <v>971</v>
      </c>
      <c r="K6572">
        <v>971</v>
      </c>
    </row>
    <row r="6573" spans="1:11">
      <c r="A6573">
        <v>90</v>
      </c>
      <c r="B6573" t="b">
        <v>0</v>
      </c>
      <c r="C6573" t="s">
        <v>40556</v>
      </c>
      <c r="D6573">
        <v>1037022454355</v>
      </c>
      <c r="E6573">
        <v>1</v>
      </c>
      <c r="F6573">
        <v>6117300170</v>
      </c>
      <c r="G6573">
        <v>190000</v>
      </c>
      <c r="H6573" t="s">
        <v>40293</v>
      </c>
      <c r="I6573">
        <v>56748</v>
      </c>
      <c r="J6573">
        <v>799</v>
      </c>
      <c r="K6573">
        <v>1086</v>
      </c>
    </row>
    <row r="6574" spans="1:11">
      <c r="A6574">
        <v>90</v>
      </c>
      <c r="B6574" t="b">
        <v>0</v>
      </c>
      <c r="C6574" t="s">
        <v>42024</v>
      </c>
      <c r="D6574">
        <v>1037022454355</v>
      </c>
      <c r="E6574">
        <v>1</v>
      </c>
      <c r="F6574">
        <v>6069980318</v>
      </c>
      <c r="G6574">
        <v>184000</v>
      </c>
      <c r="H6574" t="s">
        <v>40293</v>
      </c>
      <c r="I6574">
        <v>56748</v>
      </c>
      <c r="J6574">
        <v>120</v>
      </c>
      <c r="K6574">
        <v>200</v>
      </c>
    </row>
    <row r="6575" spans="1:11">
      <c r="A6575">
        <v>90</v>
      </c>
      <c r="B6575" t="b">
        <v>0</v>
      </c>
      <c r="C6575" t="s">
        <v>43009</v>
      </c>
      <c r="D6575">
        <v>1037022454355</v>
      </c>
      <c r="E6575">
        <v>1</v>
      </c>
      <c r="F6575">
        <v>6140006504</v>
      </c>
      <c r="G6575">
        <v>172000</v>
      </c>
      <c r="H6575" t="s">
        <v>40293</v>
      </c>
      <c r="I6575">
        <v>56748</v>
      </c>
      <c r="J6575">
        <v>105</v>
      </c>
      <c r="K6575">
        <v>120</v>
      </c>
    </row>
    <row r="6576" spans="1:11">
      <c r="A6576">
        <v>90</v>
      </c>
      <c r="B6576" t="b">
        <v>0</v>
      </c>
      <c r="C6576" t="s">
        <v>42981</v>
      </c>
      <c r="D6576">
        <v>1037022454355</v>
      </c>
      <c r="E6576">
        <v>1</v>
      </c>
      <c r="F6576">
        <v>6142299353</v>
      </c>
      <c r="G6576">
        <v>169000</v>
      </c>
      <c r="H6576" t="s">
        <v>40293</v>
      </c>
      <c r="I6576">
        <v>56748</v>
      </c>
      <c r="J6576">
        <v>3</v>
      </c>
      <c r="K6576">
        <v>3</v>
      </c>
    </row>
    <row r="6577" spans="1:11">
      <c r="A6577">
        <v>90</v>
      </c>
      <c r="B6577" t="b">
        <v>0</v>
      </c>
      <c r="C6577" t="s">
        <v>43913</v>
      </c>
      <c r="D6577">
        <v>1037022454355</v>
      </c>
      <c r="E6577">
        <v>1</v>
      </c>
      <c r="F6577">
        <v>6123124748</v>
      </c>
      <c r="G6577">
        <v>168700</v>
      </c>
      <c r="H6577" t="s">
        <v>40293</v>
      </c>
      <c r="I6577">
        <v>56748</v>
      </c>
      <c r="J6577">
        <v>250</v>
      </c>
      <c r="K6577">
        <v>600</v>
      </c>
    </row>
    <row r="6578" spans="1:11">
      <c r="A6578">
        <v>90</v>
      </c>
      <c r="B6578" t="b">
        <v>0</v>
      </c>
      <c r="C6578" t="s">
        <v>46168</v>
      </c>
      <c r="D6578">
        <v>1037022454355</v>
      </c>
      <c r="E6578">
        <v>1</v>
      </c>
      <c r="F6578">
        <v>6157396981</v>
      </c>
      <c r="G6578">
        <v>168600</v>
      </c>
      <c r="H6578" t="s">
        <v>40293</v>
      </c>
      <c r="I6578">
        <v>56748</v>
      </c>
      <c r="J6578">
        <v>10</v>
      </c>
      <c r="K6578">
        <v>10</v>
      </c>
    </row>
    <row r="6579" spans="1:11">
      <c r="A6579">
        <v>90</v>
      </c>
      <c r="B6579" t="b">
        <v>0</v>
      </c>
      <c r="C6579" t="s">
        <v>40853</v>
      </c>
      <c r="D6579">
        <v>1037022454355</v>
      </c>
      <c r="E6579">
        <v>1</v>
      </c>
      <c r="F6579">
        <v>6108776548</v>
      </c>
      <c r="G6579">
        <v>300000000</v>
      </c>
      <c r="H6579" t="s">
        <v>40293</v>
      </c>
      <c r="I6579">
        <v>56911</v>
      </c>
      <c r="J6579">
        <v>1</v>
      </c>
      <c r="K6579">
        <v>1</v>
      </c>
    </row>
    <row r="6580" spans="1:11">
      <c r="A6580">
        <v>90</v>
      </c>
      <c r="B6580" t="b">
        <v>0</v>
      </c>
      <c r="C6580" t="s">
        <v>43217</v>
      </c>
      <c r="D6580">
        <v>1037022454355</v>
      </c>
      <c r="E6580">
        <v>1</v>
      </c>
      <c r="F6580">
        <v>6143911650</v>
      </c>
      <c r="G6580">
        <v>333400</v>
      </c>
      <c r="H6580" t="s">
        <v>40293</v>
      </c>
      <c r="I6580">
        <v>56944</v>
      </c>
      <c r="J6580">
        <v>100</v>
      </c>
      <c r="K6580">
        <v>100</v>
      </c>
    </row>
    <row r="6581" spans="1:11">
      <c r="A6581">
        <v>90</v>
      </c>
      <c r="B6581" t="b">
        <v>0</v>
      </c>
      <c r="C6581" t="s">
        <v>43217</v>
      </c>
      <c r="D6581">
        <v>1037022454355</v>
      </c>
      <c r="E6581">
        <v>1</v>
      </c>
      <c r="F6581">
        <v>6143911695</v>
      </c>
      <c r="G6581">
        <v>333400</v>
      </c>
      <c r="H6581" t="s">
        <v>40293</v>
      </c>
      <c r="I6581">
        <v>56944</v>
      </c>
      <c r="J6581">
        <v>17</v>
      </c>
      <c r="K6581">
        <v>17</v>
      </c>
    </row>
    <row r="6582" spans="1:11">
      <c r="A6582">
        <v>90</v>
      </c>
      <c r="B6582" t="b">
        <v>0</v>
      </c>
      <c r="C6582" t="s">
        <v>43275</v>
      </c>
      <c r="D6582">
        <v>1037022454355</v>
      </c>
      <c r="E6582">
        <v>1</v>
      </c>
      <c r="F6582">
        <v>6143912941</v>
      </c>
      <c r="G6582">
        <v>333400</v>
      </c>
      <c r="H6582" t="s">
        <v>40293</v>
      </c>
      <c r="I6582">
        <v>56944</v>
      </c>
      <c r="J6582">
        <v>28</v>
      </c>
      <c r="K6582">
        <v>28</v>
      </c>
    </row>
    <row r="6583" spans="1:11">
      <c r="A6583">
        <v>90</v>
      </c>
      <c r="B6583" t="b">
        <v>0</v>
      </c>
      <c r="C6583" t="s">
        <v>45514</v>
      </c>
      <c r="D6583">
        <v>1037022454355</v>
      </c>
      <c r="E6583">
        <v>1</v>
      </c>
      <c r="F6583">
        <v>6150343564</v>
      </c>
      <c r="G6583">
        <v>25260000</v>
      </c>
      <c r="H6583" t="s">
        <v>40293</v>
      </c>
      <c r="I6583">
        <v>57080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46303</v>
      </c>
      <c r="D6584">
        <v>1037022454355</v>
      </c>
      <c r="E6584">
        <v>1</v>
      </c>
      <c r="F6584">
        <v>6154288582</v>
      </c>
      <c r="G6584">
        <v>40000000</v>
      </c>
      <c r="H6584" t="s">
        <v>40293</v>
      </c>
      <c r="I6584">
        <v>57319</v>
      </c>
      <c r="J6584">
        <v>5</v>
      </c>
      <c r="K6584">
        <v>5</v>
      </c>
    </row>
    <row r="6585" spans="1:11">
      <c r="A6585">
        <v>90</v>
      </c>
      <c r="B6585" t="b">
        <v>0</v>
      </c>
      <c r="C6585" t="s">
        <v>45126</v>
      </c>
      <c r="D6585">
        <v>1037022454355</v>
      </c>
      <c r="E6585">
        <v>1</v>
      </c>
      <c r="F6585">
        <v>6154401733</v>
      </c>
      <c r="G6585">
        <v>35000000</v>
      </c>
      <c r="H6585" t="s">
        <v>40293</v>
      </c>
      <c r="I6585">
        <v>57319</v>
      </c>
      <c r="J6585">
        <v>3</v>
      </c>
      <c r="K6585">
        <v>5</v>
      </c>
    </row>
    <row r="6586" spans="1:11">
      <c r="A6586">
        <v>90</v>
      </c>
      <c r="B6586" t="b">
        <v>0</v>
      </c>
      <c r="C6586" t="s">
        <v>46444</v>
      </c>
      <c r="D6586">
        <v>1037022454355</v>
      </c>
      <c r="E6586">
        <v>1</v>
      </c>
      <c r="F6586">
        <v>6144424663</v>
      </c>
      <c r="G6586">
        <v>34920000</v>
      </c>
      <c r="H6586" t="s">
        <v>40293</v>
      </c>
      <c r="I6586">
        <v>57319</v>
      </c>
      <c r="J6586">
        <v>18</v>
      </c>
      <c r="K6586">
        <v>21</v>
      </c>
    </row>
    <row r="6587" spans="1:11">
      <c r="A6587">
        <v>90</v>
      </c>
      <c r="B6587" t="b">
        <v>0</v>
      </c>
      <c r="C6587" t="s">
        <v>45164</v>
      </c>
      <c r="D6587">
        <v>1037022454355</v>
      </c>
      <c r="E6587">
        <v>1</v>
      </c>
      <c r="F6587">
        <v>6156008058</v>
      </c>
      <c r="G6587">
        <v>33010000</v>
      </c>
      <c r="H6587" t="s">
        <v>40293</v>
      </c>
      <c r="I6587">
        <v>57319</v>
      </c>
      <c r="J6587">
        <v>10</v>
      </c>
      <c r="K6587">
        <v>10</v>
      </c>
    </row>
    <row r="6588" spans="1:11">
      <c r="A6588">
        <v>30</v>
      </c>
      <c r="B6588" t="b">
        <v>0</v>
      </c>
      <c r="C6588" t="s">
        <v>46230</v>
      </c>
      <c r="D6588">
        <v>1037022454355</v>
      </c>
      <c r="E6588">
        <v>1</v>
      </c>
      <c r="F6588">
        <v>6153465666</v>
      </c>
      <c r="G6588">
        <v>33010000</v>
      </c>
      <c r="H6588" t="s">
        <v>40293</v>
      </c>
      <c r="I6588">
        <v>57319</v>
      </c>
      <c r="J6588">
        <v>6</v>
      </c>
      <c r="K6588">
        <v>7</v>
      </c>
    </row>
    <row r="6589" spans="1:11">
      <c r="A6589">
        <v>14</v>
      </c>
      <c r="B6589" t="b">
        <v>0</v>
      </c>
      <c r="C6589" t="s">
        <v>44454</v>
      </c>
      <c r="D6589">
        <v>1037022454355</v>
      </c>
      <c r="E6589">
        <v>1</v>
      </c>
      <c r="F6589">
        <v>6156687013</v>
      </c>
      <c r="G6589">
        <v>33000000</v>
      </c>
      <c r="H6589" t="s">
        <v>40293</v>
      </c>
      <c r="I6589">
        <v>57319</v>
      </c>
      <c r="J6589">
        <v>9</v>
      </c>
      <c r="K6589">
        <v>10</v>
      </c>
    </row>
    <row r="6590" spans="1:11">
      <c r="A6590">
        <v>30</v>
      </c>
      <c r="B6590" t="b">
        <v>0</v>
      </c>
      <c r="C6590" t="s">
        <v>42916</v>
      </c>
      <c r="D6590">
        <v>1037022454355</v>
      </c>
      <c r="E6590">
        <v>1</v>
      </c>
      <c r="F6590">
        <v>6138430490</v>
      </c>
      <c r="G6590">
        <v>3500000</v>
      </c>
      <c r="H6590" t="s">
        <v>40293</v>
      </c>
      <c r="I6590">
        <v>57443</v>
      </c>
      <c r="J6590">
        <v>1</v>
      </c>
      <c r="K6590">
        <v>1</v>
      </c>
    </row>
    <row r="6591" spans="1:11">
      <c r="A6591">
        <v>90</v>
      </c>
      <c r="B6591" t="b">
        <v>0</v>
      </c>
      <c r="C6591" t="s">
        <v>43281</v>
      </c>
      <c r="D6591">
        <v>1037022454355</v>
      </c>
      <c r="E6591">
        <v>1</v>
      </c>
      <c r="F6591">
        <v>6142504059</v>
      </c>
      <c r="G6591">
        <v>3499000</v>
      </c>
      <c r="H6591" t="s">
        <v>40293</v>
      </c>
      <c r="I6591">
        <v>57443</v>
      </c>
      <c r="J6591">
        <v>1</v>
      </c>
      <c r="K6591">
        <v>1</v>
      </c>
    </row>
    <row r="6592" spans="1:11">
      <c r="A6592">
        <v>30</v>
      </c>
      <c r="B6592" t="b">
        <v>0</v>
      </c>
      <c r="C6592" t="s">
        <v>44888</v>
      </c>
      <c r="D6592">
        <v>1037022454355</v>
      </c>
      <c r="E6592">
        <v>1</v>
      </c>
      <c r="F6592">
        <v>6150466653</v>
      </c>
      <c r="G6592">
        <v>1001000</v>
      </c>
      <c r="H6592" t="s">
        <v>40293</v>
      </c>
      <c r="I6592">
        <v>57445</v>
      </c>
      <c r="J6592">
        <v>8</v>
      </c>
      <c r="K6592">
        <v>8</v>
      </c>
    </row>
    <row r="6593" spans="1:11">
      <c r="A6593">
        <v>30</v>
      </c>
      <c r="B6593" t="b">
        <v>0</v>
      </c>
      <c r="C6593" t="s">
        <v>44897</v>
      </c>
      <c r="D6593">
        <v>1037022454355</v>
      </c>
      <c r="E6593">
        <v>1</v>
      </c>
      <c r="F6593">
        <v>6150466786</v>
      </c>
      <c r="G6593">
        <v>1001000</v>
      </c>
      <c r="H6593" t="s">
        <v>40293</v>
      </c>
      <c r="I6593">
        <v>57446</v>
      </c>
      <c r="J6593">
        <v>4</v>
      </c>
      <c r="K6593">
        <v>4</v>
      </c>
    </row>
    <row r="6594" spans="1:11">
      <c r="A6594">
        <v>90</v>
      </c>
      <c r="B6594" t="b">
        <v>0</v>
      </c>
      <c r="C6594" t="s">
        <v>43673</v>
      </c>
      <c r="D6594">
        <v>1037022454355</v>
      </c>
      <c r="E6594">
        <v>1</v>
      </c>
      <c r="F6594">
        <v>6138256388</v>
      </c>
      <c r="G6594">
        <v>2500000</v>
      </c>
      <c r="H6594" t="s">
        <v>40293</v>
      </c>
      <c r="I6594">
        <v>57447</v>
      </c>
      <c r="J6594">
        <v>20</v>
      </c>
      <c r="K6594">
        <v>26</v>
      </c>
    </row>
    <row r="6595" spans="1:11">
      <c r="A6595">
        <v>14</v>
      </c>
      <c r="B6595" t="b">
        <v>0</v>
      </c>
      <c r="C6595" t="s">
        <v>44337</v>
      </c>
      <c r="D6595">
        <v>1037022454355</v>
      </c>
      <c r="E6595">
        <v>1</v>
      </c>
      <c r="F6595">
        <v>6156718157</v>
      </c>
      <c r="G6595">
        <v>411300000</v>
      </c>
      <c r="H6595" t="s">
        <v>40293</v>
      </c>
      <c r="I6595">
        <v>57449</v>
      </c>
      <c r="J6595">
        <v>1</v>
      </c>
      <c r="K6595">
        <v>1</v>
      </c>
    </row>
    <row r="6596" spans="1:11">
      <c r="A6596">
        <v>90</v>
      </c>
      <c r="B6596" t="b">
        <v>0</v>
      </c>
      <c r="C6596" t="s">
        <v>43294</v>
      </c>
      <c r="D6596">
        <v>1037022454355</v>
      </c>
      <c r="E6596">
        <v>1</v>
      </c>
      <c r="F6596">
        <v>6142504423</v>
      </c>
      <c r="G6596">
        <v>10000000</v>
      </c>
      <c r="H6596" t="s">
        <v>40293</v>
      </c>
      <c r="I6596">
        <v>57449</v>
      </c>
      <c r="J6596">
        <v>1</v>
      </c>
      <c r="K6596">
        <v>1</v>
      </c>
    </row>
    <row r="6597" spans="1:11">
      <c r="A6597">
        <v>30</v>
      </c>
      <c r="B6597" t="b">
        <v>0</v>
      </c>
      <c r="C6597" t="s">
        <v>43980</v>
      </c>
      <c r="D6597">
        <v>1037022454355</v>
      </c>
      <c r="E6597">
        <v>1</v>
      </c>
      <c r="F6597">
        <v>6138429390</v>
      </c>
      <c r="G6597">
        <v>10000000</v>
      </c>
      <c r="H6597" t="s">
        <v>40293</v>
      </c>
      <c r="I6597">
        <v>57452</v>
      </c>
      <c r="J6597">
        <v>8</v>
      </c>
      <c r="K6597">
        <v>8</v>
      </c>
    </row>
    <row r="6598" spans="1:11">
      <c r="A6598">
        <v>90</v>
      </c>
      <c r="B6598" t="b">
        <v>0</v>
      </c>
      <c r="C6598" t="s">
        <v>40297</v>
      </c>
      <c r="D6598">
        <v>1037022454355</v>
      </c>
      <c r="E6598">
        <v>1</v>
      </c>
      <c r="F6598">
        <v>6119325745</v>
      </c>
      <c r="G6598">
        <v>300000</v>
      </c>
      <c r="H6598" t="s">
        <v>40293</v>
      </c>
      <c r="I6598">
        <v>57459</v>
      </c>
      <c r="J6598">
        <v>278</v>
      </c>
      <c r="K6598">
        <v>278</v>
      </c>
    </row>
    <row r="6599" spans="1:11">
      <c r="A6599">
        <v>90</v>
      </c>
      <c r="B6599" t="b">
        <v>0</v>
      </c>
      <c r="C6599" t="s">
        <v>42349</v>
      </c>
      <c r="D6599">
        <v>1037022454355</v>
      </c>
      <c r="E6599">
        <v>1</v>
      </c>
      <c r="F6599">
        <v>6070702324</v>
      </c>
      <c r="G6599">
        <v>14450000</v>
      </c>
      <c r="H6599" t="s">
        <v>40293</v>
      </c>
      <c r="I6599">
        <v>57470</v>
      </c>
      <c r="J6599">
        <v>9</v>
      </c>
      <c r="K6599">
        <v>9</v>
      </c>
    </row>
    <row r="6600" spans="1:11">
      <c r="A6600">
        <v>90</v>
      </c>
      <c r="B6600" t="b">
        <v>0</v>
      </c>
      <c r="C6600" t="s">
        <v>46402</v>
      </c>
      <c r="D6600">
        <v>1037022454355</v>
      </c>
      <c r="E6600">
        <v>1</v>
      </c>
      <c r="F6600">
        <v>6117488859</v>
      </c>
      <c r="G6600">
        <v>14060000</v>
      </c>
      <c r="H6600" t="s">
        <v>40293</v>
      </c>
      <c r="I6600">
        <v>57470</v>
      </c>
      <c r="J6600">
        <v>9</v>
      </c>
      <c r="K6600">
        <v>10</v>
      </c>
    </row>
    <row r="6601" spans="1:11">
      <c r="A6601">
        <v>90</v>
      </c>
      <c r="B6601" t="b">
        <v>0</v>
      </c>
      <c r="C6601" t="s">
        <v>40419</v>
      </c>
      <c r="D6601">
        <v>1037022454355</v>
      </c>
      <c r="E6601">
        <v>1</v>
      </c>
      <c r="F6601">
        <v>6123162658</v>
      </c>
      <c r="G6601">
        <v>268000</v>
      </c>
      <c r="H6601" t="s">
        <v>40293</v>
      </c>
      <c r="I6601">
        <v>57478</v>
      </c>
      <c r="J6601">
        <v>37</v>
      </c>
      <c r="K6601">
        <v>500</v>
      </c>
    </row>
    <row r="6602" spans="1:11">
      <c r="A6602">
        <v>90</v>
      </c>
      <c r="B6602" t="b">
        <v>0</v>
      </c>
      <c r="C6602" t="s">
        <v>46528</v>
      </c>
      <c r="D6602">
        <v>1037022454355</v>
      </c>
      <c r="E6602">
        <v>1</v>
      </c>
      <c r="F6602">
        <v>6156811797</v>
      </c>
      <c r="G6602">
        <v>260000</v>
      </c>
      <c r="H6602" t="s">
        <v>40293</v>
      </c>
      <c r="I6602">
        <v>57478</v>
      </c>
      <c r="J6602">
        <v>170</v>
      </c>
      <c r="K6602">
        <v>170</v>
      </c>
    </row>
    <row r="6603" spans="1:11">
      <c r="A6603">
        <v>30</v>
      </c>
      <c r="B6603" t="b">
        <v>0</v>
      </c>
      <c r="C6603" t="s">
        <v>44814</v>
      </c>
      <c r="D6603">
        <v>1037022454355</v>
      </c>
      <c r="E6603">
        <v>1</v>
      </c>
      <c r="F6603">
        <v>6150891634</v>
      </c>
      <c r="G6603">
        <v>220000</v>
      </c>
      <c r="H6603" t="s">
        <v>40293</v>
      </c>
      <c r="I6603">
        <v>57478</v>
      </c>
      <c r="J6603">
        <v>653</v>
      </c>
      <c r="K6603">
        <v>653</v>
      </c>
    </row>
    <row r="6604" spans="1:11">
      <c r="A6604">
        <v>30</v>
      </c>
      <c r="B6604" t="b">
        <v>0</v>
      </c>
      <c r="C6604" t="s">
        <v>44903</v>
      </c>
      <c r="D6604">
        <v>1037022454355</v>
      </c>
      <c r="E6604">
        <v>1</v>
      </c>
      <c r="F6604">
        <v>6149385532</v>
      </c>
      <c r="G6604">
        <v>220000</v>
      </c>
      <c r="H6604" t="s">
        <v>40293</v>
      </c>
      <c r="I6604">
        <v>57478</v>
      </c>
      <c r="J6604">
        <v>347</v>
      </c>
      <c r="K6604">
        <v>347</v>
      </c>
    </row>
    <row r="6605" spans="1:11">
      <c r="A6605">
        <v>30</v>
      </c>
      <c r="B6605" t="b">
        <v>0</v>
      </c>
      <c r="C6605" t="s">
        <v>46338</v>
      </c>
      <c r="D6605">
        <v>1037022454355</v>
      </c>
      <c r="E6605">
        <v>1</v>
      </c>
      <c r="F6605">
        <v>6153401529</v>
      </c>
      <c r="G6605">
        <v>220000</v>
      </c>
      <c r="H6605" t="s">
        <v>40293</v>
      </c>
      <c r="I6605">
        <v>57478</v>
      </c>
      <c r="J6605">
        <v>500</v>
      </c>
      <c r="K6605">
        <v>500</v>
      </c>
    </row>
    <row r="6606" spans="1:11">
      <c r="A6606">
        <v>90</v>
      </c>
      <c r="B6606" t="b">
        <v>0</v>
      </c>
      <c r="C6606" t="s">
        <v>44480</v>
      </c>
      <c r="D6606">
        <v>1037022454355</v>
      </c>
      <c r="E6606">
        <v>1</v>
      </c>
      <c r="F6606">
        <v>6129064006</v>
      </c>
      <c r="G6606">
        <v>219900</v>
      </c>
      <c r="H6606" t="s">
        <v>40293</v>
      </c>
      <c r="I6606">
        <v>57478</v>
      </c>
      <c r="J6606">
        <v>343</v>
      </c>
      <c r="K6606">
        <v>607</v>
      </c>
    </row>
    <row r="6607" spans="1:11">
      <c r="A6607">
        <v>30</v>
      </c>
      <c r="B6607" t="b">
        <v>0</v>
      </c>
      <c r="C6607" t="s">
        <v>43016</v>
      </c>
      <c r="D6607">
        <v>1037022454355</v>
      </c>
      <c r="E6607">
        <v>1</v>
      </c>
      <c r="F6607">
        <v>6143512906</v>
      </c>
      <c r="G6607">
        <v>350000</v>
      </c>
      <c r="H6607" t="s">
        <v>40293</v>
      </c>
      <c r="I6607">
        <v>57486</v>
      </c>
      <c r="J6607">
        <v>180</v>
      </c>
      <c r="K6607">
        <v>180</v>
      </c>
    </row>
    <row r="6608" spans="1:11">
      <c r="A6608">
        <v>30</v>
      </c>
      <c r="B6608" t="b">
        <v>0</v>
      </c>
      <c r="C6608" t="s">
        <v>44749</v>
      </c>
      <c r="D6608">
        <v>1037022454355</v>
      </c>
      <c r="E6608">
        <v>1</v>
      </c>
      <c r="F6608">
        <v>6150891487</v>
      </c>
      <c r="G6608">
        <v>349700</v>
      </c>
      <c r="H6608" t="s">
        <v>40293</v>
      </c>
      <c r="I6608">
        <v>57486</v>
      </c>
      <c r="J6608">
        <v>150</v>
      </c>
      <c r="K6608">
        <v>150</v>
      </c>
    </row>
    <row r="6609" spans="1:11">
      <c r="A6609">
        <v>30</v>
      </c>
      <c r="B6609" t="b">
        <v>0</v>
      </c>
      <c r="C6609" t="s">
        <v>44913</v>
      </c>
      <c r="D6609">
        <v>1037022454355</v>
      </c>
      <c r="E6609">
        <v>1</v>
      </c>
      <c r="F6609">
        <v>6149385668</v>
      </c>
      <c r="G6609">
        <v>349100</v>
      </c>
      <c r="H6609" t="s">
        <v>40293</v>
      </c>
      <c r="I6609">
        <v>57486</v>
      </c>
      <c r="J6609">
        <v>103</v>
      </c>
      <c r="K6609">
        <v>300</v>
      </c>
    </row>
    <row r="6610" spans="1:11">
      <c r="A6610">
        <v>90</v>
      </c>
      <c r="B6610" t="b">
        <v>0</v>
      </c>
      <c r="C6610" t="s">
        <v>44094</v>
      </c>
      <c r="D6610">
        <v>1037022454355</v>
      </c>
      <c r="E6610">
        <v>1</v>
      </c>
      <c r="F6610">
        <v>6147670704</v>
      </c>
      <c r="G6610">
        <v>349000</v>
      </c>
      <c r="H6610" t="s">
        <v>40293</v>
      </c>
      <c r="I6610">
        <v>57486</v>
      </c>
      <c r="J6610">
        <v>643</v>
      </c>
      <c r="K6610">
        <v>643</v>
      </c>
    </row>
    <row r="6611" spans="1:11">
      <c r="A6611">
        <v>90</v>
      </c>
      <c r="B6611" t="b">
        <v>0</v>
      </c>
      <c r="C6611" t="s">
        <v>46354</v>
      </c>
      <c r="D6611">
        <v>1037022454355</v>
      </c>
      <c r="E6611">
        <v>1</v>
      </c>
      <c r="F6611">
        <v>6153893298</v>
      </c>
      <c r="G6611">
        <v>348200</v>
      </c>
      <c r="H6611" t="s">
        <v>40293</v>
      </c>
      <c r="I6611">
        <v>57486</v>
      </c>
      <c r="J6611">
        <v>2238</v>
      </c>
      <c r="K6611">
        <v>2245</v>
      </c>
    </row>
    <row r="6612" spans="1:11">
      <c r="A6612">
        <v>30</v>
      </c>
      <c r="B6612" t="b">
        <v>0</v>
      </c>
      <c r="C6612" t="s">
        <v>44416</v>
      </c>
      <c r="D6612">
        <v>1037022454355</v>
      </c>
      <c r="E6612">
        <v>1</v>
      </c>
      <c r="F6612">
        <v>6157276343</v>
      </c>
      <c r="G6612">
        <v>348100</v>
      </c>
      <c r="H6612" t="s">
        <v>40293</v>
      </c>
      <c r="I6612">
        <v>57486</v>
      </c>
      <c r="J6612">
        <v>243</v>
      </c>
      <c r="K6612">
        <v>243</v>
      </c>
    </row>
    <row r="6613" spans="1:11">
      <c r="A6613">
        <v>90</v>
      </c>
      <c r="B6613" t="b">
        <v>0</v>
      </c>
      <c r="C6613" t="s">
        <v>42430</v>
      </c>
      <c r="D6613">
        <v>1037022454355</v>
      </c>
      <c r="E6613">
        <v>1</v>
      </c>
      <c r="F6613">
        <v>6135686387</v>
      </c>
      <c r="G6613">
        <v>1800000000</v>
      </c>
      <c r="H6613" t="s">
        <v>40293</v>
      </c>
      <c r="I6613">
        <v>57733</v>
      </c>
      <c r="J6613">
        <v>1</v>
      </c>
      <c r="K6613">
        <v>1</v>
      </c>
    </row>
    <row r="6614" spans="1:11">
      <c r="A6614">
        <v>90</v>
      </c>
      <c r="B6614" t="b">
        <v>0</v>
      </c>
      <c r="C6614" t="s">
        <v>42438</v>
      </c>
      <c r="D6614">
        <v>1037022454355</v>
      </c>
      <c r="E6614">
        <v>1</v>
      </c>
      <c r="F6614">
        <v>6135686775</v>
      </c>
      <c r="G6614">
        <v>250000000</v>
      </c>
      <c r="H6614" t="s">
        <v>40293</v>
      </c>
      <c r="I6614">
        <v>57735</v>
      </c>
      <c r="J6614">
        <v>1</v>
      </c>
      <c r="K6614">
        <v>1</v>
      </c>
    </row>
    <row r="6615" spans="1:11">
      <c r="A6615">
        <v>90</v>
      </c>
      <c r="B6615" t="b">
        <v>0</v>
      </c>
      <c r="C6615" t="s">
        <v>42442</v>
      </c>
      <c r="D6615">
        <v>1037022454355</v>
      </c>
      <c r="E6615">
        <v>1</v>
      </c>
      <c r="F6615">
        <v>6135686941</v>
      </c>
      <c r="G6615">
        <v>900000000</v>
      </c>
      <c r="H6615" t="s">
        <v>40293</v>
      </c>
      <c r="I6615">
        <v>57736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42731</v>
      </c>
      <c r="D6616">
        <v>1037022454355</v>
      </c>
      <c r="E6616">
        <v>1</v>
      </c>
      <c r="F6616">
        <v>6135686588</v>
      </c>
      <c r="G6616">
        <v>470000000</v>
      </c>
      <c r="H6616" t="s">
        <v>40293</v>
      </c>
      <c r="I6616">
        <v>57737</v>
      </c>
      <c r="J6616">
        <v>1</v>
      </c>
      <c r="K6616">
        <v>1</v>
      </c>
    </row>
    <row r="6617" spans="1:11">
      <c r="A6617">
        <v>30</v>
      </c>
      <c r="B6617" t="b">
        <v>0</v>
      </c>
      <c r="C6617" t="s">
        <v>43264</v>
      </c>
      <c r="D6617">
        <v>1037022454355</v>
      </c>
      <c r="E6617">
        <v>1</v>
      </c>
      <c r="F6617">
        <v>6143158929</v>
      </c>
      <c r="G6617">
        <v>325000000</v>
      </c>
      <c r="H6617" t="s">
        <v>40293</v>
      </c>
      <c r="I6617">
        <v>58823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41165</v>
      </c>
      <c r="D6618">
        <v>1037022454355</v>
      </c>
      <c r="E6618">
        <v>1</v>
      </c>
      <c r="F6618">
        <v>6117018651</v>
      </c>
      <c r="G6618">
        <v>70000000</v>
      </c>
      <c r="H6618" t="s">
        <v>40293</v>
      </c>
      <c r="I6618">
        <v>58904</v>
      </c>
      <c r="J6618">
        <v>16</v>
      </c>
      <c r="K6618">
        <v>16</v>
      </c>
    </row>
    <row r="6619" spans="1:11">
      <c r="A6619">
        <v>90</v>
      </c>
      <c r="B6619" t="b">
        <v>0</v>
      </c>
      <c r="C6619" t="s">
        <v>41730</v>
      </c>
      <c r="D6619">
        <v>1037022454355</v>
      </c>
      <c r="E6619">
        <v>1</v>
      </c>
      <c r="F6619">
        <v>6116998373</v>
      </c>
      <c r="G6619">
        <v>70000000</v>
      </c>
      <c r="H6619" t="s">
        <v>40293</v>
      </c>
      <c r="I6619">
        <v>58904</v>
      </c>
      <c r="J6619">
        <v>5</v>
      </c>
      <c r="K6619">
        <v>5</v>
      </c>
    </row>
    <row r="6620" spans="1:11">
      <c r="A6620">
        <v>90</v>
      </c>
      <c r="B6620" t="b">
        <v>0</v>
      </c>
      <c r="C6620" t="s">
        <v>40394</v>
      </c>
      <c r="D6620">
        <v>1037022454355</v>
      </c>
      <c r="E6620">
        <v>1</v>
      </c>
      <c r="F6620">
        <v>6125619562</v>
      </c>
      <c r="G6620">
        <v>68980000</v>
      </c>
      <c r="H6620" t="s">
        <v>40293</v>
      </c>
      <c r="I6620">
        <v>58904</v>
      </c>
      <c r="J6620">
        <v>7</v>
      </c>
      <c r="K6620">
        <v>12</v>
      </c>
    </row>
    <row r="6621" spans="1:11">
      <c r="A6621">
        <v>90</v>
      </c>
      <c r="B6621" t="b">
        <v>0</v>
      </c>
      <c r="C6621" t="s">
        <v>41798</v>
      </c>
      <c r="D6621">
        <v>1037022454355</v>
      </c>
      <c r="E6621">
        <v>1</v>
      </c>
      <c r="F6621">
        <v>6126538580</v>
      </c>
      <c r="G6621">
        <v>60000000</v>
      </c>
      <c r="H6621" t="s">
        <v>40293</v>
      </c>
      <c r="I6621">
        <v>58904</v>
      </c>
      <c r="J6621">
        <v>1</v>
      </c>
      <c r="K6621">
        <v>2</v>
      </c>
    </row>
    <row r="6622" spans="1:11">
      <c r="A6622">
        <v>90</v>
      </c>
      <c r="B6622" t="b">
        <v>0</v>
      </c>
      <c r="C6622" t="s">
        <v>41905</v>
      </c>
      <c r="D6622">
        <v>1037022454355</v>
      </c>
      <c r="E6622">
        <v>1</v>
      </c>
      <c r="F6622">
        <v>6127450180</v>
      </c>
      <c r="G6622">
        <v>55000000</v>
      </c>
      <c r="H6622" t="s">
        <v>40293</v>
      </c>
      <c r="I6622">
        <v>58904</v>
      </c>
      <c r="J6622">
        <v>18</v>
      </c>
      <c r="K6622">
        <v>20</v>
      </c>
    </row>
    <row r="6623" spans="1:11">
      <c r="A6623">
        <v>90</v>
      </c>
      <c r="B6623" t="b">
        <v>0</v>
      </c>
      <c r="C6623" t="s">
        <v>42520</v>
      </c>
      <c r="D6623">
        <v>1037022454355</v>
      </c>
      <c r="E6623">
        <v>1</v>
      </c>
      <c r="F6623">
        <v>6126516258</v>
      </c>
      <c r="G6623">
        <v>52000000</v>
      </c>
      <c r="H6623" t="s">
        <v>40293</v>
      </c>
      <c r="I6623">
        <v>58904</v>
      </c>
      <c r="J6623">
        <v>14</v>
      </c>
      <c r="K6623">
        <v>20</v>
      </c>
    </row>
    <row r="6624" spans="1:11">
      <c r="A6624">
        <v>90</v>
      </c>
      <c r="B6624" t="b">
        <v>0</v>
      </c>
      <c r="C6624" t="s">
        <v>42684</v>
      </c>
      <c r="D6624">
        <v>1037022454355</v>
      </c>
      <c r="E6624">
        <v>1</v>
      </c>
      <c r="F6624">
        <v>6131734906</v>
      </c>
      <c r="G6624">
        <v>51990000</v>
      </c>
      <c r="H6624" t="s">
        <v>40293</v>
      </c>
      <c r="I6624">
        <v>58904</v>
      </c>
      <c r="J6624">
        <v>10</v>
      </c>
      <c r="K6624">
        <v>10</v>
      </c>
    </row>
    <row r="6625" spans="1:11">
      <c r="A6625">
        <v>90</v>
      </c>
      <c r="B6625" t="b">
        <v>0</v>
      </c>
      <c r="C6625" t="s">
        <v>42445</v>
      </c>
      <c r="D6625">
        <v>1037022454355</v>
      </c>
      <c r="E6625">
        <v>1</v>
      </c>
      <c r="F6625">
        <v>6134704060</v>
      </c>
      <c r="G6625">
        <v>51980000</v>
      </c>
      <c r="H6625" t="s">
        <v>40293</v>
      </c>
      <c r="I6625">
        <v>58904</v>
      </c>
      <c r="J6625">
        <v>10</v>
      </c>
      <c r="K6625">
        <v>10</v>
      </c>
    </row>
    <row r="6626" spans="1:11">
      <c r="A6626">
        <v>90</v>
      </c>
      <c r="B6626" t="b">
        <v>0</v>
      </c>
      <c r="C6626" t="s">
        <v>42339</v>
      </c>
      <c r="D6626">
        <v>1037022454355</v>
      </c>
      <c r="E6626">
        <v>1</v>
      </c>
      <c r="F6626">
        <v>6134369546</v>
      </c>
      <c r="G6626">
        <v>48000000</v>
      </c>
      <c r="H6626" t="s">
        <v>40293</v>
      </c>
      <c r="I6626">
        <v>58904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43413</v>
      </c>
      <c r="D6627">
        <v>1037022454355</v>
      </c>
      <c r="E6627">
        <v>1</v>
      </c>
      <c r="F6627">
        <v>6139764466</v>
      </c>
      <c r="G6627">
        <v>45670000</v>
      </c>
      <c r="H6627" t="s">
        <v>40293</v>
      </c>
      <c r="I6627">
        <v>58904</v>
      </c>
      <c r="J6627">
        <v>10</v>
      </c>
      <c r="K6627">
        <v>10</v>
      </c>
    </row>
    <row r="6628" spans="1:11">
      <c r="A6628">
        <v>90</v>
      </c>
      <c r="B6628" t="b">
        <v>0</v>
      </c>
      <c r="C6628" t="s">
        <v>43401</v>
      </c>
      <c r="D6628">
        <v>1037022454355</v>
      </c>
      <c r="E6628">
        <v>1</v>
      </c>
      <c r="F6628">
        <v>6131038443</v>
      </c>
      <c r="G6628">
        <v>45650000</v>
      </c>
      <c r="H6628" t="s">
        <v>40293</v>
      </c>
      <c r="I6628">
        <v>58904</v>
      </c>
      <c r="J6628">
        <v>8</v>
      </c>
      <c r="K6628">
        <v>10</v>
      </c>
    </row>
    <row r="6629" spans="1:11">
      <c r="A6629">
        <v>90</v>
      </c>
      <c r="B6629" t="b">
        <v>0</v>
      </c>
      <c r="C6629" t="s">
        <v>46423</v>
      </c>
      <c r="D6629">
        <v>1037022454355</v>
      </c>
      <c r="E6629">
        <v>1</v>
      </c>
      <c r="F6629">
        <v>6151895519</v>
      </c>
      <c r="G6629">
        <v>45630000</v>
      </c>
      <c r="H6629" t="s">
        <v>40293</v>
      </c>
      <c r="I6629">
        <v>58904</v>
      </c>
      <c r="J6629">
        <v>15</v>
      </c>
      <c r="K6629">
        <v>15</v>
      </c>
    </row>
    <row r="6630" spans="1:11">
      <c r="A6630">
        <v>90</v>
      </c>
      <c r="B6630" t="b">
        <v>0</v>
      </c>
      <c r="C6630" t="s">
        <v>44259</v>
      </c>
      <c r="D6630">
        <v>1037022454355</v>
      </c>
      <c r="E6630">
        <v>1</v>
      </c>
      <c r="F6630">
        <v>6153734966</v>
      </c>
      <c r="G6630">
        <v>45610000</v>
      </c>
      <c r="H6630" t="s">
        <v>40293</v>
      </c>
      <c r="I6630">
        <v>58904</v>
      </c>
      <c r="J6630">
        <v>2</v>
      </c>
      <c r="K6630">
        <v>2</v>
      </c>
    </row>
    <row r="6631" spans="1:11">
      <c r="A6631">
        <v>30</v>
      </c>
      <c r="B6631" t="b">
        <v>0</v>
      </c>
      <c r="C6631" t="s">
        <v>46535</v>
      </c>
      <c r="D6631">
        <v>1037022454355</v>
      </c>
      <c r="E6631">
        <v>1</v>
      </c>
      <c r="F6631">
        <v>6152584802</v>
      </c>
      <c r="G6631">
        <v>45600000</v>
      </c>
      <c r="H6631" t="s">
        <v>40293</v>
      </c>
      <c r="I6631">
        <v>58904</v>
      </c>
      <c r="J6631">
        <v>4</v>
      </c>
      <c r="K6631">
        <v>5</v>
      </c>
    </row>
    <row r="6632" spans="1:11">
      <c r="A6632">
        <v>90</v>
      </c>
      <c r="B6632" t="b">
        <v>0</v>
      </c>
      <c r="C6632" t="s">
        <v>40873</v>
      </c>
      <c r="D6632">
        <v>1037022454355</v>
      </c>
      <c r="E6632">
        <v>1</v>
      </c>
      <c r="F6632">
        <v>6125761587</v>
      </c>
      <c r="G6632">
        <v>170000000</v>
      </c>
      <c r="H6632" t="s">
        <v>40293</v>
      </c>
      <c r="I6632">
        <v>58905</v>
      </c>
      <c r="J6632">
        <v>1</v>
      </c>
      <c r="K6632">
        <v>1</v>
      </c>
    </row>
    <row r="6633" spans="1:11">
      <c r="A6633">
        <v>90</v>
      </c>
      <c r="B6633" t="b">
        <v>0</v>
      </c>
      <c r="C6633" t="s">
        <v>40919</v>
      </c>
      <c r="D6633">
        <v>1037022454355</v>
      </c>
      <c r="E6633">
        <v>1</v>
      </c>
      <c r="F6633">
        <v>6100596653</v>
      </c>
      <c r="G6633">
        <v>93980</v>
      </c>
      <c r="H6633" t="s">
        <v>40293</v>
      </c>
      <c r="I6633">
        <v>58919</v>
      </c>
      <c r="J6633">
        <v>50</v>
      </c>
      <c r="K6633">
        <v>55</v>
      </c>
    </row>
    <row r="6634" spans="1:11">
      <c r="A6634">
        <v>90</v>
      </c>
      <c r="B6634" t="b">
        <v>0</v>
      </c>
      <c r="C6634" t="s">
        <v>44124</v>
      </c>
      <c r="D6634">
        <v>1037022454355</v>
      </c>
      <c r="E6634">
        <v>1</v>
      </c>
      <c r="F6634">
        <v>6154450470</v>
      </c>
      <c r="G6634">
        <v>93970</v>
      </c>
      <c r="H6634" t="s">
        <v>40293</v>
      </c>
      <c r="I6634">
        <v>58919</v>
      </c>
      <c r="J6634">
        <v>43</v>
      </c>
      <c r="K6634">
        <v>50</v>
      </c>
    </row>
    <row r="6635" spans="1:11">
      <c r="A6635">
        <v>90</v>
      </c>
      <c r="B6635" t="b">
        <v>0</v>
      </c>
      <c r="C6635" t="s">
        <v>43967</v>
      </c>
      <c r="D6635">
        <v>1037022454355</v>
      </c>
      <c r="E6635">
        <v>1</v>
      </c>
      <c r="F6635">
        <v>6138265181</v>
      </c>
      <c r="G6635">
        <v>2500000</v>
      </c>
      <c r="H6635" t="s">
        <v>40293</v>
      </c>
      <c r="I6635">
        <v>58966</v>
      </c>
      <c r="J6635">
        <v>35</v>
      </c>
      <c r="K6635">
        <v>57</v>
      </c>
    </row>
    <row r="6636" spans="1:11">
      <c r="A6636">
        <v>90</v>
      </c>
      <c r="B6636" t="b">
        <v>0</v>
      </c>
      <c r="C6636" t="s">
        <v>41869</v>
      </c>
      <c r="D6636">
        <v>1037022454355</v>
      </c>
      <c r="E6636">
        <v>1</v>
      </c>
      <c r="F6636">
        <v>6128803632</v>
      </c>
      <c r="G6636">
        <v>790000</v>
      </c>
      <c r="H6636" t="s">
        <v>40293</v>
      </c>
      <c r="I6636">
        <v>58971</v>
      </c>
      <c r="J6636">
        <v>35</v>
      </c>
      <c r="K6636">
        <v>36</v>
      </c>
    </row>
    <row r="6637" spans="1:11">
      <c r="A6637">
        <v>90</v>
      </c>
      <c r="B6637" t="b">
        <v>0</v>
      </c>
      <c r="C6637" t="s">
        <v>44598</v>
      </c>
      <c r="D6637">
        <v>1037022454355</v>
      </c>
      <c r="E6637">
        <v>1</v>
      </c>
      <c r="F6637">
        <v>6148431559</v>
      </c>
      <c r="G6637">
        <v>789900</v>
      </c>
      <c r="H6637" t="s">
        <v>40293</v>
      </c>
      <c r="I6637">
        <v>58971</v>
      </c>
      <c r="J6637">
        <v>12</v>
      </c>
      <c r="K6637">
        <v>18</v>
      </c>
    </row>
    <row r="6638" spans="1:11">
      <c r="A6638">
        <v>90</v>
      </c>
      <c r="B6638" t="b">
        <v>0</v>
      </c>
      <c r="C6638" t="s">
        <v>45173</v>
      </c>
      <c r="D6638">
        <v>1037022454355</v>
      </c>
      <c r="E6638">
        <v>1</v>
      </c>
      <c r="F6638">
        <v>6149782192</v>
      </c>
      <c r="G6638">
        <v>3000000</v>
      </c>
      <c r="H6638" t="s">
        <v>40293</v>
      </c>
      <c r="I6638">
        <v>58972</v>
      </c>
      <c r="J6638">
        <v>5</v>
      </c>
      <c r="K6638">
        <v>9</v>
      </c>
    </row>
    <row r="6639" spans="1:11">
      <c r="A6639">
        <v>90</v>
      </c>
      <c r="B6639" t="b">
        <v>0</v>
      </c>
      <c r="C6639" t="s">
        <v>45974</v>
      </c>
      <c r="D6639">
        <v>1037022454355</v>
      </c>
      <c r="E6639">
        <v>1</v>
      </c>
      <c r="F6639">
        <v>6157197546</v>
      </c>
      <c r="G6639">
        <v>2938000</v>
      </c>
      <c r="H6639" t="s">
        <v>40293</v>
      </c>
      <c r="I6639">
        <v>58972</v>
      </c>
      <c r="J6639">
        <v>18</v>
      </c>
      <c r="K6639">
        <v>20</v>
      </c>
    </row>
    <row r="6640" spans="1:11">
      <c r="A6640">
        <v>90</v>
      </c>
      <c r="B6640" t="b">
        <v>0</v>
      </c>
      <c r="C6640" t="s">
        <v>40388</v>
      </c>
      <c r="D6640">
        <v>1037022454355</v>
      </c>
      <c r="E6640">
        <v>1</v>
      </c>
      <c r="F6640">
        <v>6094031146</v>
      </c>
      <c r="G6640">
        <v>1000000</v>
      </c>
      <c r="H6640" t="s">
        <v>40293</v>
      </c>
      <c r="I6640">
        <v>59369</v>
      </c>
      <c r="J6640">
        <v>121</v>
      </c>
      <c r="K6640">
        <v>125</v>
      </c>
    </row>
    <row r="6641" spans="1:11">
      <c r="A6641">
        <v>90</v>
      </c>
      <c r="B6641" t="b">
        <v>0</v>
      </c>
      <c r="C6641" t="s">
        <v>41557</v>
      </c>
      <c r="D6641">
        <v>1037022454355</v>
      </c>
      <c r="E6641">
        <v>1</v>
      </c>
      <c r="F6641">
        <v>6075051380</v>
      </c>
      <c r="G6641">
        <v>995500</v>
      </c>
      <c r="H6641" t="s">
        <v>40293</v>
      </c>
      <c r="I6641">
        <v>59405</v>
      </c>
      <c r="J6641">
        <v>1</v>
      </c>
      <c r="K6641">
        <v>1</v>
      </c>
    </row>
    <row r="6642" spans="1:11">
      <c r="A6642">
        <v>90</v>
      </c>
      <c r="B6642" t="b">
        <v>0</v>
      </c>
      <c r="C6642" t="s">
        <v>42380</v>
      </c>
      <c r="D6642">
        <v>1037022454355</v>
      </c>
      <c r="E6642">
        <v>1</v>
      </c>
      <c r="F6642">
        <v>6137911538</v>
      </c>
      <c r="G6642">
        <v>20000000</v>
      </c>
      <c r="H6642" t="s">
        <v>40293</v>
      </c>
      <c r="I6642">
        <v>59408</v>
      </c>
      <c r="J6642">
        <v>1</v>
      </c>
      <c r="K6642">
        <v>1</v>
      </c>
    </row>
    <row r="6643" spans="1:11">
      <c r="A6643">
        <v>90</v>
      </c>
      <c r="B6643" t="b">
        <v>0</v>
      </c>
      <c r="C6643" t="s">
        <v>40823</v>
      </c>
      <c r="D6643">
        <v>1037022454355</v>
      </c>
      <c r="E6643">
        <v>1</v>
      </c>
      <c r="F6643">
        <v>6096203004</v>
      </c>
      <c r="G6643">
        <v>1000000</v>
      </c>
      <c r="H6643" t="s">
        <v>40293</v>
      </c>
      <c r="I6643">
        <v>60077</v>
      </c>
      <c r="J6643">
        <v>13</v>
      </c>
      <c r="K6643">
        <v>13</v>
      </c>
    </row>
    <row r="6644" spans="1:11">
      <c r="A6644">
        <v>90</v>
      </c>
      <c r="B6644" t="b">
        <v>0</v>
      </c>
      <c r="C6644" t="s">
        <v>40906</v>
      </c>
      <c r="D6644">
        <v>1037022454355</v>
      </c>
      <c r="E6644">
        <v>1</v>
      </c>
      <c r="F6644">
        <v>6107870983</v>
      </c>
      <c r="G6644">
        <v>999100</v>
      </c>
      <c r="H6644" t="s">
        <v>40293</v>
      </c>
      <c r="I6644">
        <v>60077</v>
      </c>
      <c r="J6644">
        <v>6</v>
      </c>
      <c r="K6644">
        <v>6</v>
      </c>
    </row>
    <row r="6645" spans="1:11">
      <c r="A6645">
        <v>90</v>
      </c>
      <c r="B6645" t="b">
        <v>0</v>
      </c>
      <c r="C6645" t="s">
        <v>40882</v>
      </c>
      <c r="D6645">
        <v>1037022454355</v>
      </c>
      <c r="E6645">
        <v>1</v>
      </c>
      <c r="F6645">
        <v>6105019628</v>
      </c>
      <c r="G6645">
        <v>999000</v>
      </c>
      <c r="H6645" t="s">
        <v>40293</v>
      </c>
      <c r="I6645">
        <v>60077</v>
      </c>
      <c r="J6645">
        <v>44</v>
      </c>
      <c r="K6645">
        <v>50</v>
      </c>
    </row>
    <row r="6646" spans="1:11">
      <c r="A6646">
        <v>90</v>
      </c>
      <c r="B6646" t="b">
        <v>0</v>
      </c>
      <c r="C6646" t="s">
        <v>41549</v>
      </c>
      <c r="D6646">
        <v>1037022454355</v>
      </c>
      <c r="E6646">
        <v>1</v>
      </c>
      <c r="F6646">
        <v>6114798736</v>
      </c>
      <c r="G6646">
        <v>1000000</v>
      </c>
      <c r="H6646" t="s">
        <v>40293</v>
      </c>
      <c r="I6646">
        <v>60078</v>
      </c>
      <c r="J6646">
        <v>83</v>
      </c>
      <c r="K6646">
        <v>91</v>
      </c>
    </row>
    <row r="6647" spans="1:11">
      <c r="A6647">
        <v>90</v>
      </c>
      <c r="B6647" t="b">
        <v>0</v>
      </c>
      <c r="C6647" t="s">
        <v>41753</v>
      </c>
      <c r="D6647">
        <v>1037022454355</v>
      </c>
      <c r="E6647">
        <v>1</v>
      </c>
      <c r="F6647">
        <v>6121127652</v>
      </c>
      <c r="G6647">
        <v>1000000</v>
      </c>
      <c r="H6647" t="s">
        <v>40293</v>
      </c>
      <c r="I6647">
        <v>60079</v>
      </c>
      <c r="J6647">
        <v>99</v>
      </c>
      <c r="K6647">
        <v>99</v>
      </c>
    </row>
    <row r="6648" spans="1:11">
      <c r="A6648">
        <v>90</v>
      </c>
      <c r="B6648" t="b">
        <v>0</v>
      </c>
      <c r="C6648" t="s">
        <v>41429</v>
      </c>
      <c r="D6648">
        <v>1037022454355</v>
      </c>
      <c r="E6648">
        <v>1</v>
      </c>
      <c r="F6648">
        <v>6119940148</v>
      </c>
      <c r="G6648">
        <v>250000</v>
      </c>
      <c r="H6648" t="s">
        <v>40293</v>
      </c>
      <c r="I6648">
        <v>60079</v>
      </c>
      <c r="J6648">
        <v>2</v>
      </c>
      <c r="K6648">
        <v>2</v>
      </c>
    </row>
    <row r="6649" spans="1:11">
      <c r="A6649">
        <v>90</v>
      </c>
      <c r="B6649" t="b">
        <v>0</v>
      </c>
      <c r="C6649" t="s">
        <v>41405</v>
      </c>
      <c r="D6649">
        <v>1037022454355</v>
      </c>
      <c r="E6649">
        <v>1</v>
      </c>
      <c r="F6649">
        <v>6122626558</v>
      </c>
      <c r="G6649">
        <v>200000</v>
      </c>
      <c r="H6649" t="s">
        <v>40293</v>
      </c>
      <c r="I6649">
        <v>60079</v>
      </c>
      <c r="J6649">
        <v>6</v>
      </c>
      <c r="K6649">
        <v>6</v>
      </c>
    </row>
    <row r="6650" spans="1:11">
      <c r="A6650">
        <v>90</v>
      </c>
      <c r="B6650" t="b">
        <v>0</v>
      </c>
      <c r="C6650" t="s">
        <v>40739</v>
      </c>
      <c r="D6650">
        <v>1037022454355</v>
      </c>
      <c r="E6650">
        <v>1</v>
      </c>
      <c r="F6650">
        <v>6122090781</v>
      </c>
      <c r="G6650">
        <v>1000000</v>
      </c>
      <c r="H6650" t="s">
        <v>40293</v>
      </c>
      <c r="I6650">
        <v>60080</v>
      </c>
      <c r="J6650">
        <v>25</v>
      </c>
      <c r="K6650">
        <v>25</v>
      </c>
    </row>
    <row r="6651" spans="1:11">
      <c r="A6651">
        <v>90</v>
      </c>
      <c r="B6651" t="b">
        <v>0</v>
      </c>
      <c r="C6651" t="s">
        <v>40878</v>
      </c>
      <c r="D6651">
        <v>1037022454355</v>
      </c>
      <c r="E6651">
        <v>1</v>
      </c>
      <c r="F6651">
        <v>6095778957</v>
      </c>
      <c r="G6651">
        <v>20000000</v>
      </c>
      <c r="H6651" t="s">
        <v>40293</v>
      </c>
      <c r="I6651">
        <v>60159</v>
      </c>
      <c r="J6651">
        <v>1</v>
      </c>
      <c r="K6651">
        <v>1</v>
      </c>
    </row>
    <row r="6652" spans="1:11">
      <c r="A6652">
        <v>90</v>
      </c>
      <c r="B6652" t="b">
        <v>0</v>
      </c>
      <c r="C6652" t="s">
        <v>40623</v>
      </c>
      <c r="D6652">
        <v>1037022454355</v>
      </c>
      <c r="E6652">
        <v>1</v>
      </c>
      <c r="F6652">
        <v>6097607949</v>
      </c>
      <c r="G6652">
        <v>18000000</v>
      </c>
      <c r="H6652" t="s">
        <v>40293</v>
      </c>
      <c r="I6652">
        <v>60208</v>
      </c>
      <c r="J6652">
        <v>1</v>
      </c>
      <c r="K6652">
        <v>1</v>
      </c>
    </row>
    <row r="6653" spans="1:11">
      <c r="A6653">
        <v>90</v>
      </c>
      <c r="B6653" t="b">
        <v>0</v>
      </c>
      <c r="C6653" t="s">
        <v>40639</v>
      </c>
      <c r="D6653">
        <v>1037022454355</v>
      </c>
      <c r="E6653">
        <v>1</v>
      </c>
      <c r="F6653">
        <v>6097608311</v>
      </c>
      <c r="G6653">
        <v>5000000</v>
      </c>
      <c r="H6653" t="s">
        <v>40293</v>
      </c>
      <c r="I6653">
        <v>60213</v>
      </c>
      <c r="J6653">
        <v>1</v>
      </c>
      <c r="K6653">
        <v>1</v>
      </c>
    </row>
    <row r="6654" spans="1:11">
      <c r="A6654">
        <v>90</v>
      </c>
      <c r="B6654" t="b">
        <v>0</v>
      </c>
      <c r="C6654" t="s">
        <v>40620</v>
      </c>
      <c r="D6654">
        <v>1037022454355</v>
      </c>
      <c r="E6654">
        <v>1</v>
      </c>
      <c r="F6654">
        <v>6097607877</v>
      </c>
      <c r="G6654">
        <v>7500000</v>
      </c>
      <c r="H6654" t="s">
        <v>40293</v>
      </c>
      <c r="I6654">
        <v>60214</v>
      </c>
      <c r="J6654">
        <v>1</v>
      </c>
      <c r="K6654">
        <v>1</v>
      </c>
    </row>
    <row r="6655" spans="1:11">
      <c r="A6655">
        <v>90</v>
      </c>
      <c r="B6655" t="b">
        <v>0</v>
      </c>
      <c r="C6655" t="s">
        <v>40636</v>
      </c>
      <c r="D6655">
        <v>1037022454355</v>
      </c>
      <c r="E6655">
        <v>1</v>
      </c>
      <c r="F6655">
        <v>6097608233</v>
      </c>
      <c r="G6655">
        <v>4500000</v>
      </c>
      <c r="H6655" t="s">
        <v>40293</v>
      </c>
      <c r="I6655">
        <v>60216</v>
      </c>
      <c r="J6655">
        <v>1</v>
      </c>
      <c r="K6655">
        <v>1</v>
      </c>
    </row>
    <row r="6656" spans="1:11">
      <c r="A6656">
        <v>90</v>
      </c>
      <c r="B6656" t="b">
        <v>0</v>
      </c>
      <c r="C6656" t="s">
        <v>40627</v>
      </c>
      <c r="D6656">
        <v>1037022454355</v>
      </c>
      <c r="E6656">
        <v>1</v>
      </c>
      <c r="F6656">
        <v>6097608029</v>
      </c>
      <c r="G6656">
        <v>12000000</v>
      </c>
      <c r="H6656" t="s">
        <v>40293</v>
      </c>
      <c r="I6656">
        <v>60217</v>
      </c>
      <c r="J6656">
        <v>1</v>
      </c>
      <c r="K6656">
        <v>1</v>
      </c>
    </row>
    <row r="6657" spans="1:11">
      <c r="A6657">
        <v>90</v>
      </c>
      <c r="B6657" t="b">
        <v>0</v>
      </c>
      <c r="C6657" t="s">
        <v>40634</v>
      </c>
      <c r="D6657">
        <v>1037022454355</v>
      </c>
      <c r="E6657">
        <v>1</v>
      </c>
      <c r="F6657">
        <v>6097608182</v>
      </c>
      <c r="G6657">
        <v>3800000</v>
      </c>
      <c r="H6657" t="s">
        <v>40293</v>
      </c>
      <c r="I6657">
        <v>60219</v>
      </c>
      <c r="J6657">
        <v>1</v>
      </c>
      <c r="K6657">
        <v>1</v>
      </c>
    </row>
    <row r="6658" spans="1:11">
      <c r="A6658">
        <v>90</v>
      </c>
      <c r="B6658" t="b">
        <v>0</v>
      </c>
      <c r="C6658" t="s">
        <v>40613</v>
      </c>
      <c r="D6658">
        <v>1037022454355</v>
      </c>
      <c r="E6658">
        <v>1</v>
      </c>
      <c r="F6658">
        <v>6097607765</v>
      </c>
      <c r="G6658">
        <v>10000000</v>
      </c>
      <c r="H6658" t="s">
        <v>40293</v>
      </c>
      <c r="I6658">
        <v>60220</v>
      </c>
      <c r="J6658">
        <v>1</v>
      </c>
      <c r="K6658">
        <v>1</v>
      </c>
    </row>
    <row r="6659" spans="1:11">
      <c r="A6659">
        <v>90</v>
      </c>
      <c r="B6659" t="b">
        <v>0</v>
      </c>
      <c r="C6659" t="s">
        <v>40640</v>
      </c>
      <c r="D6659">
        <v>1037022454355</v>
      </c>
      <c r="E6659">
        <v>1</v>
      </c>
      <c r="F6659">
        <v>6097608331</v>
      </c>
      <c r="G6659">
        <v>6500000</v>
      </c>
      <c r="H6659" t="s">
        <v>40293</v>
      </c>
      <c r="I6659">
        <v>60222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40700</v>
      </c>
      <c r="D6660">
        <v>1037022454355</v>
      </c>
      <c r="E6660">
        <v>1</v>
      </c>
      <c r="F6660">
        <v>6122087220</v>
      </c>
      <c r="G6660">
        <v>100000000</v>
      </c>
      <c r="H6660" t="s">
        <v>40293</v>
      </c>
      <c r="I6660">
        <v>60244</v>
      </c>
      <c r="J6660">
        <v>3</v>
      </c>
      <c r="K6660">
        <v>4</v>
      </c>
    </row>
    <row r="6661" spans="1:11">
      <c r="A6661">
        <v>90</v>
      </c>
      <c r="B6661" t="b">
        <v>0</v>
      </c>
      <c r="C6661" t="s">
        <v>42316</v>
      </c>
      <c r="D6661">
        <v>1037022454355</v>
      </c>
      <c r="E6661">
        <v>1</v>
      </c>
      <c r="F6661">
        <v>6137714291</v>
      </c>
      <c r="G6661">
        <v>84000000</v>
      </c>
      <c r="H6661" t="s">
        <v>40293</v>
      </c>
      <c r="I6661">
        <v>60244</v>
      </c>
      <c r="J6661">
        <v>5</v>
      </c>
      <c r="K6661">
        <v>5</v>
      </c>
    </row>
    <row r="6662" spans="1:11">
      <c r="A6662">
        <v>90</v>
      </c>
      <c r="B6662" t="b">
        <v>0</v>
      </c>
      <c r="C6662" t="s">
        <v>43126</v>
      </c>
      <c r="D6662">
        <v>1037022454355</v>
      </c>
      <c r="E6662">
        <v>1</v>
      </c>
      <c r="F6662">
        <v>6136241198</v>
      </c>
      <c r="G6662">
        <v>83000000</v>
      </c>
      <c r="H6662" t="s">
        <v>40293</v>
      </c>
      <c r="I6662">
        <v>60244</v>
      </c>
      <c r="J6662">
        <v>5</v>
      </c>
      <c r="K6662">
        <v>5</v>
      </c>
    </row>
    <row r="6663" spans="1:11">
      <c r="A6663">
        <v>30</v>
      </c>
      <c r="B6663" t="b">
        <v>0</v>
      </c>
      <c r="C6663" t="s">
        <v>43088</v>
      </c>
      <c r="D6663">
        <v>1037022454355</v>
      </c>
      <c r="E6663">
        <v>1</v>
      </c>
      <c r="F6663">
        <v>6144399526</v>
      </c>
      <c r="G6663">
        <v>82950000</v>
      </c>
      <c r="H6663" t="s">
        <v>40293</v>
      </c>
      <c r="I6663">
        <v>60244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43415</v>
      </c>
      <c r="D6664">
        <v>1037022454355</v>
      </c>
      <c r="E6664">
        <v>1</v>
      </c>
      <c r="F6664">
        <v>6134774260</v>
      </c>
      <c r="G6664">
        <v>82940000</v>
      </c>
      <c r="H6664" t="s">
        <v>40293</v>
      </c>
      <c r="I6664">
        <v>60244</v>
      </c>
      <c r="J6664">
        <v>2</v>
      </c>
      <c r="K6664">
        <v>6</v>
      </c>
    </row>
    <row r="6665" spans="1:11">
      <c r="A6665">
        <v>90</v>
      </c>
      <c r="B6665" t="b">
        <v>0</v>
      </c>
      <c r="C6665" t="s">
        <v>43336</v>
      </c>
      <c r="D6665">
        <v>1037022454355</v>
      </c>
      <c r="E6665">
        <v>1</v>
      </c>
      <c r="F6665">
        <v>6137950687</v>
      </c>
      <c r="G6665">
        <v>82930000</v>
      </c>
      <c r="H6665" t="s">
        <v>40293</v>
      </c>
      <c r="I6665">
        <v>60244</v>
      </c>
      <c r="J6665">
        <v>3</v>
      </c>
      <c r="K6665">
        <v>4</v>
      </c>
    </row>
    <row r="6666" spans="1:11">
      <c r="A6666">
        <v>30</v>
      </c>
      <c r="B6666" t="b">
        <v>0</v>
      </c>
      <c r="C6666" t="s">
        <v>44076</v>
      </c>
      <c r="D6666">
        <v>1037022454355</v>
      </c>
      <c r="E6666">
        <v>1</v>
      </c>
      <c r="F6666">
        <v>6152421895</v>
      </c>
      <c r="G6666">
        <v>69000000</v>
      </c>
      <c r="H6666" t="s">
        <v>40293</v>
      </c>
      <c r="I6666">
        <v>60244</v>
      </c>
      <c r="J6666">
        <v>1</v>
      </c>
      <c r="K6666">
        <v>1</v>
      </c>
    </row>
    <row r="6667" spans="1:11">
      <c r="A6667">
        <v>30</v>
      </c>
      <c r="B6667" t="b">
        <v>0</v>
      </c>
      <c r="C6667" t="s">
        <v>45508</v>
      </c>
      <c r="D6667">
        <v>1037022454355</v>
      </c>
      <c r="E6667">
        <v>1</v>
      </c>
      <c r="F6667">
        <v>6152407904</v>
      </c>
      <c r="G6667">
        <v>69000000</v>
      </c>
      <c r="H6667" t="s">
        <v>40293</v>
      </c>
      <c r="I6667">
        <v>60244</v>
      </c>
      <c r="J6667">
        <v>1</v>
      </c>
      <c r="K6667">
        <v>1</v>
      </c>
    </row>
    <row r="6668" spans="1:11">
      <c r="A6668">
        <v>90</v>
      </c>
      <c r="B6668" t="b">
        <v>0</v>
      </c>
      <c r="C6668" t="s">
        <v>46117</v>
      </c>
      <c r="D6668">
        <v>1037022454355</v>
      </c>
      <c r="E6668">
        <v>1</v>
      </c>
      <c r="F6668">
        <v>6147729669</v>
      </c>
      <c r="G6668">
        <v>68990000</v>
      </c>
      <c r="H6668" t="s">
        <v>40293</v>
      </c>
      <c r="I6668">
        <v>60244</v>
      </c>
      <c r="J6668">
        <v>15</v>
      </c>
      <c r="K6668">
        <v>15</v>
      </c>
    </row>
    <row r="6669" spans="1:11">
      <c r="A6669">
        <v>90</v>
      </c>
      <c r="B6669" t="b">
        <v>0</v>
      </c>
      <c r="C6669" t="s">
        <v>45574</v>
      </c>
      <c r="D6669">
        <v>1037022454355</v>
      </c>
      <c r="E6669">
        <v>1</v>
      </c>
      <c r="F6669">
        <v>6154210906</v>
      </c>
      <c r="G6669">
        <v>125000</v>
      </c>
      <c r="H6669" t="s">
        <v>40293</v>
      </c>
      <c r="I6669">
        <v>60276</v>
      </c>
      <c r="J6669">
        <v>2</v>
      </c>
      <c r="K6669">
        <v>2</v>
      </c>
    </row>
    <row r="6670" spans="1:11">
      <c r="A6670">
        <v>90</v>
      </c>
      <c r="B6670" t="b">
        <v>0</v>
      </c>
      <c r="C6670" t="s">
        <v>45007</v>
      </c>
      <c r="D6670">
        <v>1037022454355</v>
      </c>
      <c r="E6670">
        <v>1</v>
      </c>
      <c r="F6670">
        <v>6149812696</v>
      </c>
      <c r="G6670">
        <v>480100</v>
      </c>
      <c r="H6670" t="s">
        <v>40293</v>
      </c>
      <c r="I6670">
        <v>60281</v>
      </c>
      <c r="J6670">
        <v>4</v>
      </c>
      <c r="K6670">
        <v>4</v>
      </c>
    </row>
    <row r="6671" spans="1:11">
      <c r="A6671">
        <v>90</v>
      </c>
      <c r="B6671" t="b">
        <v>0</v>
      </c>
      <c r="C6671" t="s">
        <v>44933</v>
      </c>
      <c r="D6671">
        <v>1037022454355</v>
      </c>
      <c r="E6671">
        <v>1</v>
      </c>
      <c r="F6671">
        <v>6149811896</v>
      </c>
      <c r="G6671">
        <v>480000</v>
      </c>
      <c r="H6671" t="s">
        <v>40293</v>
      </c>
      <c r="I6671">
        <v>60281</v>
      </c>
      <c r="J6671">
        <v>4</v>
      </c>
      <c r="K6671">
        <v>4</v>
      </c>
    </row>
    <row r="6672" spans="1:11">
      <c r="A6672">
        <v>90</v>
      </c>
      <c r="B6672" t="b">
        <v>0</v>
      </c>
      <c r="C6672" t="s">
        <v>45582</v>
      </c>
      <c r="D6672">
        <v>1037022454355</v>
      </c>
      <c r="E6672">
        <v>1</v>
      </c>
      <c r="F6672">
        <v>6154211046</v>
      </c>
      <c r="G6672">
        <v>450000</v>
      </c>
      <c r="H6672" t="s">
        <v>40293</v>
      </c>
      <c r="I6672">
        <v>60281</v>
      </c>
      <c r="J6672">
        <v>335</v>
      </c>
      <c r="K6672">
        <v>351</v>
      </c>
    </row>
    <row r="6673" spans="1:11">
      <c r="A6673">
        <v>90</v>
      </c>
      <c r="B6673" t="b">
        <v>0</v>
      </c>
      <c r="C6673" t="s">
        <v>46144</v>
      </c>
      <c r="D6673">
        <v>1037022454355</v>
      </c>
      <c r="E6673">
        <v>1</v>
      </c>
      <c r="F6673">
        <v>6156396310</v>
      </c>
      <c r="G6673">
        <v>449900</v>
      </c>
      <c r="H6673" t="s">
        <v>40293</v>
      </c>
      <c r="I6673">
        <v>60281</v>
      </c>
      <c r="J6673">
        <v>10</v>
      </c>
      <c r="K6673">
        <v>10</v>
      </c>
    </row>
    <row r="6674" spans="1:11">
      <c r="A6674">
        <v>90</v>
      </c>
      <c r="B6674" t="b">
        <v>0</v>
      </c>
      <c r="C6674" t="s">
        <v>45362</v>
      </c>
      <c r="D6674">
        <v>1037022454355</v>
      </c>
      <c r="E6674">
        <v>1</v>
      </c>
      <c r="F6674">
        <v>6152013008</v>
      </c>
      <c r="G6674">
        <v>1800000</v>
      </c>
      <c r="H6674" t="s">
        <v>40293</v>
      </c>
      <c r="I6674">
        <v>60283</v>
      </c>
      <c r="J6674">
        <v>20</v>
      </c>
      <c r="K6674">
        <v>20</v>
      </c>
    </row>
    <row r="6675" spans="1:11">
      <c r="A6675">
        <v>90</v>
      </c>
      <c r="B6675" t="b">
        <v>0</v>
      </c>
      <c r="C6675" t="s">
        <v>45526</v>
      </c>
      <c r="D6675">
        <v>1037022454355</v>
      </c>
      <c r="E6675">
        <v>1</v>
      </c>
      <c r="F6675">
        <v>6154210425</v>
      </c>
      <c r="G6675">
        <v>500000</v>
      </c>
      <c r="H6675" t="s">
        <v>40293</v>
      </c>
      <c r="I6675">
        <v>60288</v>
      </c>
      <c r="J6675">
        <v>354</v>
      </c>
      <c r="K6675">
        <v>354</v>
      </c>
    </row>
    <row r="6676" spans="1:11">
      <c r="A6676">
        <v>90</v>
      </c>
      <c r="B6676" t="b">
        <v>0</v>
      </c>
      <c r="C6676" t="s">
        <v>44666</v>
      </c>
      <c r="D6676">
        <v>1037022454355</v>
      </c>
      <c r="E6676">
        <v>1</v>
      </c>
      <c r="F6676">
        <v>6148629021</v>
      </c>
      <c r="G6676">
        <v>450000</v>
      </c>
      <c r="H6676" t="s">
        <v>40293</v>
      </c>
      <c r="I6676">
        <v>60288</v>
      </c>
      <c r="J6676">
        <v>10</v>
      </c>
      <c r="K6676">
        <v>10</v>
      </c>
    </row>
    <row r="6677" spans="1:11">
      <c r="A6677">
        <v>90</v>
      </c>
      <c r="B6677" t="b">
        <v>0</v>
      </c>
      <c r="C6677" t="s">
        <v>45188</v>
      </c>
      <c r="D6677">
        <v>1037022454355</v>
      </c>
      <c r="E6677">
        <v>1</v>
      </c>
      <c r="F6677">
        <v>6152010600</v>
      </c>
      <c r="G6677">
        <v>5500000</v>
      </c>
      <c r="H6677" t="s">
        <v>40293</v>
      </c>
      <c r="I6677">
        <v>60289</v>
      </c>
      <c r="J6677">
        <v>62</v>
      </c>
      <c r="K6677">
        <v>70</v>
      </c>
    </row>
    <row r="6678" spans="1:11">
      <c r="A6678">
        <v>90</v>
      </c>
      <c r="B6678" t="b">
        <v>0</v>
      </c>
      <c r="C6678" t="s">
        <v>45627</v>
      </c>
      <c r="D6678">
        <v>1037022454355</v>
      </c>
      <c r="E6678">
        <v>1</v>
      </c>
      <c r="F6678">
        <v>6154183385</v>
      </c>
      <c r="G6678">
        <v>430000</v>
      </c>
      <c r="H6678" t="s">
        <v>40293</v>
      </c>
      <c r="I6678">
        <v>60294</v>
      </c>
      <c r="J6678">
        <v>22</v>
      </c>
      <c r="K6678">
        <v>22</v>
      </c>
    </row>
    <row r="6679" spans="1:11">
      <c r="A6679">
        <v>90</v>
      </c>
      <c r="B6679" t="b">
        <v>0</v>
      </c>
      <c r="C6679" t="s">
        <v>44452</v>
      </c>
      <c r="D6679">
        <v>1037022454355</v>
      </c>
      <c r="E6679">
        <v>1</v>
      </c>
      <c r="F6679">
        <v>6149904024</v>
      </c>
      <c r="G6679">
        <v>4500000</v>
      </c>
      <c r="H6679" t="s">
        <v>40293</v>
      </c>
      <c r="I6679">
        <v>60295</v>
      </c>
      <c r="J6679">
        <v>4</v>
      </c>
      <c r="K6679">
        <v>20</v>
      </c>
    </row>
    <row r="6680" spans="1:11">
      <c r="A6680">
        <v>90</v>
      </c>
      <c r="B6680" t="b">
        <v>0</v>
      </c>
      <c r="C6680" t="s">
        <v>45342</v>
      </c>
      <c r="D6680">
        <v>1037022454355</v>
      </c>
      <c r="E6680">
        <v>1</v>
      </c>
      <c r="F6680">
        <v>6152012788</v>
      </c>
      <c r="G6680">
        <v>4000000</v>
      </c>
      <c r="H6680" t="s">
        <v>40293</v>
      </c>
      <c r="I6680">
        <v>60295</v>
      </c>
      <c r="J6680">
        <v>42</v>
      </c>
      <c r="K6680">
        <v>50</v>
      </c>
    </row>
    <row r="6681" spans="1:11">
      <c r="A6681">
        <v>90</v>
      </c>
      <c r="B6681" t="b">
        <v>0</v>
      </c>
      <c r="C6681" t="s">
        <v>43772</v>
      </c>
      <c r="D6681">
        <v>1037022454355</v>
      </c>
      <c r="E6681">
        <v>1</v>
      </c>
      <c r="F6681">
        <v>6144387228</v>
      </c>
      <c r="G6681">
        <v>720100</v>
      </c>
      <c r="H6681" t="s">
        <v>40293</v>
      </c>
      <c r="I6681">
        <v>60297</v>
      </c>
      <c r="J6681">
        <v>15</v>
      </c>
      <c r="K6681">
        <v>33</v>
      </c>
    </row>
    <row r="6682" spans="1:11">
      <c r="A6682">
        <v>90</v>
      </c>
      <c r="B6682" t="b">
        <v>0</v>
      </c>
      <c r="C6682" t="s">
        <v>45028</v>
      </c>
      <c r="D6682">
        <v>1037022454355</v>
      </c>
      <c r="E6682">
        <v>1</v>
      </c>
      <c r="F6682">
        <v>6148174613</v>
      </c>
      <c r="G6682">
        <v>1000000</v>
      </c>
      <c r="H6682" t="s">
        <v>40293</v>
      </c>
      <c r="I6682">
        <v>60300</v>
      </c>
      <c r="J6682">
        <v>30</v>
      </c>
      <c r="K6682">
        <v>32</v>
      </c>
    </row>
    <row r="6683" spans="1:11">
      <c r="A6683">
        <v>90</v>
      </c>
      <c r="B6683" t="b">
        <v>0</v>
      </c>
      <c r="C6683" t="s">
        <v>44661</v>
      </c>
      <c r="D6683">
        <v>1037022454355</v>
      </c>
      <c r="E6683">
        <v>1</v>
      </c>
      <c r="F6683">
        <v>6156394940</v>
      </c>
      <c r="G6683">
        <v>999900</v>
      </c>
      <c r="H6683" t="s">
        <v>40293</v>
      </c>
      <c r="I6683">
        <v>60300</v>
      </c>
      <c r="J6683">
        <v>10</v>
      </c>
      <c r="K6683">
        <v>10</v>
      </c>
    </row>
    <row r="6684" spans="1:11">
      <c r="A6684">
        <v>90</v>
      </c>
      <c r="B6684" t="b">
        <v>0</v>
      </c>
      <c r="C6684" t="s">
        <v>45231</v>
      </c>
      <c r="D6684">
        <v>1037022454355</v>
      </c>
      <c r="E6684">
        <v>1</v>
      </c>
      <c r="F6684">
        <v>6152011169</v>
      </c>
      <c r="G6684">
        <v>4500000</v>
      </c>
      <c r="H6684" t="s">
        <v>40293</v>
      </c>
      <c r="I6684">
        <v>60301</v>
      </c>
      <c r="J6684">
        <v>50</v>
      </c>
      <c r="K6684">
        <v>60</v>
      </c>
    </row>
    <row r="6685" spans="1:11">
      <c r="A6685">
        <v>90</v>
      </c>
      <c r="B6685" t="b">
        <v>0</v>
      </c>
      <c r="C6685" t="s">
        <v>46537</v>
      </c>
      <c r="D6685">
        <v>1037022454355</v>
      </c>
      <c r="E6685">
        <v>1</v>
      </c>
      <c r="F6685">
        <v>6155402858</v>
      </c>
      <c r="G6685">
        <v>3500000</v>
      </c>
      <c r="H6685" t="s">
        <v>40293</v>
      </c>
      <c r="I6685">
        <v>60301</v>
      </c>
      <c r="J6685">
        <v>22</v>
      </c>
      <c r="K6685">
        <v>22</v>
      </c>
    </row>
    <row r="6686" spans="1:11">
      <c r="A6686">
        <v>90</v>
      </c>
      <c r="B6686" t="b">
        <v>0</v>
      </c>
      <c r="C6686" t="s">
        <v>44678</v>
      </c>
      <c r="D6686">
        <v>1037022454355</v>
      </c>
      <c r="E6686">
        <v>1</v>
      </c>
      <c r="F6686">
        <v>6156395114</v>
      </c>
      <c r="G6686">
        <v>3499000</v>
      </c>
      <c r="H6686" t="s">
        <v>40293</v>
      </c>
      <c r="I6686">
        <v>60301</v>
      </c>
      <c r="J6686">
        <v>6</v>
      </c>
      <c r="K6686">
        <v>10</v>
      </c>
    </row>
    <row r="6687" spans="1:11">
      <c r="A6687">
        <v>90</v>
      </c>
      <c r="B6687" t="b">
        <v>0</v>
      </c>
      <c r="C6687" t="s">
        <v>45838</v>
      </c>
      <c r="D6687">
        <v>1037022454355</v>
      </c>
      <c r="E6687">
        <v>1</v>
      </c>
      <c r="F6687">
        <v>6152010198</v>
      </c>
      <c r="G6687">
        <v>4000000</v>
      </c>
      <c r="H6687" t="s">
        <v>40293</v>
      </c>
      <c r="I6687">
        <v>60307</v>
      </c>
      <c r="J6687">
        <v>30</v>
      </c>
      <c r="K6687">
        <v>30</v>
      </c>
    </row>
    <row r="6688" spans="1:11">
      <c r="A6688">
        <v>90</v>
      </c>
      <c r="B6688" t="b">
        <v>0</v>
      </c>
      <c r="C6688" t="s">
        <v>45160</v>
      </c>
      <c r="D6688">
        <v>1037022454355</v>
      </c>
      <c r="E6688">
        <v>1</v>
      </c>
      <c r="F6688">
        <v>6152010312</v>
      </c>
      <c r="G6688">
        <v>6001000</v>
      </c>
      <c r="H6688" t="s">
        <v>40293</v>
      </c>
      <c r="I6688">
        <v>60311</v>
      </c>
      <c r="J6688">
        <v>24</v>
      </c>
      <c r="K6688">
        <v>30</v>
      </c>
    </row>
    <row r="6689" spans="1:11">
      <c r="A6689">
        <v>90</v>
      </c>
      <c r="B6689" t="b">
        <v>0</v>
      </c>
      <c r="C6689" t="s">
        <v>45349</v>
      </c>
      <c r="D6689">
        <v>1037022454355</v>
      </c>
      <c r="E6689">
        <v>1</v>
      </c>
      <c r="F6689">
        <v>6156796985</v>
      </c>
      <c r="G6689">
        <v>29900000</v>
      </c>
      <c r="H6689" t="s">
        <v>40293</v>
      </c>
      <c r="I6689">
        <v>60314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41440</v>
      </c>
      <c r="D6690">
        <v>1037022454355</v>
      </c>
      <c r="E6690">
        <v>1</v>
      </c>
      <c r="F6690">
        <v>6114502042</v>
      </c>
      <c r="G6690">
        <v>134000</v>
      </c>
      <c r="H6690" t="s">
        <v>40293</v>
      </c>
      <c r="I6690">
        <v>60422</v>
      </c>
      <c r="J6690">
        <v>46</v>
      </c>
      <c r="K6690">
        <v>46</v>
      </c>
    </row>
    <row r="6691" spans="1:11">
      <c r="A6691">
        <v>90</v>
      </c>
      <c r="B6691" t="b">
        <v>0</v>
      </c>
      <c r="C6691" t="s">
        <v>41424</v>
      </c>
      <c r="D6691">
        <v>1037022454355</v>
      </c>
      <c r="E6691">
        <v>1</v>
      </c>
      <c r="F6691">
        <v>6093823953</v>
      </c>
      <c r="G6691">
        <v>750000</v>
      </c>
      <c r="H6691" t="s">
        <v>40293</v>
      </c>
      <c r="I6691">
        <v>60425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41440</v>
      </c>
      <c r="D6692">
        <v>1037022454355</v>
      </c>
      <c r="E6692">
        <v>1</v>
      </c>
      <c r="F6692">
        <v>6114502043</v>
      </c>
      <c r="G6692">
        <v>169900</v>
      </c>
      <c r="H6692" t="s">
        <v>40293</v>
      </c>
      <c r="I6692">
        <v>60425</v>
      </c>
      <c r="J6692">
        <v>46</v>
      </c>
      <c r="K6692">
        <v>46</v>
      </c>
    </row>
    <row r="6693" spans="1:11">
      <c r="A6693">
        <v>90</v>
      </c>
      <c r="B6693" t="b">
        <v>0</v>
      </c>
      <c r="C6693" t="s">
        <v>41440</v>
      </c>
      <c r="D6693">
        <v>1037022454355</v>
      </c>
      <c r="E6693">
        <v>1</v>
      </c>
      <c r="F6693">
        <v>6114502044</v>
      </c>
      <c r="G6693">
        <v>270000</v>
      </c>
      <c r="H6693" t="s">
        <v>40293</v>
      </c>
      <c r="I6693">
        <v>60428</v>
      </c>
      <c r="J6693">
        <v>46</v>
      </c>
      <c r="K6693">
        <v>46</v>
      </c>
    </row>
    <row r="6694" spans="1:11">
      <c r="A6694">
        <v>90</v>
      </c>
      <c r="B6694" t="b">
        <v>0</v>
      </c>
      <c r="C6694" t="s">
        <v>41191</v>
      </c>
      <c r="D6694">
        <v>1037022454355</v>
      </c>
      <c r="E6694">
        <v>1</v>
      </c>
      <c r="F6694">
        <v>6107287046</v>
      </c>
      <c r="G6694">
        <v>34900000</v>
      </c>
      <c r="H6694" t="s">
        <v>40293</v>
      </c>
      <c r="I6694">
        <v>60448</v>
      </c>
      <c r="J6694">
        <v>1</v>
      </c>
      <c r="K6694">
        <v>1</v>
      </c>
    </row>
    <row r="6695" spans="1:11">
      <c r="A6695">
        <v>90</v>
      </c>
      <c r="B6695" t="b">
        <v>0</v>
      </c>
      <c r="C6695" t="s">
        <v>41342</v>
      </c>
      <c r="D6695">
        <v>1037022454355</v>
      </c>
      <c r="E6695">
        <v>1</v>
      </c>
      <c r="F6695">
        <v>6107289541</v>
      </c>
      <c r="G6695">
        <v>34900000</v>
      </c>
      <c r="H6695" t="s">
        <v>40293</v>
      </c>
      <c r="I6695">
        <v>60448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40578</v>
      </c>
      <c r="D6696">
        <v>1037022454355</v>
      </c>
      <c r="E6696">
        <v>1</v>
      </c>
      <c r="F6696">
        <v>6108453208</v>
      </c>
      <c r="G6696">
        <v>12100000</v>
      </c>
      <c r="H6696" t="s">
        <v>40293</v>
      </c>
      <c r="I6696">
        <v>60575</v>
      </c>
      <c r="J6696">
        <v>3</v>
      </c>
      <c r="K6696">
        <v>9</v>
      </c>
    </row>
    <row r="6697" spans="1:11">
      <c r="A6697">
        <v>90</v>
      </c>
      <c r="B6697" t="b">
        <v>0</v>
      </c>
      <c r="C6697" t="s">
        <v>42040</v>
      </c>
      <c r="D6697">
        <v>1037022454355</v>
      </c>
      <c r="E6697">
        <v>1</v>
      </c>
      <c r="F6697">
        <v>6131519755</v>
      </c>
      <c r="G6697">
        <v>10000000</v>
      </c>
      <c r="H6697" t="s">
        <v>40293</v>
      </c>
      <c r="I6697">
        <v>60575</v>
      </c>
      <c r="J6697">
        <v>2</v>
      </c>
      <c r="K6697">
        <v>5</v>
      </c>
    </row>
    <row r="6698" spans="1:11">
      <c r="A6698">
        <v>90</v>
      </c>
      <c r="B6698" t="b">
        <v>0</v>
      </c>
      <c r="C6698" t="s">
        <v>43868</v>
      </c>
      <c r="D6698">
        <v>1037022454355</v>
      </c>
      <c r="E6698">
        <v>1</v>
      </c>
      <c r="F6698">
        <v>6138164212</v>
      </c>
      <c r="G6698">
        <v>9600000</v>
      </c>
      <c r="H6698" t="s">
        <v>40293</v>
      </c>
      <c r="I6698">
        <v>60575</v>
      </c>
      <c r="J6698">
        <v>81</v>
      </c>
      <c r="K6698">
        <v>81</v>
      </c>
    </row>
    <row r="6699" spans="1:11">
      <c r="A6699">
        <v>30</v>
      </c>
      <c r="B6699" t="b">
        <v>0</v>
      </c>
      <c r="C6699" t="s">
        <v>43464</v>
      </c>
      <c r="D6699">
        <v>1037022454355</v>
      </c>
      <c r="E6699">
        <v>1</v>
      </c>
      <c r="F6699">
        <v>6144736958</v>
      </c>
      <c r="G6699">
        <v>9598000</v>
      </c>
      <c r="H6699" t="s">
        <v>40293</v>
      </c>
      <c r="I6699">
        <v>60575</v>
      </c>
      <c r="J6699">
        <v>13</v>
      </c>
      <c r="K6699">
        <v>13</v>
      </c>
    </row>
    <row r="6700" spans="1:11">
      <c r="A6700">
        <v>90</v>
      </c>
      <c r="B6700" t="b">
        <v>0</v>
      </c>
      <c r="C6700" t="s">
        <v>44354</v>
      </c>
      <c r="D6700">
        <v>1037022454355</v>
      </c>
      <c r="E6700">
        <v>1</v>
      </c>
      <c r="F6700">
        <v>6133059904</v>
      </c>
      <c r="G6700">
        <v>9595000</v>
      </c>
      <c r="H6700" t="s">
        <v>40293</v>
      </c>
      <c r="I6700">
        <v>60575</v>
      </c>
      <c r="J6700">
        <v>25</v>
      </c>
      <c r="K6700">
        <v>26</v>
      </c>
    </row>
    <row r="6701" spans="1:11">
      <c r="A6701">
        <v>90</v>
      </c>
      <c r="B6701" t="b">
        <v>0</v>
      </c>
      <c r="C6701" t="s">
        <v>44805</v>
      </c>
      <c r="D6701">
        <v>1037022454355</v>
      </c>
      <c r="E6701">
        <v>1</v>
      </c>
      <c r="F6701">
        <v>6147254250</v>
      </c>
      <c r="G6701">
        <v>9580000</v>
      </c>
      <c r="H6701" t="s">
        <v>40293</v>
      </c>
      <c r="I6701">
        <v>60575</v>
      </c>
      <c r="J6701">
        <v>27</v>
      </c>
      <c r="K6701">
        <v>50</v>
      </c>
    </row>
    <row r="6702" spans="1:11">
      <c r="A6702">
        <v>7</v>
      </c>
      <c r="B6702" t="b">
        <v>0</v>
      </c>
      <c r="C6702" t="s">
        <v>44641</v>
      </c>
      <c r="D6702">
        <v>1037022454355</v>
      </c>
      <c r="E6702">
        <v>1</v>
      </c>
      <c r="F6702">
        <v>6153871554</v>
      </c>
      <c r="G6702">
        <v>9400000</v>
      </c>
      <c r="H6702" t="s">
        <v>40293</v>
      </c>
      <c r="I6702">
        <v>60575</v>
      </c>
      <c r="J6702">
        <v>5</v>
      </c>
      <c r="K6702">
        <v>5</v>
      </c>
    </row>
    <row r="6703" spans="1:11">
      <c r="A6703">
        <v>90</v>
      </c>
      <c r="B6703" t="b">
        <v>0</v>
      </c>
      <c r="C6703" t="s">
        <v>44868</v>
      </c>
      <c r="D6703">
        <v>1037022454355</v>
      </c>
      <c r="E6703">
        <v>1</v>
      </c>
      <c r="F6703">
        <v>6155840415</v>
      </c>
      <c r="G6703">
        <v>9000000</v>
      </c>
      <c r="H6703" t="s">
        <v>40293</v>
      </c>
      <c r="I6703">
        <v>60575</v>
      </c>
      <c r="J6703">
        <v>5</v>
      </c>
      <c r="K6703">
        <v>5</v>
      </c>
    </row>
    <row r="6704" spans="1:11">
      <c r="A6704">
        <v>90</v>
      </c>
      <c r="B6704" t="b">
        <v>0</v>
      </c>
      <c r="C6704" t="s">
        <v>45271</v>
      </c>
      <c r="D6704">
        <v>1037022454355</v>
      </c>
      <c r="E6704">
        <v>1</v>
      </c>
      <c r="F6704">
        <v>6155845732</v>
      </c>
      <c r="G6704">
        <v>7601000</v>
      </c>
      <c r="H6704" t="s">
        <v>40293</v>
      </c>
      <c r="I6704">
        <v>60575</v>
      </c>
      <c r="J6704">
        <v>10</v>
      </c>
      <c r="K6704">
        <v>10</v>
      </c>
    </row>
    <row r="6705" spans="1:11">
      <c r="A6705">
        <v>90</v>
      </c>
      <c r="B6705" t="b">
        <v>0</v>
      </c>
      <c r="C6705" t="s">
        <v>44566</v>
      </c>
      <c r="D6705">
        <v>1037022454355</v>
      </c>
      <c r="E6705">
        <v>1</v>
      </c>
      <c r="F6705">
        <v>6151871715</v>
      </c>
      <c r="G6705">
        <v>7600000</v>
      </c>
      <c r="H6705" t="s">
        <v>40293</v>
      </c>
      <c r="I6705">
        <v>60575</v>
      </c>
      <c r="J6705">
        <v>7</v>
      </c>
      <c r="K6705">
        <v>8</v>
      </c>
    </row>
    <row r="6706" spans="1:11">
      <c r="A6706">
        <v>90</v>
      </c>
      <c r="B6706" t="b">
        <v>0</v>
      </c>
      <c r="C6706" t="s">
        <v>42767</v>
      </c>
      <c r="D6706">
        <v>1037022454355</v>
      </c>
      <c r="E6706">
        <v>1</v>
      </c>
      <c r="F6706">
        <v>6136654295</v>
      </c>
      <c r="G6706">
        <v>250100</v>
      </c>
      <c r="H6706" t="s">
        <v>40293</v>
      </c>
      <c r="I6706">
        <v>60600</v>
      </c>
      <c r="J6706">
        <v>3</v>
      </c>
      <c r="K6706">
        <v>7</v>
      </c>
    </row>
    <row r="6707" spans="1:11">
      <c r="A6707">
        <v>90</v>
      </c>
      <c r="B6707" t="b">
        <v>0</v>
      </c>
      <c r="C6707" t="s">
        <v>45535</v>
      </c>
      <c r="D6707">
        <v>1037022454355</v>
      </c>
      <c r="E6707">
        <v>1</v>
      </c>
      <c r="F6707">
        <v>6150343899</v>
      </c>
      <c r="G6707">
        <v>10010</v>
      </c>
      <c r="H6707" t="s">
        <v>40293</v>
      </c>
      <c r="I6707">
        <v>60604</v>
      </c>
      <c r="J6707">
        <v>5</v>
      </c>
      <c r="K6707">
        <v>5</v>
      </c>
    </row>
    <row r="6708" spans="1:11">
      <c r="A6708">
        <v>90</v>
      </c>
      <c r="B6708" t="b">
        <v>0</v>
      </c>
      <c r="C6708" t="s">
        <v>43439</v>
      </c>
      <c r="D6708">
        <v>1037022454355</v>
      </c>
      <c r="E6708">
        <v>1</v>
      </c>
      <c r="F6708">
        <v>6138903713</v>
      </c>
      <c r="G6708">
        <v>5000000</v>
      </c>
      <c r="H6708" t="s">
        <v>40293</v>
      </c>
      <c r="I6708">
        <v>60695</v>
      </c>
      <c r="J6708">
        <v>6</v>
      </c>
      <c r="K6708">
        <v>8</v>
      </c>
    </row>
    <row r="6709" spans="1:11">
      <c r="A6709">
        <v>90</v>
      </c>
      <c r="B6709" t="b">
        <v>0</v>
      </c>
      <c r="C6709" t="s">
        <v>43551</v>
      </c>
      <c r="D6709">
        <v>1037022454355</v>
      </c>
      <c r="E6709">
        <v>1</v>
      </c>
      <c r="F6709">
        <v>6142085931</v>
      </c>
      <c r="G6709">
        <v>9000000</v>
      </c>
      <c r="H6709" t="s">
        <v>40293</v>
      </c>
      <c r="I6709">
        <v>60706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43491</v>
      </c>
      <c r="D6710">
        <v>1037022454355</v>
      </c>
      <c r="E6710">
        <v>1</v>
      </c>
      <c r="F6710">
        <v>6142817765</v>
      </c>
      <c r="G6710">
        <v>18990000</v>
      </c>
      <c r="H6710" t="s">
        <v>40293</v>
      </c>
      <c r="I6710">
        <v>60714</v>
      </c>
      <c r="J6710">
        <v>1</v>
      </c>
      <c r="K6710">
        <v>2</v>
      </c>
    </row>
    <row r="6711" spans="1:11">
      <c r="A6711">
        <v>90</v>
      </c>
      <c r="B6711" t="b">
        <v>0</v>
      </c>
      <c r="C6711" t="s">
        <v>42448</v>
      </c>
      <c r="D6711">
        <v>1037022454355</v>
      </c>
      <c r="E6711">
        <v>1</v>
      </c>
      <c r="F6711">
        <v>6135687151</v>
      </c>
      <c r="G6711">
        <v>700000000</v>
      </c>
      <c r="H6711" t="s">
        <v>40293</v>
      </c>
      <c r="I6711">
        <v>60758</v>
      </c>
      <c r="J6711">
        <v>1</v>
      </c>
      <c r="K6711">
        <v>1</v>
      </c>
    </row>
    <row r="6712" spans="1:11">
      <c r="A6712">
        <v>90</v>
      </c>
      <c r="B6712" t="b">
        <v>0</v>
      </c>
      <c r="C6712" t="s">
        <v>42419</v>
      </c>
      <c r="D6712">
        <v>1037022454355</v>
      </c>
      <c r="E6712">
        <v>1</v>
      </c>
      <c r="F6712">
        <v>6136242723</v>
      </c>
      <c r="G6712">
        <v>300000000</v>
      </c>
      <c r="H6712" t="s">
        <v>40293</v>
      </c>
      <c r="I6712">
        <v>60759</v>
      </c>
      <c r="J6712">
        <v>2</v>
      </c>
      <c r="K6712">
        <v>3</v>
      </c>
    </row>
    <row r="6713" spans="1:11">
      <c r="A6713">
        <v>90</v>
      </c>
      <c r="B6713" t="b">
        <v>0</v>
      </c>
      <c r="C6713" t="s">
        <v>42450</v>
      </c>
      <c r="D6713">
        <v>1037022454355</v>
      </c>
      <c r="E6713">
        <v>1</v>
      </c>
      <c r="F6713">
        <v>6135687205</v>
      </c>
      <c r="G6713">
        <v>1500000000</v>
      </c>
      <c r="H6713" t="s">
        <v>40293</v>
      </c>
      <c r="I6713">
        <v>60761</v>
      </c>
      <c r="J6713">
        <v>1</v>
      </c>
      <c r="K6713">
        <v>1</v>
      </c>
    </row>
    <row r="6714" spans="1:11">
      <c r="A6714">
        <v>90</v>
      </c>
      <c r="B6714" t="b">
        <v>0</v>
      </c>
      <c r="C6714" t="s">
        <v>44938</v>
      </c>
      <c r="D6714">
        <v>1037022454355</v>
      </c>
      <c r="E6714">
        <v>1</v>
      </c>
      <c r="F6714">
        <v>6156791523</v>
      </c>
      <c r="G6714">
        <v>29990000</v>
      </c>
      <c r="H6714" t="s">
        <v>40293</v>
      </c>
      <c r="I6714">
        <v>61083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44341</v>
      </c>
      <c r="D6715">
        <v>1037022454355</v>
      </c>
      <c r="E6715">
        <v>1</v>
      </c>
      <c r="F6715">
        <v>6157107901</v>
      </c>
      <c r="G6715">
        <v>8001000</v>
      </c>
      <c r="H6715" t="s">
        <v>40293</v>
      </c>
      <c r="I6715">
        <v>61083</v>
      </c>
      <c r="J6715">
        <v>5</v>
      </c>
      <c r="K6715">
        <v>5</v>
      </c>
    </row>
    <row r="6716" spans="1:11">
      <c r="A6716">
        <v>90</v>
      </c>
      <c r="B6716" t="b">
        <v>0</v>
      </c>
      <c r="C6716" t="s">
        <v>44260</v>
      </c>
      <c r="D6716">
        <v>1037022454355</v>
      </c>
      <c r="E6716">
        <v>1</v>
      </c>
      <c r="F6716">
        <v>6157424436</v>
      </c>
      <c r="G6716">
        <v>7420000</v>
      </c>
      <c r="H6716" t="s">
        <v>40293</v>
      </c>
      <c r="I6716">
        <v>61083</v>
      </c>
      <c r="J6716">
        <v>1</v>
      </c>
      <c r="K6716">
        <v>2</v>
      </c>
    </row>
    <row r="6717" spans="1:11">
      <c r="A6717">
        <v>90</v>
      </c>
      <c r="B6717" t="b">
        <v>0</v>
      </c>
      <c r="C6717" t="s">
        <v>44800</v>
      </c>
      <c r="D6717">
        <v>1037022454355</v>
      </c>
      <c r="E6717">
        <v>1</v>
      </c>
      <c r="F6717">
        <v>6157477809</v>
      </c>
      <c r="G6717">
        <v>7410000</v>
      </c>
      <c r="H6717" t="s">
        <v>40293</v>
      </c>
      <c r="I6717">
        <v>61083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44383</v>
      </c>
      <c r="D6718">
        <v>1037022454355</v>
      </c>
      <c r="E6718">
        <v>1</v>
      </c>
      <c r="F6718">
        <v>6153409291</v>
      </c>
      <c r="G6718">
        <v>99900000</v>
      </c>
      <c r="H6718" t="s">
        <v>40293</v>
      </c>
      <c r="I6718">
        <v>61084</v>
      </c>
      <c r="J6718">
        <v>1</v>
      </c>
      <c r="K6718">
        <v>1</v>
      </c>
    </row>
    <row r="6719" spans="1:11">
      <c r="A6719">
        <v>30</v>
      </c>
      <c r="B6719" t="b">
        <v>0</v>
      </c>
      <c r="C6719" t="s">
        <v>44629</v>
      </c>
      <c r="D6719">
        <v>1037022454355</v>
      </c>
      <c r="E6719">
        <v>1</v>
      </c>
      <c r="F6719">
        <v>6156791824</v>
      </c>
      <c r="G6719">
        <v>60050000</v>
      </c>
      <c r="H6719" t="s">
        <v>40293</v>
      </c>
      <c r="I6719">
        <v>61084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46490</v>
      </c>
      <c r="D6720">
        <v>1037022454355</v>
      </c>
      <c r="E6720">
        <v>1</v>
      </c>
      <c r="F6720">
        <v>6149864665</v>
      </c>
      <c r="G6720">
        <v>64900000</v>
      </c>
      <c r="H6720" t="s">
        <v>40293</v>
      </c>
      <c r="I6720">
        <v>61085</v>
      </c>
      <c r="J6720">
        <v>2</v>
      </c>
      <c r="K6720">
        <v>2</v>
      </c>
    </row>
    <row r="6721" spans="1:11">
      <c r="A6721">
        <v>14</v>
      </c>
      <c r="B6721" t="b">
        <v>0</v>
      </c>
      <c r="C6721" t="s">
        <v>44396</v>
      </c>
      <c r="D6721">
        <v>1037022454355</v>
      </c>
      <c r="E6721">
        <v>1</v>
      </c>
      <c r="F6721">
        <v>6152590187</v>
      </c>
      <c r="G6721">
        <v>64800000</v>
      </c>
      <c r="H6721" t="s">
        <v>40293</v>
      </c>
      <c r="I6721">
        <v>61085</v>
      </c>
      <c r="J6721">
        <v>1</v>
      </c>
      <c r="K6721">
        <v>1</v>
      </c>
    </row>
    <row r="6722" spans="1:11">
      <c r="A6722">
        <v>90</v>
      </c>
      <c r="B6722" t="b">
        <v>0</v>
      </c>
      <c r="C6722" t="s">
        <v>44527</v>
      </c>
      <c r="D6722">
        <v>1037022454355</v>
      </c>
      <c r="E6722">
        <v>1</v>
      </c>
      <c r="F6722">
        <v>6154661676</v>
      </c>
      <c r="G6722">
        <v>60500000</v>
      </c>
      <c r="H6722" t="s">
        <v>40293</v>
      </c>
      <c r="I6722">
        <v>61085</v>
      </c>
      <c r="J6722">
        <v>2</v>
      </c>
      <c r="K6722">
        <v>2</v>
      </c>
    </row>
    <row r="6723" spans="1:11">
      <c r="A6723">
        <v>14</v>
      </c>
      <c r="B6723" t="b">
        <v>0</v>
      </c>
      <c r="C6723" t="s">
        <v>45633</v>
      </c>
      <c r="D6723">
        <v>1037022454355</v>
      </c>
      <c r="E6723">
        <v>1</v>
      </c>
      <c r="F6723">
        <v>6156013892</v>
      </c>
      <c r="G6723">
        <v>60010000</v>
      </c>
      <c r="H6723" t="s">
        <v>40293</v>
      </c>
      <c r="I6723">
        <v>61085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45549</v>
      </c>
      <c r="D6724">
        <v>1037022454355</v>
      </c>
      <c r="E6724">
        <v>1</v>
      </c>
      <c r="F6724">
        <v>6155712407</v>
      </c>
      <c r="G6724">
        <v>500000</v>
      </c>
      <c r="H6724" t="s">
        <v>40293</v>
      </c>
      <c r="I6724">
        <v>61086</v>
      </c>
      <c r="J6724">
        <v>4</v>
      </c>
      <c r="K6724">
        <v>9</v>
      </c>
    </row>
    <row r="6725" spans="1:11">
      <c r="A6725">
        <v>90</v>
      </c>
      <c r="B6725" t="b">
        <v>0</v>
      </c>
      <c r="C6725" t="s">
        <v>45101</v>
      </c>
      <c r="D6725">
        <v>1037022454355</v>
      </c>
      <c r="E6725">
        <v>1</v>
      </c>
      <c r="F6725">
        <v>6155712168</v>
      </c>
      <c r="G6725">
        <v>150000</v>
      </c>
      <c r="H6725" t="s">
        <v>40293</v>
      </c>
      <c r="I6725">
        <v>61091</v>
      </c>
      <c r="J6725">
        <v>3</v>
      </c>
      <c r="K6725">
        <v>3</v>
      </c>
    </row>
    <row r="6726" spans="1:11">
      <c r="A6726">
        <v>90</v>
      </c>
      <c r="B6726" t="b">
        <v>0</v>
      </c>
      <c r="C6726" t="s">
        <v>45038</v>
      </c>
      <c r="D6726">
        <v>1037022454355</v>
      </c>
      <c r="E6726">
        <v>1</v>
      </c>
      <c r="F6726">
        <v>6155711385</v>
      </c>
      <c r="G6726">
        <v>1500000</v>
      </c>
      <c r="H6726" t="s">
        <v>40293</v>
      </c>
      <c r="I6726">
        <v>61093</v>
      </c>
      <c r="J6726">
        <v>3</v>
      </c>
      <c r="K6726">
        <v>3</v>
      </c>
    </row>
    <row r="6727" spans="1:11">
      <c r="A6727">
        <v>90</v>
      </c>
      <c r="B6727" t="b">
        <v>0</v>
      </c>
      <c r="C6727" t="s">
        <v>45511</v>
      </c>
      <c r="D6727">
        <v>1037022454355</v>
      </c>
      <c r="E6727">
        <v>1</v>
      </c>
      <c r="F6727">
        <v>6155712318</v>
      </c>
      <c r="G6727">
        <v>350100</v>
      </c>
      <c r="H6727" t="s">
        <v>40293</v>
      </c>
      <c r="I6727">
        <v>61097</v>
      </c>
      <c r="J6727">
        <v>3</v>
      </c>
      <c r="K6727">
        <v>3</v>
      </c>
    </row>
    <row r="6728" spans="1:11">
      <c r="A6728">
        <v>90</v>
      </c>
      <c r="B6728" t="b">
        <v>0</v>
      </c>
      <c r="C6728" t="s">
        <v>44384</v>
      </c>
      <c r="D6728">
        <v>1037022454355</v>
      </c>
      <c r="E6728">
        <v>1</v>
      </c>
      <c r="F6728">
        <v>6154049660</v>
      </c>
      <c r="G6728">
        <v>411900</v>
      </c>
      <c r="H6728" t="s">
        <v>40293</v>
      </c>
      <c r="I6728">
        <v>61103</v>
      </c>
      <c r="J6728">
        <v>1</v>
      </c>
      <c r="K6728">
        <v>1</v>
      </c>
    </row>
    <row r="6729" spans="1:11">
      <c r="A6729">
        <v>90</v>
      </c>
      <c r="B6729" t="b">
        <v>0</v>
      </c>
      <c r="C6729" t="s">
        <v>45278</v>
      </c>
      <c r="D6729">
        <v>1037022454355</v>
      </c>
      <c r="E6729">
        <v>1</v>
      </c>
      <c r="F6729">
        <v>6155711863</v>
      </c>
      <c r="G6729">
        <v>411800</v>
      </c>
      <c r="H6729" t="s">
        <v>40293</v>
      </c>
      <c r="I6729">
        <v>61103</v>
      </c>
      <c r="J6729">
        <v>3</v>
      </c>
      <c r="K6729">
        <v>5</v>
      </c>
    </row>
    <row r="6730" spans="1:11">
      <c r="A6730">
        <v>90</v>
      </c>
      <c r="B6730" t="b">
        <v>0</v>
      </c>
      <c r="C6730" t="s">
        <v>45057</v>
      </c>
      <c r="D6730">
        <v>1037022454355</v>
      </c>
      <c r="E6730">
        <v>1</v>
      </c>
      <c r="F6730">
        <v>6155711681</v>
      </c>
      <c r="G6730">
        <v>400100</v>
      </c>
      <c r="H6730" t="s">
        <v>40293</v>
      </c>
      <c r="I6730">
        <v>61110</v>
      </c>
      <c r="J6730">
        <v>4</v>
      </c>
      <c r="K6730">
        <v>4</v>
      </c>
    </row>
    <row r="6731" spans="1:11">
      <c r="A6731">
        <v>90</v>
      </c>
      <c r="B6731" t="b">
        <v>0</v>
      </c>
      <c r="C6731" t="s">
        <v>45065</v>
      </c>
      <c r="D6731">
        <v>1037022454355</v>
      </c>
      <c r="E6731">
        <v>1</v>
      </c>
      <c r="F6731">
        <v>6155711761</v>
      </c>
      <c r="G6731">
        <v>800000</v>
      </c>
      <c r="H6731" t="s">
        <v>40293</v>
      </c>
      <c r="I6731">
        <v>61114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45044</v>
      </c>
      <c r="D6732">
        <v>1037022454355</v>
      </c>
      <c r="E6732">
        <v>1</v>
      </c>
      <c r="F6732">
        <v>6155711499</v>
      </c>
      <c r="G6732">
        <v>25000</v>
      </c>
      <c r="H6732" t="s">
        <v>40293</v>
      </c>
      <c r="I6732">
        <v>61116</v>
      </c>
      <c r="J6732">
        <v>3</v>
      </c>
      <c r="K6732">
        <v>3</v>
      </c>
    </row>
    <row r="6733" spans="1:11">
      <c r="A6733">
        <v>30</v>
      </c>
      <c r="B6733" t="b">
        <v>0</v>
      </c>
      <c r="C6733" t="s">
        <v>44258</v>
      </c>
      <c r="D6733">
        <v>1037022454355</v>
      </c>
      <c r="E6733">
        <v>1</v>
      </c>
      <c r="F6733">
        <v>6156506933</v>
      </c>
      <c r="G6733">
        <v>1782000</v>
      </c>
      <c r="H6733" t="s">
        <v>40293</v>
      </c>
      <c r="I6733">
        <v>61130</v>
      </c>
      <c r="J6733">
        <v>3</v>
      </c>
      <c r="K6733">
        <v>3</v>
      </c>
    </row>
    <row r="6734" spans="1:11">
      <c r="A6734">
        <v>90</v>
      </c>
      <c r="B6734" t="b">
        <v>0</v>
      </c>
      <c r="C6734" t="s">
        <v>45773</v>
      </c>
      <c r="D6734">
        <v>1037022454355</v>
      </c>
      <c r="E6734">
        <v>1</v>
      </c>
      <c r="F6734">
        <v>6155196409</v>
      </c>
      <c r="G6734">
        <v>1000000</v>
      </c>
      <c r="H6734" t="s">
        <v>40293</v>
      </c>
      <c r="I6734">
        <v>61130</v>
      </c>
      <c r="J6734">
        <v>20</v>
      </c>
      <c r="K6734">
        <v>20</v>
      </c>
    </row>
    <row r="6735" spans="1:11">
      <c r="A6735">
        <v>30</v>
      </c>
      <c r="B6735" t="b">
        <v>0</v>
      </c>
      <c r="C6735" t="s">
        <v>44093</v>
      </c>
      <c r="D6735">
        <v>1037022454355</v>
      </c>
      <c r="E6735">
        <v>1</v>
      </c>
      <c r="F6735">
        <v>6155961009</v>
      </c>
      <c r="G6735">
        <v>751400</v>
      </c>
      <c r="H6735" t="s">
        <v>40293</v>
      </c>
      <c r="I6735">
        <v>61130</v>
      </c>
      <c r="J6735">
        <v>17</v>
      </c>
      <c r="K6735">
        <v>17</v>
      </c>
    </row>
    <row r="6736" spans="1:11">
      <c r="A6736">
        <v>30</v>
      </c>
      <c r="B6736" t="b">
        <v>0</v>
      </c>
      <c r="C6736" t="s">
        <v>44735</v>
      </c>
      <c r="D6736">
        <v>1037022454355</v>
      </c>
      <c r="E6736">
        <v>1</v>
      </c>
      <c r="F6736">
        <v>6155248886</v>
      </c>
      <c r="G6736">
        <v>729000</v>
      </c>
      <c r="H6736" t="s">
        <v>40293</v>
      </c>
      <c r="I6736">
        <v>61130</v>
      </c>
      <c r="J6736">
        <v>3</v>
      </c>
      <c r="K6736">
        <v>6</v>
      </c>
    </row>
    <row r="6737" spans="1:11">
      <c r="A6737">
        <v>90</v>
      </c>
      <c r="B6737" t="b">
        <v>0</v>
      </c>
      <c r="C6737" t="s">
        <v>45603</v>
      </c>
      <c r="D6737">
        <v>1037022454355</v>
      </c>
      <c r="E6737">
        <v>1</v>
      </c>
      <c r="F6737">
        <v>6152245318</v>
      </c>
      <c r="G6737">
        <v>3000000</v>
      </c>
      <c r="H6737" t="s">
        <v>40293</v>
      </c>
      <c r="I6737">
        <v>61131</v>
      </c>
      <c r="J6737">
        <v>5</v>
      </c>
      <c r="K6737">
        <v>10</v>
      </c>
    </row>
    <row r="6738" spans="1:11">
      <c r="A6738">
        <v>30</v>
      </c>
      <c r="B6738" t="b">
        <v>0</v>
      </c>
      <c r="C6738" t="s">
        <v>44735</v>
      </c>
      <c r="D6738">
        <v>1037022454355</v>
      </c>
      <c r="E6738">
        <v>1</v>
      </c>
      <c r="F6738">
        <v>6155248884</v>
      </c>
      <c r="G6738">
        <v>2858000</v>
      </c>
      <c r="H6738" t="s">
        <v>40293</v>
      </c>
      <c r="I6738">
        <v>61131</v>
      </c>
      <c r="J6738">
        <v>1</v>
      </c>
      <c r="K6738">
        <v>2</v>
      </c>
    </row>
    <row r="6739" spans="1:11">
      <c r="A6739">
        <v>30</v>
      </c>
      <c r="B6739" t="b">
        <v>0</v>
      </c>
      <c r="C6739" t="s">
        <v>44093</v>
      </c>
      <c r="D6739">
        <v>1037022454355</v>
      </c>
      <c r="E6739">
        <v>1</v>
      </c>
      <c r="F6739">
        <v>6155961007</v>
      </c>
      <c r="G6739">
        <v>2837000</v>
      </c>
      <c r="H6739" t="s">
        <v>40293</v>
      </c>
      <c r="I6739">
        <v>61131</v>
      </c>
      <c r="J6739">
        <v>2</v>
      </c>
      <c r="K6739">
        <v>2</v>
      </c>
    </row>
    <row r="6740" spans="1:11">
      <c r="A6740">
        <v>14</v>
      </c>
      <c r="B6740" t="b">
        <v>0</v>
      </c>
      <c r="C6740" t="s">
        <v>45601</v>
      </c>
      <c r="D6740">
        <v>1037022454355</v>
      </c>
      <c r="E6740">
        <v>1</v>
      </c>
      <c r="F6740">
        <v>6155522088</v>
      </c>
      <c r="G6740">
        <v>2800000</v>
      </c>
      <c r="H6740" t="s">
        <v>40293</v>
      </c>
      <c r="I6740">
        <v>61131</v>
      </c>
      <c r="J6740">
        <v>13</v>
      </c>
      <c r="K6740">
        <v>13</v>
      </c>
    </row>
    <row r="6741" spans="1:11">
      <c r="A6741">
        <v>90</v>
      </c>
      <c r="B6741" t="b">
        <v>0</v>
      </c>
      <c r="C6741" t="s">
        <v>45592</v>
      </c>
      <c r="D6741">
        <v>1037022454355</v>
      </c>
      <c r="E6741">
        <v>1</v>
      </c>
      <c r="F6741">
        <v>6152245121</v>
      </c>
      <c r="G6741">
        <v>3000000</v>
      </c>
      <c r="H6741" t="s">
        <v>40293</v>
      </c>
      <c r="I6741">
        <v>61132</v>
      </c>
      <c r="J6741">
        <v>5</v>
      </c>
      <c r="K6741">
        <v>5</v>
      </c>
    </row>
    <row r="6742" spans="1:11">
      <c r="A6742">
        <v>30</v>
      </c>
      <c r="B6742" t="b">
        <v>0</v>
      </c>
      <c r="C6742" t="s">
        <v>44093</v>
      </c>
      <c r="D6742">
        <v>1037022454355</v>
      </c>
      <c r="E6742">
        <v>1</v>
      </c>
      <c r="F6742">
        <v>6155961010</v>
      </c>
      <c r="G6742">
        <v>1001</v>
      </c>
      <c r="H6742" t="s">
        <v>40293</v>
      </c>
      <c r="I6742">
        <v>61132</v>
      </c>
      <c r="J6742">
        <v>3</v>
      </c>
      <c r="K6742">
        <v>3</v>
      </c>
    </row>
    <row r="6743" spans="1:11">
      <c r="A6743">
        <v>30</v>
      </c>
      <c r="B6743" t="b">
        <v>0</v>
      </c>
      <c r="C6743" t="s">
        <v>44258</v>
      </c>
      <c r="D6743">
        <v>1037022454355</v>
      </c>
      <c r="E6743">
        <v>1</v>
      </c>
      <c r="F6743">
        <v>6156506934</v>
      </c>
      <c r="G6743">
        <v>780100</v>
      </c>
      <c r="H6743" t="s">
        <v>40293</v>
      </c>
      <c r="I6743">
        <v>61133</v>
      </c>
      <c r="J6743">
        <v>3</v>
      </c>
      <c r="K6743">
        <v>3</v>
      </c>
    </row>
    <row r="6744" spans="1:11">
      <c r="A6744">
        <v>30</v>
      </c>
      <c r="B6744" t="b">
        <v>0</v>
      </c>
      <c r="C6744" t="s">
        <v>44093</v>
      </c>
      <c r="D6744">
        <v>1037022454355</v>
      </c>
      <c r="E6744">
        <v>1</v>
      </c>
      <c r="F6744">
        <v>6155961011</v>
      </c>
      <c r="G6744">
        <v>700100</v>
      </c>
      <c r="H6744" t="s">
        <v>40293</v>
      </c>
      <c r="I6744">
        <v>61133</v>
      </c>
      <c r="J6744">
        <v>7</v>
      </c>
      <c r="K6744">
        <v>7</v>
      </c>
    </row>
    <row r="6745" spans="1:11">
      <c r="A6745">
        <v>30</v>
      </c>
      <c r="B6745" t="b">
        <v>0</v>
      </c>
      <c r="C6745" t="s">
        <v>44735</v>
      </c>
      <c r="D6745">
        <v>1037022454355</v>
      </c>
      <c r="E6745">
        <v>1</v>
      </c>
      <c r="F6745">
        <v>6155248887</v>
      </c>
      <c r="G6745">
        <v>660100</v>
      </c>
      <c r="H6745" t="s">
        <v>40293</v>
      </c>
      <c r="I6745">
        <v>61133</v>
      </c>
      <c r="J6745">
        <v>6</v>
      </c>
      <c r="K6745">
        <v>6</v>
      </c>
    </row>
    <row r="6746" spans="1:11">
      <c r="A6746">
        <v>7</v>
      </c>
      <c r="B6746" t="b">
        <v>0</v>
      </c>
      <c r="C6746" t="s">
        <v>46271</v>
      </c>
      <c r="D6746">
        <v>1037022454355</v>
      </c>
      <c r="E6746">
        <v>1</v>
      </c>
      <c r="F6746">
        <v>6154940786</v>
      </c>
      <c r="G6746">
        <v>350100</v>
      </c>
      <c r="H6746" t="s">
        <v>40293</v>
      </c>
      <c r="I6746">
        <v>61133</v>
      </c>
      <c r="J6746">
        <v>1</v>
      </c>
      <c r="K6746">
        <v>1</v>
      </c>
    </row>
    <row r="6747" spans="1:11">
      <c r="A6747">
        <v>90</v>
      </c>
      <c r="B6747" t="b">
        <v>0</v>
      </c>
      <c r="C6747" t="s">
        <v>44313</v>
      </c>
      <c r="D6747">
        <v>1037022454355</v>
      </c>
      <c r="E6747">
        <v>1</v>
      </c>
      <c r="F6747">
        <v>6147641158</v>
      </c>
      <c r="G6747">
        <v>2000000</v>
      </c>
      <c r="H6747" t="s">
        <v>40293</v>
      </c>
      <c r="I6747">
        <v>61134</v>
      </c>
      <c r="J6747">
        <v>10</v>
      </c>
      <c r="K6747">
        <v>10</v>
      </c>
    </row>
    <row r="6748" spans="1:11">
      <c r="A6748">
        <v>30</v>
      </c>
      <c r="B6748" t="b">
        <v>0</v>
      </c>
      <c r="C6748" t="s">
        <v>44093</v>
      </c>
      <c r="D6748">
        <v>1037022454355</v>
      </c>
      <c r="E6748">
        <v>1</v>
      </c>
      <c r="F6748">
        <v>6155961006</v>
      </c>
      <c r="G6748">
        <v>1000</v>
      </c>
      <c r="H6748" t="s">
        <v>40293</v>
      </c>
      <c r="I6748">
        <v>61135</v>
      </c>
      <c r="J6748">
        <v>2</v>
      </c>
      <c r="K6748">
        <v>2</v>
      </c>
    </row>
    <row r="6749" spans="1:11">
      <c r="A6749">
        <v>30</v>
      </c>
      <c r="B6749" t="b">
        <v>0</v>
      </c>
      <c r="C6749" t="s">
        <v>44577</v>
      </c>
      <c r="D6749">
        <v>1037022454355</v>
      </c>
      <c r="E6749">
        <v>1</v>
      </c>
      <c r="F6749">
        <v>6148562322</v>
      </c>
      <c r="G6749">
        <v>3001000</v>
      </c>
      <c r="H6749" t="s">
        <v>40293</v>
      </c>
      <c r="I6749">
        <v>61136</v>
      </c>
      <c r="J6749">
        <v>1</v>
      </c>
      <c r="K6749">
        <v>1</v>
      </c>
    </row>
    <row r="6750" spans="1:11">
      <c r="A6750">
        <v>90</v>
      </c>
      <c r="B6750" t="b">
        <v>0</v>
      </c>
      <c r="C6750" t="s">
        <v>44419</v>
      </c>
      <c r="D6750">
        <v>1037022454355</v>
      </c>
      <c r="E6750">
        <v>1</v>
      </c>
      <c r="F6750">
        <v>6148691164</v>
      </c>
      <c r="G6750">
        <v>2200000</v>
      </c>
      <c r="H6750" t="s">
        <v>40293</v>
      </c>
      <c r="I6750">
        <v>61136</v>
      </c>
      <c r="J6750">
        <v>2</v>
      </c>
      <c r="K6750">
        <v>2</v>
      </c>
    </row>
    <row r="6751" spans="1:11">
      <c r="A6751">
        <v>30</v>
      </c>
      <c r="B6751" t="b">
        <v>0</v>
      </c>
      <c r="C6751" t="s">
        <v>44735</v>
      </c>
      <c r="D6751">
        <v>1037022454355</v>
      </c>
      <c r="E6751">
        <v>1</v>
      </c>
      <c r="F6751">
        <v>6155248885</v>
      </c>
      <c r="G6751">
        <v>2101000</v>
      </c>
      <c r="H6751" t="s">
        <v>40293</v>
      </c>
      <c r="I6751">
        <v>61136</v>
      </c>
      <c r="J6751">
        <v>2</v>
      </c>
      <c r="K6751">
        <v>2</v>
      </c>
    </row>
    <row r="6752" spans="1:11">
      <c r="A6752">
        <v>90</v>
      </c>
      <c r="B6752" t="b">
        <v>0</v>
      </c>
      <c r="C6752" t="s">
        <v>45597</v>
      </c>
      <c r="D6752">
        <v>1037022454355</v>
      </c>
      <c r="E6752">
        <v>1</v>
      </c>
      <c r="F6752">
        <v>6152245212</v>
      </c>
      <c r="G6752">
        <v>2000000</v>
      </c>
      <c r="H6752" t="s">
        <v>40293</v>
      </c>
      <c r="I6752">
        <v>61136</v>
      </c>
      <c r="J6752">
        <v>20</v>
      </c>
      <c r="K6752">
        <v>20</v>
      </c>
    </row>
    <row r="6753" spans="1:11">
      <c r="A6753">
        <v>30</v>
      </c>
      <c r="B6753" t="b">
        <v>0</v>
      </c>
      <c r="C6753" t="s">
        <v>44258</v>
      </c>
      <c r="D6753">
        <v>1037022454355</v>
      </c>
      <c r="E6753">
        <v>1</v>
      </c>
      <c r="F6753">
        <v>6156506932</v>
      </c>
      <c r="G6753">
        <v>1879000</v>
      </c>
      <c r="H6753" t="s">
        <v>40293</v>
      </c>
      <c r="I6753">
        <v>61136</v>
      </c>
      <c r="J6753">
        <v>9</v>
      </c>
      <c r="K6753">
        <v>9</v>
      </c>
    </row>
    <row r="6754" spans="1:11">
      <c r="A6754">
        <v>30</v>
      </c>
      <c r="B6754" t="b">
        <v>0</v>
      </c>
      <c r="C6754" t="s">
        <v>44093</v>
      </c>
      <c r="D6754">
        <v>1037022454355</v>
      </c>
      <c r="E6754">
        <v>1</v>
      </c>
      <c r="F6754">
        <v>6155961008</v>
      </c>
      <c r="G6754">
        <v>1878000</v>
      </c>
      <c r="H6754" t="s">
        <v>40293</v>
      </c>
      <c r="I6754">
        <v>61136</v>
      </c>
      <c r="J6754">
        <v>4</v>
      </c>
      <c r="K6754">
        <v>4</v>
      </c>
    </row>
    <row r="6755" spans="1:11">
      <c r="A6755">
        <v>90</v>
      </c>
      <c r="B6755" t="b">
        <v>0</v>
      </c>
      <c r="C6755" t="s">
        <v>46051</v>
      </c>
      <c r="D6755">
        <v>1037022454355</v>
      </c>
      <c r="E6755">
        <v>1</v>
      </c>
      <c r="F6755">
        <v>6146745601</v>
      </c>
      <c r="G6755">
        <v>3000000</v>
      </c>
      <c r="H6755" t="s">
        <v>40293</v>
      </c>
      <c r="I6755">
        <v>61137</v>
      </c>
      <c r="J6755">
        <v>7</v>
      </c>
      <c r="K6755">
        <v>7</v>
      </c>
    </row>
    <row r="6756" spans="1:11">
      <c r="A6756">
        <v>30</v>
      </c>
      <c r="B6756" t="b">
        <v>0</v>
      </c>
      <c r="C6756" t="s">
        <v>44258</v>
      </c>
      <c r="D6756">
        <v>1037022454355</v>
      </c>
      <c r="E6756">
        <v>1</v>
      </c>
      <c r="F6756">
        <v>6156506930</v>
      </c>
      <c r="G6756">
        <v>1001</v>
      </c>
      <c r="H6756" t="s">
        <v>40293</v>
      </c>
      <c r="I6756">
        <v>61137</v>
      </c>
      <c r="J6756">
        <v>2</v>
      </c>
      <c r="K6756">
        <v>2</v>
      </c>
    </row>
    <row r="6757" spans="1:11">
      <c r="A6757">
        <v>30</v>
      </c>
      <c r="B6757" t="b">
        <v>0</v>
      </c>
      <c r="C6757" t="s">
        <v>44735</v>
      </c>
      <c r="D6757">
        <v>1037022454355</v>
      </c>
      <c r="E6757">
        <v>1</v>
      </c>
      <c r="F6757">
        <v>6155248883</v>
      </c>
      <c r="G6757">
        <v>1001</v>
      </c>
      <c r="H6757" t="s">
        <v>40293</v>
      </c>
      <c r="I6757">
        <v>61137</v>
      </c>
      <c r="J6757">
        <v>3</v>
      </c>
      <c r="K6757">
        <v>3</v>
      </c>
    </row>
    <row r="6758" spans="1:11">
      <c r="A6758">
        <v>30</v>
      </c>
      <c r="B6758" t="b">
        <v>0</v>
      </c>
      <c r="C6758" t="s">
        <v>44093</v>
      </c>
      <c r="D6758">
        <v>1037022454355</v>
      </c>
      <c r="E6758">
        <v>1</v>
      </c>
      <c r="F6758">
        <v>6155961005</v>
      </c>
      <c r="G6758">
        <v>1000</v>
      </c>
      <c r="H6758" t="s">
        <v>40293</v>
      </c>
      <c r="I6758">
        <v>61137</v>
      </c>
      <c r="J6758">
        <v>2</v>
      </c>
      <c r="K6758">
        <v>2</v>
      </c>
    </row>
    <row r="6759" spans="1:11">
      <c r="A6759">
        <v>90</v>
      </c>
      <c r="B6759" t="b">
        <v>0</v>
      </c>
      <c r="C6759" t="s">
        <v>46197</v>
      </c>
      <c r="D6759">
        <v>1037022454355</v>
      </c>
      <c r="E6759">
        <v>1</v>
      </c>
      <c r="F6759">
        <v>6151111417</v>
      </c>
      <c r="G6759">
        <v>5000000</v>
      </c>
      <c r="H6759" t="s">
        <v>40293</v>
      </c>
      <c r="I6759">
        <v>61138</v>
      </c>
      <c r="J6759">
        <v>1</v>
      </c>
      <c r="K6759">
        <v>3</v>
      </c>
    </row>
    <row r="6760" spans="1:11">
      <c r="A6760">
        <v>90</v>
      </c>
      <c r="B6760" t="b">
        <v>0</v>
      </c>
      <c r="C6760" t="s">
        <v>45079</v>
      </c>
      <c r="D6760">
        <v>1037022454355</v>
      </c>
      <c r="E6760">
        <v>1</v>
      </c>
      <c r="F6760">
        <v>6154532216</v>
      </c>
      <c r="G6760">
        <v>4000000</v>
      </c>
      <c r="H6760" t="s">
        <v>40293</v>
      </c>
      <c r="I6760">
        <v>61138</v>
      </c>
      <c r="J6760">
        <v>2</v>
      </c>
      <c r="K6760">
        <v>2</v>
      </c>
    </row>
    <row r="6761" spans="1:11">
      <c r="A6761">
        <v>90</v>
      </c>
      <c r="B6761" t="b">
        <v>0</v>
      </c>
      <c r="C6761" t="s">
        <v>44410</v>
      </c>
      <c r="D6761">
        <v>1037022454355</v>
      </c>
      <c r="E6761">
        <v>1</v>
      </c>
      <c r="F6761">
        <v>6153737318</v>
      </c>
      <c r="G6761">
        <v>5521000</v>
      </c>
      <c r="H6761" t="s">
        <v>40293</v>
      </c>
      <c r="I6761">
        <v>61199</v>
      </c>
      <c r="J6761">
        <v>6</v>
      </c>
      <c r="K6761">
        <v>6</v>
      </c>
    </row>
    <row r="6762" spans="1:11">
      <c r="A6762">
        <v>90</v>
      </c>
      <c r="B6762" t="b">
        <v>0</v>
      </c>
      <c r="C6762" t="s">
        <v>46376</v>
      </c>
      <c r="D6762">
        <v>1037022454355</v>
      </c>
      <c r="E6762">
        <v>1</v>
      </c>
      <c r="F6762">
        <v>6152011401</v>
      </c>
      <c r="G6762">
        <v>5901000</v>
      </c>
      <c r="H6762" t="s">
        <v>40293</v>
      </c>
      <c r="I6762">
        <v>61203</v>
      </c>
      <c r="J6762">
        <v>14</v>
      </c>
      <c r="K6762">
        <v>20</v>
      </c>
    </row>
    <row r="6763" spans="1:11">
      <c r="A6763">
        <v>90</v>
      </c>
      <c r="B6763" t="b">
        <v>0</v>
      </c>
      <c r="C6763" t="s">
        <v>44477</v>
      </c>
      <c r="D6763">
        <v>1037022454355</v>
      </c>
      <c r="E6763">
        <v>1</v>
      </c>
      <c r="F6763">
        <v>6149904434</v>
      </c>
      <c r="G6763">
        <v>6101000</v>
      </c>
      <c r="H6763" t="s">
        <v>40293</v>
      </c>
      <c r="I6763">
        <v>61207</v>
      </c>
      <c r="J6763">
        <v>2</v>
      </c>
      <c r="K6763">
        <v>20</v>
      </c>
    </row>
    <row r="6764" spans="1:11">
      <c r="A6764">
        <v>90</v>
      </c>
      <c r="B6764" t="b">
        <v>0</v>
      </c>
      <c r="C6764" t="s">
        <v>44381</v>
      </c>
      <c r="D6764">
        <v>1037022454355</v>
      </c>
      <c r="E6764">
        <v>1</v>
      </c>
      <c r="F6764">
        <v>6155408116</v>
      </c>
      <c r="G6764">
        <v>6100000</v>
      </c>
      <c r="H6764" t="s">
        <v>40293</v>
      </c>
      <c r="I6764">
        <v>61207</v>
      </c>
      <c r="J6764">
        <v>2</v>
      </c>
      <c r="K6764">
        <v>8</v>
      </c>
    </row>
    <row r="6765" spans="1:11">
      <c r="A6765">
        <v>90</v>
      </c>
      <c r="B6765" t="b">
        <v>0</v>
      </c>
      <c r="C6765" t="s">
        <v>45795</v>
      </c>
      <c r="D6765">
        <v>1037022454355</v>
      </c>
      <c r="E6765">
        <v>1</v>
      </c>
      <c r="F6765">
        <v>6148741453</v>
      </c>
      <c r="G6765">
        <v>800000</v>
      </c>
      <c r="H6765" t="s">
        <v>40293</v>
      </c>
      <c r="I6765">
        <v>61209</v>
      </c>
      <c r="J6765">
        <v>20</v>
      </c>
      <c r="K6765">
        <v>20</v>
      </c>
    </row>
    <row r="6766" spans="1:11">
      <c r="A6766">
        <v>90</v>
      </c>
      <c r="B6766" t="b">
        <v>0</v>
      </c>
      <c r="C6766" t="s">
        <v>45795</v>
      </c>
      <c r="D6766">
        <v>1037022454355</v>
      </c>
      <c r="E6766">
        <v>1</v>
      </c>
      <c r="F6766">
        <v>6148741451</v>
      </c>
      <c r="G6766">
        <v>800000</v>
      </c>
      <c r="H6766" t="s">
        <v>40293</v>
      </c>
      <c r="I6766">
        <v>61213</v>
      </c>
      <c r="J6766">
        <v>20</v>
      </c>
      <c r="K6766">
        <v>20</v>
      </c>
    </row>
    <row r="6767" spans="1:11">
      <c r="A6767">
        <v>90</v>
      </c>
      <c r="B6767" t="b">
        <v>0</v>
      </c>
      <c r="C6767" t="s">
        <v>44409</v>
      </c>
      <c r="D6767">
        <v>1037022454355</v>
      </c>
      <c r="E6767">
        <v>1</v>
      </c>
      <c r="F6767">
        <v>6149903445</v>
      </c>
      <c r="G6767">
        <v>3100000</v>
      </c>
      <c r="H6767" t="s">
        <v>40293</v>
      </c>
      <c r="I6767">
        <v>61215</v>
      </c>
      <c r="J6767">
        <v>20</v>
      </c>
      <c r="K6767">
        <v>20</v>
      </c>
    </row>
    <row r="6768" spans="1:11">
      <c r="A6768">
        <v>90</v>
      </c>
      <c r="B6768" t="b">
        <v>0</v>
      </c>
      <c r="C6768" t="s">
        <v>45303</v>
      </c>
      <c r="D6768">
        <v>1037022454355</v>
      </c>
      <c r="E6768">
        <v>1</v>
      </c>
      <c r="F6768">
        <v>6152012308</v>
      </c>
      <c r="G6768">
        <v>3000000</v>
      </c>
      <c r="H6768" t="s">
        <v>40293</v>
      </c>
      <c r="I6768">
        <v>61215</v>
      </c>
      <c r="J6768">
        <v>34</v>
      </c>
      <c r="K6768">
        <v>40</v>
      </c>
    </row>
  </sheetData>
  <conditionalFormatting sqref="F2:F1048576">
    <cfRule type="duplicateValues" dxfId="274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52-0198-430C-A7E1-7BB300AA6828}">
  <dimension ref="A1:Z2057"/>
  <sheetViews>
    <sheetView tabSelected="1" zoomScale="160" zoomScaleNormal="160" workbookViewId="0">
      <selection activeCell="D9" sqref="D9"/>
    </sheetView>
  </sheetViews>
  <sheetFormatPr defaultRowHeight="15"/>
  <cols>
    <col min="1" max="1" width="13.140625" customWidth="1"/>
    <col min="2" max="2" width="18.85546875" bestFit="1" customWidth="1"/>
    <col min="3" max="3" width="17.85546875" bestFit="1" customWidth="1"/>
    <col min="4" max="4" width="22.85546875" bestFit="1" customWidth="1"/>
    <col min="5" max="5" width="18.5703125" bestFit="1" customWidth="1"/>
    <col min="6" max="6" width="11" bestFit="1" customWidth="1"/>
    <col min="7" max="8" width="11.140625" bestFit="1" customWidth="1"/>
    <col min="9" max="9" width="19.140625" customWidth="1"/>
    <col min="10" max="10" width="11.7109375" customWidth="1"/>
    <col min="11" max="11" width="2.42578125" customWidth="1"/>
    <col min="12" max="12" width="5" customWidth="1"/>
    <col min="13" max="13" width="32" customWidth="1"/>
  </cols>
  <sheetData>
    <row r="1" spans="1:26">
      <c r="A1" s="66" t="s">
        <v>44005</v>
      </c>
      <c r="B1" s="66" t="str">
        <f>CONCATENATE(J7,J6)</f>
        <v>https://esi.evetech.net/latest/markets/10000021/history/?datasource=tranquility&amp;type_id=</v>
      </c>
      <c r="C1" s="66"/>
      <c r="D1" s="66"/>
      <c r="E1" s="66"/>
      <c r="F1" s="66"/>
      <c r="G1" s="68" t="s">
        <v>44006</v>
      </c>
      <c r="H1" s="68" t="s">
        <v>44007</v>
      </c>
      <c r="I1" s="68"/>
      <c r="J1" s="67"/>
      <c r="K1" s="67"/>
      <c r="L1" s="67"/>
      <c r="M1" s="67"/>
      <c r="N1" s="67"/>
      <c r="O1" s="67"/>
      <c r="P1" s="72" t="s">
        <v>44010</v>
      </c>
      <c r="Q1" s="71"/>
      <c r="R1" s="71"/>
      <c r="S1" s="71"/>
      <c r="T1" s="71"/>
      <c r="U1" s="71"/>
      <c r="V1" s="71"/>
      <c r="W1" s="66" t="s">
        <v>46573</v>
      </c>
      <c r="X1" s="66"/>
      <c r="Y1" s="66"/>
      <c r="Z1" s="66"/>
    </row>
    <row r="2" spans="1:26">
      <c r="A2" s="64"/>
      <c r="G2" s="5"/>
    </row>
    <row r="3" spans="1:26">
      <c r="A3" s="65">
        <f>VLOOKUP(TradeSheet!A2,TypeIDs!B:C,2,FALSE)</f>
        <v>2048</v>
      </c>
      <c r="B3" t="s">
        <v>43998</v>
      </c>
      <c r="C3" t="s">
        <v>43999</v>
      </c>
      <c r="D3" t="s">
        <v>44000</v>
      </c>
      <c r="E3" t="s">
        <v>44001</v>
      </c>
      <c r="F3" t="s">
        <v>44009</v>
      </c>
      <c r="G3" t="s">
        <v>44008</v>
      </c>
      <c r="I3" s="110" t="s">
        <v>44011</v>
      </c>
      <c r="J3" s="110"/>
      <c r="K3" s="110"/>
      <c r="L3" s="110"/>
      <c r="M3" s="110"/>
    </row>
    <row r="4" spans="1:26">
      <c r="A4" s="65" t="str">
        <f>CONCATENATE(SwaggerURL,input001)</f>
        <v>https://esi.evetech.net/latest/markets/10000021/history/?datasource=tranquility&amp;type_id=2048</v>
      </c>
      <c r="B4">
        <v>395791.67</v>
      </c>
      <c r="C4">
        <v>375000</v>
      </c>
      <c r="D4">
        <v>12</v>
      </c>
      <c r="E4">
        <v>12</v>
      </c>
      <c r="F4" s="70">
        <v>44664</v>
      </c>
      <c r="G4" t="str">
        <f>IFERROR(IF((F4-F3)&gt;1,(LARGE(F4:$F4,1)-LARGE(F4:$F$4,2)),""),"")</f>
        <v/>
      </c>
      <c r="H4" t="str">
        <f t="array" ref="H4">IFERROR((LARGE(F4:$F$4,1)-LARGE(F4:$F$4,2)-1),"")</f>
        <v/>
      </c>
      <c r="I4" s="74" t="s">
        <v>44016</v>
      </c>
      <c r="J4" s="14">
        <v>10000021</v>
      </c>
      <c r="K4" s="14"/>
      <c r="L4" s="14" t="s">
        <v>40265</v>
      </c>
      <c r="M4" s="14"/>
      <c r="O4" s="75"/>
      <c r="P4" s="75"/>
    </row>
    <row r="5" spans="1:26">
      <c r="A5" s="79" t="s">
        <v>44018</v>
      </c>
      <c r="B5">
        <v>476805.88</v>
      </c>
      <c r="C5">
        <v>476000</v>
      </c>
      <c r="D5">
        <v>21</v>
      </c>
      <c r="E5">
        <v>34</v>
      </c>
      <c r="F5" s="70">
        <v>44665</v>
      </c>
      <c r="G5" t="str">
        <f>IFERROR(IF((F5-F4)&gt;1,(LARGE(F5:$F5,1)-LARGE(F$4:$F5,2)),""),"")</f>
        <v/>
      </c>
      <c r="I5" s="73" t="s">
        <v>44012</v>
      </c>
      <c r="J5" s="3" t="s">
        <v>44014</v>
      </c>
      <c r="K5" s="3"/>
      <c r="L5" s="3"/>
      <c r="M5" s="3"/>
      <c r="O5" s="75"/>
      <c r="P5" s="75"/>
    </row>
    <row r="6" spans="1:26">
      <c r="A6" s="78">
        <f>MAX(0,(CurrentDate-2)-F17)</f>
        <v>0</v>
      </c>
      <c r="B6">
        <v>478800</v>
      </c>
      <c r="C6">
        <v>478800</v>
      </c>
      <c r="D6">
        <v>21</v>
      </c>
      <c r="E6">
        <v>21</v>
      </c>
      <c r="F6" s="70">
        <v>44666</v>
      </c>
      <c r="G6" t="str">
        <f>IFERROR(IF((F6-F5)&gt;1,(LARGE(F6:$F6,1)-LARGE(F$4:$F6,2)),""),"")</f>
        <v/>
      </c>
      <c r="I6" s="73" t="s">
        <v>44013</v>
      </c>
      <c r="J6" s="3" t="s">
        <v>44015</v>
      </c>
      <c r="K6" s="3"/>
      <c r="L6" s="3"/>
      <c r="M6" s="3"/>
      <c r="O6" s="75"/>
    </row>
    <row r="7" spans="1:26">
      <c r="A7" s="79" t="s">
        <v>44026</v>
      </c>
      <c r="B7">
        <v>467005.56</v>
      </c>
      <c r="C7">
        <v>433300</v>
      </c>
      <c r="D7">
        <v>18</v>
      </c>
      <c r="E7">
        <v>18</v>
      </c>
      <c r="F7" s="70">
        <v>44667</v>
      </c>
      <c r="G7" t="str">
        <f>IFERROR(IF((F7-F6)&gt;1,(LARGE(F7:$F7,1)-LARGE(F$4:$F7,2)),""),"")</f>
        <v/>
      </c>
      <c r="I7" s="73" t="s">
        <v>44017</v>
      </c>
      <c r="J7" s="3" t="str">
        <f>CONCATENATE(J5,J4)</f>
        <v>https://esi.evetech.net/latest/markets/10000021</v>
      </c>
      <c r="K7" s="3"/>
      <c r="L7" s="3"/>
      <c r="M7" s="3"/>
      <c r="O7" s="75"/>
    </row>
    <row r="8" spans="1:26">
      <c r="A8" s="83">
        <f>SUM(G11:G17)</f>
        <v>0</v>
      </c>
      <c r="B8">
        <v>701164.71</v>
      </c>
      <c r="C8">
        <v>478800</v>
      </c>
      <c r="D8">
        <v>13</v>
      </c>
      <c r="E8">
        <v>17</v>
      </c>
      <c r="F8" s="70">
        <v>44668</v>
      </c>
      <c r="G8" t="str">
        <f>IFERROR(IF((F8-F7)&gt;1,(LARGE(F8:$F8,1)-LARGE(F$4:$F8,2)),""),"")</f>
        <v/>
      </c>
      <c r="I8" s="74" t="s">
        <v>44019</v>
      </c>
      <c r="J8" s="76">
        <v>5</v>
      </c>
      <c r="K8" s="14"/>
      <c r="L8" s="14" t="s">
        <v>44020</v>
      </c>
      <c r="M8" s="14"/>
      <c r="O8" s="75"/>
    </row>
    <row r="9" spans="1:26">
      <c r="A9" s="79" t="s">
        <v>44029</v>
      </c>
      <c r="B9">
        <v>781681.82</v>
      </c>
      <c r="C9">
        <v>400000</v>
      </c>
      <c r="D9">
        <v>21</v>
      </c>
      <c r="E9">
        <v>22</v>
      </c>
      <c r="F9" s="70">
        <v>44669</v>
      </c>
      <c r="G9" t="str">
        <f>IFERROR(IF((F9-F8)&gt;1,(LARGE(F9:$F9,1)-LARGE(F$4:$F9,2)),""),"")</f>
        <v/>
      </c>
      <c r="I9" s="74" t="s">
        <v>44022</v>
      </c>
      <c r="J9" s="80">
        <v>44557</v>
      </c>
      <c r="K9" s="14"/>
      <c r="L9" s="14" t="s">
        <v>44021</v>
      </c>
      <c r="M9" s="14"/>
      <c r="O9" s="75"/>
    </row>
    <row r="10" spans="1:26">
      <c r="A10" s="77">
        <f>(SUM(E4:E17)/(A6+14)+SUM(G4:G17))</f>
        <v>22</v>
      </c>
      <c r="B10">
        <v>800000</v>
      </c>
      <c r="C10">
        <v>800000</v>
      </c>
      <c r="D10">
        <v>14</v>
      </c>
      <c r="E10">
        <v>18</v>
      </c>
      <c r="F10" s="70">
        <v>44670</v>
      </c>
      <c r="G10" t="str">
        <f>IFERROR(IF((F10-F9)&gt;1,(LARGE(F10:$F10,1)-LARGE(F$4:$F10,2)),""),"")</f>
        <v/>
      </c>
      <c r="I10" s="74" t="s">
        <v>44023</v>
      </c>
      <c r="J10" s="81">
        <f ca="1">(NOW()+TIME(ABS(TimeZone),0,0))</f>
        <v>44678.9897025463</v>
      </c>
      <c r="K10" s="14"/>
      <c r="L10" s="14" t="s">
        <v>44024</v>
      </c>
      <c r="M10" s="14"/>
      <c r="O10" s="75"/>
    </row>
    <row r="11" spans="1:26">
      <c r="A11" s="77">
        <f>(SUM(E11:E17)/(A6+7)+SUM(G11:G17))</f>
        <v>23.714285714285715</v>
      </c>
      <c r="B11">
        <v>799900</v>
      </c>
      <c r="C11">
        <v>799800</v>
      </c>
      <c r="D11">
        <v>7</v>
      </c>
      <c r="E11">
        <v>7</v>
      </c>
      <c r="F11" s="70">
        <v>44671</v>
      </c>
      <c r="G11" t="str">
        <f>IFERROR(IF((F11-F10)&gt;1,(LARGE(F11:$F11,1)-LARGE(F$4:$F11,2)),""),"")</f>
        <v/>
      </c>
      <c r="I11" s="66" t="s">
        <v>44025</v>
      </c>
      <c r="J11" s="66"/>
      <c r="K11" s="66"/>
      <c r="L11" s="66"/>
      <c r="M11" s="66"/>
      <c r="O11" s="75"/>
    </row>
    <row r="12" spans="1:26">
      <c r="A12" s="79" t="s">
        <v>44028</v>
      </c>
      <c r="B12">
        <v>413523.73</v>
      </c>
      <c r="C12">
        <v>200000</v>
      </c>
      <c r="D12">
        <v>22</v>
      </c>
      <c r="E12">
        <v>59</v>
      </c>
      <c r="F12" s="70">
        <v>44672</v>
      </c>
      <c r="G12" t="str">
        <f>IFERROR(IF((F12-F11)&gt;1,(LARGE(F12:$F12,1)-LARGE(F$4:$F12,2)),""),"")</f>
        <v/>
      </c>
      <c r="I12" s="82"/>
      <c r="O12" s="75"/>
    </row>
    <row r="13" spans="1:26">
      <c r="A13" s="77">
        <f>(SUM(D14:D17)/(A6+4)+SUM(G14:G17))</f>
        <v>17.5</v>
      </c>
      <c r="B13">
        <v>466551.85</v>
      </c>
      <c r="C13">
        <v>200000</v>
      </c>
      <c r="D13">
        <v>12</v>
      </c>
      <c r="E13">
        <v>27</v>
      </c>
      <c r="F13" s="70">
        <v>44673</v>
      </c>
      <c r="G13" t="str">
        <f>IFERROR(IF((F13-F12)&gt;1,(LARGE(F13:$F13,1)-LARGE(F$4:$F13,2)),""),"")</f>
        <v/>
      </c>
      <c r="O13" s="75"/>
    </row>
    <row r="14" spans="1:26">
      <c r="A14" s="85" t="s">
        <v>44027</v>
      </c>
      <c r="B14">
        <v>731494.74</v>
      </c>
      <c r="C14">
        <v>200000</v>
      </c>
      <c r="D14">
        <v>18</v>
      </c>
      <c r="E14">
        <v>19</v>
      </c>
      <c r="F14" s="70">
        <v>44674</v>
      </c>
      <c r="G14" t="str">
        <f>IFERROR(IF((F14-F13)&gt;1,(LARGE(F14:$F14,1)-LARGE(F$4:$F14,2)),""),"")</f>
        <v/>
      </c>
      <c r="O14" s="75"/>
    </row>
    <row r="15" spans="1:26">
      <c r="A15" s="86">
        <f>IF(A8+A6&gt;10,"Look Up",AVERAGE(A10,A11))</f>
        <v>22.857142857142858</v>
      </c>
      <c r="B15">
        <v>791900</v>
      </c>
      <c r="C15">
        <v>700000</v>
      </c>
      <c r="D15">
        <v>25</v>
      </c>
      <c r="E15">
        <v>25</v>
      </c>
      <c r="F15" s="70">
        <v>44675</v>
      </c>
      <c r="G15" t="str">
        <f>IFERROR(IF((F15-F14)&gt;1,(LARGE(F15:$F15,1)-LARGE(F$4:$F15,2)),""),"")</f>
        <v/>
      </c>
      <c r="O15" s="75"/>
    </row>
    <row r="16" spans="1:26">
      <c r="A16" s="85" t="s">
        <v>44030</v>
      </c>
      <c r="B16">
        <v>744250</v>
      </c>
      <c r="C16">
        <v>300000</v>
      </c>
      <c r="D16">
        <v>16</v>
      </c>
      <c r="E16">
        <v>18</v>
      </c>
      <c r="F16" s="70">
        <v>44676</v>
      </c>
      <c r="G16" t="str">
        <f>IFERROR(IF((F16-F15)&gt;1,(LARGE(F16:$F16,1)-LARGE(F$4:$F16,2)),""),"")</f>
        <v/>
      </c>
      <c r="O16" s="75"/>
    </row>
    <row r="17" spans="1:15">
      <c r="A17" s="88" t="str">
        <f>IF(AND(D17&lt;2,A6&gt;0),"0","1")</f>
        <v>1</v>
      </c>
      <c r="B17">
        <v>790818.18</v>
      </c>
      <c r="C17">
        <v>700000</v>
      </c>
      <c r="D17">
        <v>11</v>
      </c>
      <c r="E17">
        <v>11</v>
      </c>
      <c r="F17" s="70">
        <v>44677</v>
      </c>
      <c r="G17" t="str">
        <f>IFERROR(IF((F17-F16)&gt;1,(LARGE(F17:$F17,1)-LARGE(F$4:$F17,2)),""),"")</f>
        <v/>
      </c>
      <c r="O17" s="75"/>
    </row>
    <row r="18" spans="1:15">
      <c r="A18" s="65">
        <f>VLOOKUP(TradeSheet!A3,TypeIDs!B:C,2,FALSE)</f>
        <v>28668</v>
      </c>
      <c r="B18" t="s">
        <v>43998</v>
      </c>
      <c r="C18" t="s">
        <v>43999</v>
      </c>
      <c r="D18" t="s">
        <v>44000</v>
      </c>
      <c r="E18" t="s">
        <v>44001</v>
      </c>
      <c r="F18" t="s">
        <v>44009</v>
      </c>
      <c r="G18" t="s">
        <v>44008</v>
      </c>
    </row>
    <row r="19" spans="1:15">
      <c r="A19" s="65" t="str" cm="1">
        <f t="array" ref="A19">CONCATENATE(SwaggerURL,input002)</f>
        <v>https://esi.evetech.net/latest/markets/10000021/history/?datasource=tranquility&amp;type_id=28668</v>
      </c>
      <c r="B19">
        <v>24880</v>
      </c>
      <c r="C19">
        <v>24880</v>
      </c>
      <c r="D19">
        <v>31</v>
      </c>
      <c r="E19">
        <v>2766</v>
      </c>
      <c r="F19" s="70">
        <v>44541</v>
      </c>
      <c r="G19" t="str">
        <f>IFERROR(IF((F19-F18)&gt;1,(LARGE(F19:$F19,1)-LARGE(F$19:$F19,2))-1,""),"")</f>
        <v/>
      </c>
    </row>
    <row r="20" spans="1:15">
      <c r="A20" s="79" t="s">
        <v>44018</v>
      </c>
      <c r="B20">
        <v>24880</v>
      </c>
      <c r="C20">
        <v>24880</v>
      </c>
      <c r="D20">
        <v>27</v>
      </c>
      <c r="E20">
        <v>4576</v>
      </c>
      <c r="F20" s="70">
        <v>44542</v>
      </c>
      <c r="G20" t="str">
        <f>IFERROR(IF((F20-F19)&gt;1,(LARGE(F20:$F20,1)-LARGE(F$19:$F20,2))-1,""),"")</f>
        <v/>
      </c>
    </row>
    <row r="21" spans="1:15">
      <c r="A21" s="78">
        <f>MAX(0,(CurrentDate-2)-F32)</f>
        <v>1</v>
      </c>
      <c r="B21">
        <v>24800</v>
      </c>
      <c r="C21">
        <v>24800</v>
      </c>
      <c r="D21">
        <v>8</v>
      </c>
      <c r="E21">
        <v>1744</v>
      </c>
      <c r="F21" s="70">
        <v>44543</v>
      </c>
      <c r="G21" t="str">
        <f>IFERROR(IF((F21-F20)&gt;1,(LARGE(F21:$F21,1)-LARGE(F$19:$F21,2))-1,""),"")</f>
        <v/>
      </c>
    </row>
    <row r="22" spans="1:15">
      <c r="A22" s="79" t="s">
        <v>44026</v>
      </c>
      <c r="B22">
        <v>20000</v>
      </c>
      <c r="C22">
        <v>20000</v>
      </c>
      <c r="D22">
        <v>33</v>
      </c>
      <c r="E22">
        <v>7266</v>
      </c>
      <c r="F22" s="70">
        <v>44544</v>
      </c>
      <c r="G22" t="str">
        <f>IFERROR(IF((F22-F21)&gt;1,(LARGE(F22:$F22,1)-LARGE(F$19:$F22,2))-1,""),"")</f>
        <v/>
      </c>
    </row>
    <row r="23" spans="1:15">
      <c r="A23" s="83">
        <f>SUM(G26:G32)</f>
        <v>0</v>
      </c>
      <c r="B23">
        <v>19500</v>
      </c>
      <c r="C23">
        <v>19500</v>
      </c>
      <c r="D23">
        <v>34</v>
      </c>
      <c r="E23">
        <v>5482</v>
      </c>
      <c r="F23" s="70">
        <v>44545</v>
      </c>
      <c r="G23" t="str">
        <f>IFERROR(IF((F23-F22)&gt;1,(LARGE(F23:$F23,1)-LARGE(F$19:$F23,2))-1,""),"")</f>
        <v/>
      </c>
    </row>
    <row r="24" spans="1:15">
      <c r="A24" s="79" t="s">
        <v>44029</v>
      </c>
      <c r="B24">
        <v>20000</v>
      </c>
      <c r="C24">
        <v>20000</v>
      </c>
      <c r="D24">
        <v>33</v>
      </c>
      <c r="E24">
        <v>3787</v>
      </c>
      <c r="F24" s="70">
        <v>44546</v>
      </c>
      <c r="G24" t="str">
        <f>IFERROR(IF((F24-F23)&gt;1,(LARGE(F24:$F24,1)-LARGE(F$19:$F24,2))-1,""),"")</f>
        <v/>
      </c>
    </row>
    <row r="25" spans="1:15">
      <c r="A25" s="77">
        <f>(SUM(E19:E32)/(A21+14)+SUM(G19:G32))</f>
        <v>5818.8666666666668</v>
      </c>
      <c r="B25">
        <v>20000</v>
      </c>
      <c r="C25">
        <v>20000</v>
      </c>
      <c r="D25">
        <v>32</v>
      </c>
      <c r="E25">
        <v>4014</v>
      </c>
      <c r="F25" s="70">
        <v>44547</v>
      </c>
      <c r="G25" t="str">
        <f>IFERROR(IF((F25-F24)&gt;1,(LARGE(F25:$F25,1)-LARGE(F$19:$F25,2))-1,""),"")</f>
        <v/>
      </c>
    </row>
    <row r="26" spans="1:15">
      <c r="A26" s="77">
        <f>(SUM(E26:E32)/(A21+7)+SUM(G26:G32))</f>
        <v>7206</v>
      </c>
      <c r="B26">
        <v>19400</v>
      </c>
      <c r="C26">
        <v>19400</v>
      </c>
      <c r="D26">
        <v>80</v>
      </c>
      <c r="E26">
        <v>11676</v>
      </c>
      <c r="F26" s="70">
        <v>44548</v>
      </c>
      <c r="G26" t="str">
        <f>IFERROR(IF((F26-F25)&gt;1,(LARGE(F26:$F26,1)-LARGE(F$19:$F26,2))-1,""),"")</f>
        <v/>
      </c>
    </row>
    <row r="27" spans="1:15">
      <c r="A27" s="79" t="s">
        <v>44028</v>
      </c>
      <c r="B27">
        <v>20000</v>
      </c>
      <c r="C27">
        <v>20000</v>
      </c>
      <c r="D27">
        <v>58</v>
      </c>
      <c r="E27">
        <v>20083</v>
      </c>
      <c r="F27" s="70">
        <v>44549</v>
      </c>
      <c r="G27" t="str">
        <f>IFERROR(IF((F27-F26)&gt;1,(LARGE(F27:$F27,1)-LARGE(F$19:$F27,2))-1,""),"")</f>
        <v/>
      </c>
    </row>
    <row r="28" spans="1:15">
      <c r="A28" s="77">
        <f>(SUM(D29:D32)/(A21+4)+SUM(G29:G32))</f>
        <v>20.399999999999999</v>
      </c>
      <c r="B28">
        <v>20000</v>
      </c>
      <c r="C28">
        <v>19990</v>
      </c>
      <c r="D28">
        <v>54</v>
      </c>
      <c r="E28">
        <v>8461</v>
      </c>
      <c r="F28" s="70">
        <v>44550</v>
      </c>
      <c r="G28" t="str">
        <f>IFERROR(IF((F28-F27)&gt;1,(LARGE(F28:$F28,1)-LARGE(F$19:$F28,2))-1,""),"")</f>
        <v/>
      </c>
    </row>
    <row r="29" spans="1:15">
      <c r="A29" s="85" t="s">
        <v>44027</v>
      </c>
      <c r="B29">
        <v>19500</v>
      </c>
      <c r="C29">
        <v>19500</v>
      </c>
      <c r="D29">
        <v>31</v>
      </c>
      <c r="E29">
        <v>8114</v>
      </c>
      <c r="F29" s="70">
        <v>44551</v>
      </c>
      <c r="G29" t="str">
        <f>IFERROR(IF((F29-F28)&gt;1,(LARGE(F29:$F29,1)-LARGE(F$19:$F29,2))-1,""),"")</f>
        <v/>
      </c>
    </row>
    <row r="30" spans="1:15">
      <c r="A30" s="86">
        <f>IF(A23+A21&gt;10,"Look Up",AVERAGE(A25,A26))</f>
        <v>6512.4333333333334</v>
      </c>
      <c r="B30">
        <v>20000</v>
      </c>
      <c r="C30">
        <v>20000</v>
      </c>
      <c r="D30">
        <v>18</v>
      </c>
      <c r="E30">
        <v>2597</v>
      </c>
      <c r="F30" s="70">
        <v>44552</v>
      </c>
      <c r="G30" t="str">
        <f>IFERROR(IF((F30-F29)&gt;1,(LARGE(F30:$F30,1)-LARGE(F$19:$F30,2))-1,""),"")</f>
        <v/>
      </c>
    </row>
    <row r="31" spans="1:15">
      <c r="A31" s="85" t="s">
        <v>44030</v>
      </c>
      <c r="B31">
        <v>20000</v>
      </c>
      <c r="C31">
        <v>20000</v>
      </c>
      <c r="D31">
        <v>19</v>
      </c>
      <c r="E31">
        <v>2831</v>
      </c>
      <c r="F31" s="70">
        <v>44553</v>
      </c>
      <c r="G31" t="str">
        <f>IFERROR(IF((F31-F30)&gt;1,(LARGE(F31:$F31,1)-LARGE(F$19:$F31,2))-1,""),"")</f>
        <v/>
      </c>
    </row>
    <row r="32" spans="1:15">
      <c r="A32" s="88"/>
      <c r="B32">
        <v>24600</v>
      </c>
      <c r="C32">
        <v>24600</v>
      </c>
      <c r="D32">
        <v>34</v>
      </c>
      <c r="E32">
        <v>3886</v>
      </c>
      <c r="F32" s="70">
        <v>44554</v>
      </c>
      <c r="G32" t="str">
        <f>IFERROR(IF((F32-F31)&gt;1,(LARGE(F32:$F32,1)-LARGE(F$19:$F32,2))-1,""),"")</f>
        <v/>
      </c>
    </row>
    <row r="33" spans="1:7">
      <c r="A33" s="65">
        <f>VLOOKUP(TradeSheet!A4,TypeIDs!B:C,2,FALSE)</f>
        <v>44992</v>
      </c>
      <c r="B33" t="s">
        <v>43998</v>
      </c>
      <c r="C33" t="s">
        <v>43999</v>
      </c>
      <c r="D33" t="s">
        <v>44000</v>
      </c>
      <c r="E33" t="s">
        <v>44001</v>
      </c>
      <c r="F33" t="s">
        <v>44009</v>
      </c>
      <c r="G33" t="s">
        <v>44008</v>
      </c>
    </row>
    <row r="34" spans="1:7">
      <c r="A34" s="65" t="str">
        <f>CONCATENATE(SwaggerURL,input003)</f>
        <v>https://esi.evetech.net/latest/markets/10000021/history/?datasource=tranquility&amp;type_id=44992</v>
      </c>
      <c r="B34">
        <v>2990000</v>
      </c>
      <c r="C34">
        <v>2990000</v>
      </c>
      <c r="D34">
        <v>7</v>
      </c>
      <c r="E34">
        <v>799</v>
      </c>
      <c r="F34" s="70">
        <v>44540</v>
      </c>
      <c r="G34" t="str">
        <f>IFERROR(IF((F34-F33)&gt;1,(LARGE(F34:$F34,1)-LARGE(F$34:$F34,2))-1,""),"")</f>
        <v/>
      </c>
    </row>
    <row r="35" spans="1:7">
      <c r="A35" s="79" t="s">
        <v>44018</v>
      </c>
      <c r="B35">
        <v>2650000</v>
      </c>
      <c r="C35">
        <v>2626000</v>
      </c>
      <c r="D35">
        <v>15</v>
      </c>
      <c r="E35">
        <v>5260</v>
      </c>
      <c r="F35" s="70">
        <v>44541</v>
      </c>
      <c r="G35" t="str">
        <f>IFERROR(IF((F35-F34)&gt;1,(LARGE(F35:$F35,1)-LARGE(F$34:$F35,2))-1,""),"")</f>
        <v/>
      </c>
    </row>
    <row r="36" spans="1:7">
      <c r="A36" s="78">
        <f>MAX(0,(CurrentDate-2)-F47)</f>
        <v>1</v>
      </c>
      <c r="B36">
        <v>2990000</v>
      </c>
      <c r="C36">
        <v>2655000</v>
      </c>
      <c r="D36">
        <v>17</v>
      </c>
      <c r="E36">
        <v>4140</v>
      </c>
      <c r="F36" s="70">
        <v>44542</v>
      </c>
      <c r="G36" t="str">
        <f>IFERROR(IF((F36-F35)&gt;1,(LARGE(F36:$F36,1)-LARGE(F$34:$F36,2))-1,""),"")</f>
        <v/>
      </c>
    </row>
    <row r="37" spans="1:7">
      <c r="A37" s="79" t="s">
        <v>44026</v>
      </c>
      <c r="B37">
        <v>2622000</v>
      </c>
      <c r="C37">
        <v>2622000</v>
      </c>
      <c r="D37">
        <v>1</v>
      </c>
      <c r="E37">
        <v>500</v>
      </c>
      <c r="F37" s="70">
        <v>44543</v>
      </c>
      <c r="G37" t="str">
        <f>IFERROR(IF((F37-F36)&gt;1,(LARGE(F37:$F37,1)-LARGE(F$34:$F37,2))-1,""),"")</f>
        <v/>
      </c>
    </row>
    <row r="38" spans="1:7">
      <c r="A38" s="83">
        <f>SUM(G41:G47)</f>
        <v>1</v>
      </c>
      <c r="B38">
        <v>2630000</v>
      </c>
      <c r="C38">
        <v>2630000</v>
      </c>
      <c r="D38">
        <v>6</v>
      </c>
      <c r="E38">
        <v>1604</v>
      </c>
      <c r="F38" s="70">
        <v>44544</v>
      </c>
      <c r="G38" t="str">
        <f>IFERROR(IF((F38-F37)&gt;1,(LARGE(F38:$F38,1)-LARGE(F$34:$F38,2))-1,""),"")</f>
        <v/>
      </c>
    </row>
    <row r="39" spans="1:7">
      <c r="A39" s="79" t="s">
        <v>44029</v>
      </c>
      <c r="B39">
        <v>2655000</v>
      </c>
      <c r="C39">
        <v>2655000</v>
      </c>
      <c r="D39">
        <v>4</v>
      </c>
      <c r="E39">
        <v>1161</v>
      </c>
      <c r="F39" s="70">
        <v>44545</v>
      </c>
      <c r="G39" t="str">
        <f>IFERROR(IF((F39-F38)&gt;1,(LARGE(F39:$F39,1)-LARGE(F$34:$F39,2))-1,""),"")</f>
        <v/>
      </c>
    </row>
    <row r="40" spans="1:7">
      <c r="A40" s="77">
        <f>(SUM(E34:E47)/(A36+14)+SUM(G34:G47))</f>
        <v>2109.1333333333332</v>
      </c>
      <c r="B40">
        <v>2653000</v>
      </c>
      <c r="C40">
        <v>2653000</v>
      </c>
      <c r="D40">
        <v>1</v>
      </c>
      <c r="E40">
        <v>240</v>
      </c>
      <c r="F40" s="70">
        <v>44546</v>
      </c>
      <c r="G40" t="str">
        <f>IFERROR(IF((F40-F39)&gt;1,(LARGE(F40:$F40,1)-LARGE(F$34:$F40,2))-1,""),"")</f>
        <v/>
      </c>
    </row>
    <row r="41" spans="1:7">
      <c r="A41" s="77">
        <f>(SUM(E41:E47)/(A36+7)+SUM(G41:G47))</f>
        <v>2240.75</v>
      </c>
      <c r="B41">
        <v>2659000</v>
      </c>
      <c r="C41">
        <v>2659000</v>
      </c>
      <c r="D41">
        <v>7</v>
      </c>
      <c r="E41">
        <v>2925</v>
      </c>
      <c r="F41" s="70">
        <v>44547</v>
      </c>
      <c r="G41" t="str">
        <f>IFERROR(IF((F41-F40)&gt;1,(LARGE(F41:$F41,1)-LARGE(F$34:$F41,2))-1,""),"")</f>
        <v/>
      </c>
    </row>
    <row r="42" spans="1:7">
      <c r="A42" s="79" t="s">
        <v>44028</v>
      </c>
      <c r="B42">
        <v>3200000</v>
      </c>
      <c r="C42">
        <v>3200000</v>
      </c>
      <c r="D42">
        <v>9</v>
      </c>
      <c r="E42">
        <v>1213</v>
      </c>
      <c r="F42" s="70">
        <v>44548</v>
      </c>
      <c r="G42" t="str">
        <f>IFERROR(IF((F42-F41)&gt;1,(LARGE(F42:$F42,1)-LARGE(F$34:$F42,2))-1,""),"")</f>
        <v/>
      </c>
    </row>
    <row r="43" spans="1:7">
      <c r="A43" s="77">
        <f>(SUM(D44:D47)/(A36+4)+SUM(G44:G47))</f>
        <v>12.2</v>
      </c>
      <c r="B43">
        <v>2669000</v>
      </c>
      <c r="C43">
        <v>2669000</v>
      </c>
      <c r="D43">
        <v>12</v>
      </c>
      <c r="E43">
        <v>2010</v>
      </c>
      <c r="F43" s="70">
        <v>44549</v>
      </c>
      <c r="G43" t="str">
        <f>IFERROR(IF((F43-F42)&gt;1,(LARGE(F43:$F43,1)-LARGE(F$34:$F43,2))-1,""),"")</f>
        <v/>
      </c>
    </row>
    <row r="44" spans="1:7">
      <c r="A44" s="85" t="s">
        <v>44027</v>
      </c>
      <c r="B44">
        <v>2635000</v>
      </c>
      <c r="C44">
        <v>2516000</v>
      </c>
      <c r="D44">
        <v>23</v>
      </c>
      <c r="E44">
        <v>6070</v>
      </c>
      <c r="F44" s="70">
        <v>44551</v>
      </c>
      <c r="G44">
        <f>IFERROR(IF((F44-F43)&gt;1,(LARGE(F44:$F44,1)-LARGE(F$34:$F44,2))-1,""),"")</f>
        <v>1</v>
      </c>
    </row>
    <row r="45" spans="1:7">
      <c r="A45" s="86">
        <f>IF(A38+A36&gt;10,"Look Up",AVERAGE(A40,A41))</f>
        <v>2174.9416666666666</v>
      </c>
      <c r="B45">
        <v>3049000</v>
      </c>
      <c r="C45">
        <v>3049000</v>
      </c>
      <c r="D45">
        <v>9</v>
      </c>
      <c r="E45">
        <v>1110</v>
      </c>
      <c r="F45" s="70">
        <v>44552</v>
      </c>
      <c r="G45" t="str">
        <f>IFERROR(IF((F45-F44)&gt;1,(LARGE(F45:$F45,1)-LARGE(F$34:$F45,2))-1,""),"")</f>
        <v/>
      </c>
    </row>
    <row r="46" spans="1:7">
      <c r="A46" s="85" t="s">
        <v>44030</v>
      </c>
      <c r="B46">
        <v>2532000</v>
      </c>
      <c r="C46">
        <v>2532000</v>
      </c>
      <c r="D46">
        <v>9</v>
      </c>
      <c r="E46">
        <v>1590</v>
      </c>
      <c r="F46" s="70">
        <v>44553</v>
      </c>
      <c r="G46" t="str">
        <f>IFERROR(IF((F46-F45)&gt;1,(LARGE(F46:$F46,1)-LARGE(F$34:$F46,2))-1,""),"")</f>
        <v/>
      </c>
    </row>
    <row r="47" spans="1:7">
      <c r="A47" s="88"/>
      <c r="B47">
        <v>2539000</v>
      </c>
      <c r="C47">
        <v>2537000</v>
      </c>
      <c r="D47">
        <v>15</v>
      </c>
      <c r="E47">
        <v>3000</v>
      </c>
      <c r="F47" s="70">
        <v>44554</v>
      </c>
      <c r="G47" t="str">
        <f>IFERROR(IF((F47-F46)&gt;1,(LARGE(F47:$F47,1)-LARGE(F$34:$F47,2))-1,""),"")</f>
        <v/>
      </c>
    </row>
    <row r="48" spans="1:7">
      <c r="A48" s="65">
        <f>VLOOKUP(TradeSheet!A5,TypeIDs!B:C,2,FALSE)</f>
        <v>47867</v>
      </c>
      <c r="B48" t="s">
        <v>43998</v>
      </c>
      <c r="C48" t="s">
        <v>43999</v>
      </c>
      <c r="D48" t="s">
        <v>44000</v>
      </c>
      <c r="E48" t="s">
        <v>44001</v>
      </c>
      <c r="F48" t="s">
        <v>44009</v>
      </c>
      <c r="G48" t="s">
        <v>44008</v>
      </c>
    </row>
    <row r="49" spans="1:7">
      <c r="A49" s="65" t="str">
        <f>CONCATENATE(SwaggerURL,input004)</f>
        <v>https://esi.evetech.net/latest/markets/10000021/history/?datasource=tranquility&amp;type_id=47867</v>
      </c>
      <c r="B49">
        <v>849800</v>
      </c>
      <c r="C49">
        <v>849800</v>
      </c>
      <c r="D49">
        <v>1</v>
      </c>
      <c r="E49">
        <v>1</v>
      </c>
      <c r="F49" s="70">
        <v>44519</v>
      </c>
      <c r="G49" t="str">
        <f>IFERROR(IF((F49-F48)&gt;1,(LARGE(F49:$F49,1)-LARGE(F$49:$F49,2))-1,""),"")</f>
        <v/>
      </c>
    </row>
    <row r="50" spans="1:7">
      <c r="A50" s="79" t="s">
        <v>44018</v>
      </c>
      <c r="B50">
        <v>849800</v>
      </c>
      <c r="C50">
        <v>849800</v>
      </c>
      <c r="D50">
        <v>1</v>
      </c>
      <c r="E50">
        <v>1</v>
      </c>
      <c r="F50" s="70">
        <v>44521</v>
      </c>
      <c r="G50">
        <f>IFERROR(IF((F50-F49)&gt;1,(LARGE(F50:$F50,1)-LARGE(F$49:$F50,2))-1,""),"")</f>
        <v>1</v>
      </c>
    </row>
    <row r="51" spans="1:7">
      <c r="A51" s="78">
        <f>MAX(0,(CurrentDate-2)-F62)</f>
        <v>3</v>
      </c>
      <c r="B51">
        <v>849700</v>
      </c>
      <c r="C51">
        <v>849700</v>
      </c>
      <c r="D51">
        <v>1</v>
      </c>
      <c r="E51">
        <v>1</v>
      </c>
      <c r="F51" s="70">
        <v>44525</v>
      </c>
      <c r="G51">
        <f>IFERROR(IF((F51-F50)&gt;1,(LARGE(F51:$F51,1)-LARGE(F$49:$F51,2))-1,""),"")</f>
        <v>3</v>
      </c>
    </row>
    <row r="52" spans="1:7">
      <c r="A52" s="79" t="s">
        <v>44026</v>
      </c>
      <c r="B52">
        <v>849700</v>
      </c>
      <c r="C52">
        <v>849700</v>
      </c>
      <c r="D52">
        <v>2</v>
      </c>
      <c r="E52">
        <v>2</v>
      </c>
      <c r="F52" s="70">
        <v>44530</v>
      </c>
      <c r="G52">
        <f>IFERROR(IF((F52-F51)&gt;1,(LARGE(F52:$F52,1)-LARGE(F$49:$F52,2))-1,""),"")</f>
        <v>4</v>
      </c>
    </row>
    <row r="53" spans="1:7">
      <c r="A53" s="83">
        <f>SUM(G56:G62)</f>
        <v>11</v>
      </c>
      <c r="B53">
        <v>849700</v>
      </c>
      <c r="C53">
        <v>849700</v>
      </c>
      <c r="D53">
        <v>1</v>
      </c>
      <c r="E53">
        <v>1</v>
      </c>
      <c r="F53" s="70">
        <v>44531</v>
      </c>
      <c r="G53" t="str">
        <f>IFERROR(IF((F53-F52)&gt;1,(LARGE(F53:$F53,1)-LARGE(F$49:$F53,2))-1,""),"")</f>
        <v/>
      </c>
    </row>
    <row r="54" spans="1:7">
      <c r="A54" s="79" t="s">
        <v>44029</v>
      </c>
      <c r="B54">
        <v>849700</v>
      </c>
      <c r="C54">
        <v>849700</v>
      </c>
      <c r="D54">
        <v>1</v>
      </c>
      <c r="E54">
        <v>1</v>
      </c>
      <c r="F54" s="70">
        <v>44532</v>
      </c>
      <c r="G54" t="str">
        <f>IFERROR(IF((F54-F53)&gt;1,(LARGE(F54:$F54,1)-LARGE(F$49:$F54,2))-1,""),"")</f>
        <v/>
      </c>
    </row>
    <row r="55" spans="1:7">
      <c r="A55" s="77">
        <f>(SUM(E49:E62)/(A51+14)+SUM(G49:G62))</f>
        <v>21.117647058823529</v>
      </c>
      <c r="B55">
        <v>849750</v>
      </c>
      <c r="C55">
        <v>849700</v>
      </c>
      <c r="D55">
        <v>2</v>
      </c>
      <c r="E55">
        <v>2</v>
      </c>
      <c r="F55" s="70">
        <v>44534</v>
      </c>
      <c r="G55">
        <f>IFERROR(IF((F55-F54)&gt;1,(LARGE(F55:$F55,1)-LARGE(F$49:$F55,2))-1,""),"")</f>
        <v>1</v>
      </c>
    </row>
    <row r="56" spans="1:7">
      <c r="A56" s="77">
        <f>(SUM(E56:E62)/(A51+7)+SUM(G56:G62))</f>
        <v>12</v>
      </c>
      <c r="B56">
        <v>849800</v>
      </c>
      <c r="C56">
        <v>849800</v>
      </c>
      <c r="D56">
        <v>1</v>
      </c>
      <c r="E56">
        <v>1</v>
      </c>
      <c r="F56" s="70">
        <v>44536</v>
      </c>
      <c r="G56">
        <f>IFERROR(IF((F56-F55)&gt;1,(LARGE(F56:$F56,1)-LARGE(F$49:$F56,2))-1,""),"")</f>
        <v>1</v>
      </c>
    </row>
    <row r="57" spans="1:7">
      <c r="A57" s="79" t="s">
        <v>44028</v>
      </c>
      <c r="B57">
        <v>849800</v>
      </c>
      <c r="C57">
        <v>849800</v>
      </c>
      <c r="D57">
        <v>1</v>
      </c>
      <c r="E57">
        <v>1</v>
      </c>
      <c r="F57" s="70">
        <v>44538</v>
      </c>
      <c r="G57">
        <f>IFERROR(IF((F57-F56)&gt;1,(LARGE(F57:$F57,1)-LARGE(F$49:$F57,2))-1,""),"")</f>
        <v>1</v>
      </c>
    </row>
    <row r="58" spans="1:7">
      <c r="A58" s="77">
        <f>(SUM(D59:D62)/(A51+4)+SUM(G59:G62))</f>
        <v>5.7142857142857144</v>
      </c>
      <c r="B58">
        <v>666000</v>
      </c>
      <c r="C58">
        <v>666000</v>
      </c>
      <c r="D58">
        <v>1</v>
      </c>
      <c r="E58">
        <v>1</v>
      </c>
      <c r="F58" s="70">
        <v>44543</v>
      </c>
      <c r="G58">
        <f>IFERROR(IF((F58-F57)&gt;1,(LARGE(F58:$F58,1)-LARGE(F$49:$F58,2))-1,""),"")</f>
        <v>4</v>
      </c>
    </row>
    <row r="59" spans="1:7">
      <c r="A59" s="85" t="s">
        <v>44027</v>
      </c>
      <c r="B59">
        <v>300000</v>
      </c>
      <c r="C59">
        <v>300000</v>
      </c>
      <c r="D59">
        <v>1</v>
      </c>
      <c r="E59">
        <v>1</v>
      </c>
      <c r="F59" s="70">
        <v>44548</v>
      </c>
      <c r="G59">
        <f>IFERROR(IF((F59-F58)&gt;1,(LARGE(F59:$F59,1)-LARGE(F$49:$F59,2))-1,""),"")</f>
        <v>4</v>
      </c>
    </row>
    <row r="60" spans="1:7">
      <c r="A60" s="86" t="str">
        <f>IF(A53+A51&gt;10,"Look Up",AVERAGE(A55,A56))</f>
        <v>Look Up</v>
      </c>
      <c r="B60">
        <v>150000</v>
      </c>
      <c r="C60">
        <v>150000</v>
      </c>
      <c r="D60">
        <v>1</v>
      </c>
      <c r="E60">
        <v>1</v>
      </c>
      <c r="F60" s="70">
        <v>44549</v>
      </c>
      <c r="G60" t="str">
        <f>IFERROR(IF((F60-F59)&gt;1,(LARGE(F60:$F60,1)-LARGE(F$49:$F60,2))-1,""),"")</f>
        <v/>
      </c>
    </row>
    <row r="61" spans="1:7">
      <c r="A61" s="85" t="s">
        <v>44030</v>
      </c>
      <c r="B61">
        <v>150000</v>
      </c>
      <c r="C61">
        <v>150000</v>
      </c>
      <c r="D61">
        <v>2</v>
      </c>
      <c r="E61">
        <v>4</v>
      </c>
      <c r="F61" s="70">
        <v>44551</v>
      </c>
      <c r="G61">
        <f>IFERROR(IF((F61-F60)&gt;1,(LARGE(F61:$F61,1)-LARGE(F$49:$F61,2))-1,""),"")</f>
        <v>1</v>
      </c>
    </row>
    <row r="62" spans="1:7">
      <c r="A62" s="88"/>
      <c r="B62">
        <v>150000</v>
      </c>
      <c r="C62">
        <v>150000</v>
      </c>
      <c r="D62">
        <v>1</v>
      </c>
      <c r="E62">
        <v>1</v>
      </c>
      <c r="F62" s="70">
        <v>44552</v>
      </c>
      <c r="G62" t="str">
        <f>IFERROR(IF((F62-F61)&gt;1,(LARGE(F62:$F62,1)-LARGE(F$49:$F62,2))-1,""),"")</f>
        <v/>
      </c>
    </row>
    <row r="63" spans="1:7">
      <c r="A63" s="65">
        <f>VLOOKUP(TradeSheet!A6,TypeIDs!B:C,2,FALSE)</f>
        <v>49742</v>
      </c>
      <c r="B63" t="s">
        <v>43998</v>
      </c>
      <c r="C63" t="s">
        <v>43999</v>
      </c>
      <c r="D63" t="s">
        <v>44000</v>
      </c>
      <c r="E63" t="s">
        <v>44001</v>
      </c>
      <c r="F63" t="s">
        <v>44009</v>
      </c>
      <c r="G63" t="s">
        <v>44008</v>
      </c>
    </row>
    <row r="64" spans="1:7">
      <c r="A64" s="65" t="str">
        <f>CONCATENATE(SwaggerURL,input005)</f>
        <v>https://esi.evetech.net/latest/markets/10000021/history/?datasource=tranquility&amp;type_id=49742</v>
      </c>
      <c r="B64">
        <v>3800000</v>
      </c>
      <c r="C64">
        <v>3800000</v>
      </c>
      <c r="D64">
        <v>1</v>
      </c>
      <c r="E64">
        <v>1</v>
      </c>
      <c r="F64" s="70">
        <v>44519</v>
      </c>
      <c r="G64" t="str">
        <f>IFERROR(IF((F64-F63)&gt;1,(LARGE(F64:$F64,1)-LARGE(F$64:$F64,2))-1,""),"")</f>
        <v/>
      </c>
    </row>
    <row r="65" spans="1:7">
      <c r="A65" s="79" t="s">
        <v>44018</v>
      </c>
      <c r="B65">
        <v>3800000</v>
      </c>
      <c r="C65">
        <v>3800000</v>
      </c>
      <c r="D65">
        <v>1</v>
      </c>
      <c r="E65">
        <v>1</v>
      </c>
      <c r="F65" s="70">
        <v>44521</v>
      </c>
      <c r="G65">
        <f>IFERROR(IF((F65-F64)&gt;1,(LARGE(F65:$F65,1)-LARGE(F$64:$F65,2))-1,""),"")</f>
        <v>1</v>
      </c>
    </row>
    <row r="66" spans="1:7">
      <c r="A66" s="78">
        <f>MAX(0,(CurrentDate-2)-F77)</f>
        <v>3</v>
      </c>
      <c r="B66">
        <v>3800000</v>
      </c>
      <c r="C66">
        <v>3800000</v>
      </c>
      <c r="D66">
        <v>1</v>
      </c>
      <c r="E66">
        <v>1</v>
      </c>
      <c r="F66" s="70">
        <v>44525</v>
      </c>
      <c r="G66">
        <f>IFERROR(IF((F66-F65)&gt;1,(LARGE(F66:$F66,1)-LARGE(F$64:$F66,2))-1,""),"")</f>
        <v>3</v>
      </c>
    </row>
    <row r="67" spans="1:7">
      <c r="A67" s="79" t="s">
        <v>44026</v>
      </c>
      <c r="B67">
        <v>3750000</v>
      </c>
      <c r="C67">
        <v>3750000</v>
      </c>
      <c r="D67">
        <v>1</v>
      </c>
      <c r="E67">
        <v>1</v>
      </c>
      <c r="F67" s="70">
        <v>44530</v>
      </c>
      <c r="G67">
        <f>IFERROR(IF((F67-F66)&gt;1,(LARGE(F67:$F67,1)-LARGE(F$64:$F67,2))-1,""),"")</f>
        <v>4</v>
      </c>
    </row>
    <row r="68" spans="1:7">
      <c r="A68" s="83">
        <f>SUM(G71:G77)</f>
        <v>11</v>
      </c>
      <c r="B68">
        <v>3750000</v>
      </c>
      <c r="C68">
        <v>3750000</v>
      </c>
      <c r="D68">
        <v>1</v>
      </c>
      <c r="E68">
        <v>1</v>
      </c>
      <c r="F68" s="70">
        <v>44531</v>
      </c>
      <c r="G68" t="str">
        <f>IFERROR(IF((F68-F67)&gt;1,(LARGE(F68:$F68,1)-LARGE(F$64:$F68,2))-1,""),"")</f>
        <v/>
      </c>
    </row>
    <row r="69" spans="1:7">
      <c r="A69" s="79" t="s">
        <v>44029</v>
      </c>
      <c r="B69">
        <v>3750000</v>
      </c>
      <c r="C69">
        <v>3750000</v>
      </c>
      <c r="D69">
        <v>1</v>
      </c>
      <c r="E69">
        <v>1</v>
      </c>
      <c r="F69" s="70">
        <v>44532</v>
      </c>
      <c r="G69" t="str">
        <f>IFERROR(IF((F69-F68)&gt;1,(LARGE(F69:$F69,1)-LARGE(F$64:$F69,2))-1,""),"")</f>
        <v/>
      </c>
    </row>
    <row r="70" spans="1:7">
      <c r="A70" s="77">
        <f>(SUM(E64:E77)/(A66+14)+SUM(G64:G77))</f>
        <v>21.058823529411764</v>
      </c>
      <c r="B70">
        <v>3786750</v>
      </c>
      <c r="C70">
        <v>3750000</v>
      </c>
      <c r="D70">
        <v>4</v>
      </c>
      <c r="E70">
        <v>4</v>
      </c>
      <c r="F70" s="70">
        <v>44534</v>
      </c>
      <c r="G70">
        <f>IFERROR(IF((F70-F69)&gt;1,(LARGE(F70:$F70,1)-LARGE(F$64:$F70,2))-1,""),"")</f>
        <v>1</v>
      </c>
    </row>
    <row r="71" spans="1:7">
      <c r="A71" s="77">
        <f>(SUM(E71:E77)/(A66+7)+SUM(G71:G77))</f>
        <v>11.8</v>
      </c>
      <c r="B71">
        <v>3849000</v>
      </c>
      <c r="C71">
        <v>3849000</v>
      </c>
      <c r="D71">
        <v>2</v>
      </c>
      <c r="E71">
        <v>2</v>
      </c>
      <c r="F71" s="70">
        <v>44536</v>
      </c>
      <c r="G71">
        <f>IFERROR(IF((F71-F70)&gt;1,(LARGE(F71:$F71,1)-LARGE(F$64:$F71,2))-1,""),"")</f>
        <v>1</v>
      </c>
    </row>
    <row r="72" spans="1:7">
      <c r="A72" s="79" t="s">
        <v>44028</v>
      </c>
      <c r="B72">
        <v>3849000</v>
      </c>
      <c r="C72">
        <v>3849000</v>
      </c>
      <c r="D72">
        <v>1</v>
      </c>
      <c r="E72">
        <v>1</v>
      </c>
      <c r="F72" s="70">
        <v>44538</v>
      </c>
      <c r="G72">
        <f>IFERROR(IF((F72-F71)&gt;1,(LARGE(F72:$F72,1)-LARGE(F$64:$F72,2))-1,""),"")</f>
        <v>1</v>
      </c>
    </row>
    <row r="73" spans="1:7">
      <c r="A73" s="77">
        <f>(SUM(D74:D77)/(A66+4)+SUM(G74:G77))</f>
        <v>5.5714285714285712</v>
      </c>
      <c r="B73">
        <v>666000</v>
      </c>
      <c r="C73">
        <v>666000</v>
      </c>
      <c r="D73">
        <v>1</v>
      </c>
      <c r="E73">
        <v>1</v>
      </c>
      <c r="F73" s="70">
        <v>44543</v>
      </c>
      <c r="G73">
        <f>IFERROR(IF((F73-F72)&gt;1,(LARGE(F73:$F73,1)-LARGE(F$64:$F73,2))-1,""),"")</f>
        <v>4</v>
      </c>
    </row>
    <row r="74" spans="1:7">
      <c r="A74" s="85" t="s">
        <v>44027</v>
      </c>
      <c r="B74">
        <v>3987000</v>
      </c>
      <c r="C74">
        <v>3987000</v>
      </c>
      <c r="D74">
        <v>1</v>
      </c>
      <c r="E74">
        <v>1</v>
      </c>
      <c r="F74" s="70">
        <v>44548</v>
      </c>
      <c r="G74">
        <f>IFERROR(IF((F74-F73)&gt;1,(LARGE(F74:$F74,1)-LARGE(F$64:$F74,2))-1,""),"")</f>
        <v>4</v>
      </c>
    </row>
    <row r="75" spans="1:7">
      <c r="A75" s="86" t="str">
        <f>IF(A68+A66&gt;10,"Look Up",AVERAGE(A70,A71))</f>
        <v>Look Up</v>
      </c>
      <c r="B75">
        <v>666000</v>
      </c>
      <c r="C75">
        <v>666000</v>
      </c>
      <c r="D75">
        <v>1</v>
      </c>
      <c r="E75">
        <v>1</v>
      </c>
      <c r="F75" s="70">
        <v>44549</v>
      </c>
      <c r="G75" t="str">
        <f>IFERROR(IF((F75-F74)&gt;1,(LARGE(F75:$F75,1)-LARGE(F$64:$F75,2))-1,""),"")</f>
        <v/>
      </c>
    </row>
    <row r="76" spans="1:7">
      <c r="A76" s="85" t="s">
        <v>44030</v>
      </c>
      <c r="B76">
        <v>666000</v>
      </c>
      <c r="C76">
        <v>666000</v>
      </c>
      <c r="D76">
        <v>1</v>
      </c>
      <c r="E76">
        <v>1</v>
      </c>
      <c r="F76" s="70">
        <v>44551</v>
      </c>
      <c r="G76">
        <f>IFERROR(IF((F76-F75)&gt;1,(LARGE(F76:$F76,1)-LARGE(F$64:$F76,2))-1,""),"")</f>
        <v>1</v>
      </c>
    </row>
    <row r="77" spans="1:7">
      <c r="A77" s="88"/>
      <c r="B77">
        <v>666000</v>
      </c>
      <c r="C77">
        <v>666000</v>
      </c>
      <c r="D77">
        <v>1</v>
      </c>
      <c r="E77">
        <v>1</v>
      </c>
      <c r="F77" s="70">
        <v>44552</v>
      </c>
      <c r="G77" t="str">
        <f>IFERROR(IF((F77-F76)&gt;1,(LARGE(F77:$F77,1)-LARGE(F$64:$F77,2))-1,""),"")</f>
        <v/>
      </c>
    </row>
    <row r="78" spans="1:7">
      <c r="A78" s="65">
        <f>VLOOKUP(TradeSheet!A7,TypeIDs!B:C,2,FALSE)</f>
        <v>32006</v>
      </c>
      <c r="B78" t="s">
        <v>43998</v>
      </c>
      <c r="C78" t="s">
        <v>43999</v>
      </c>
      <c r="D78" t="s">
        <v>44000</v>
      </c>
      <c r="E78" t="s">
        <v>44001</v>
      </c>
      <c r="F78" t="s">
        <v>44009</v>
      </c>
      <c r="G78" t="s">
        <v>44008</v>
      </c>
    </row>
    <row r="79" spans="1:7">
      <c r="A79" s="65" t="str">
        <f>CONCATENATE(SwaggerURL,input006)</f>
        <v>https://esi.evetech.net/latest/markets/10000021/history/?datasource=tranquility&amp;type_id=32006</v>
      </c>
      <c r="B79">
        <v>173065.08</v>
      </c>
      <c r="C79">
        <v>151200</v>
      </c>
      <c r="D79">
        <v>4</v>
      </c>
      <c r="E79">
        <v>63</v>
      </c>
      <c r="F79" s="70">
        <v>44540</v>
      </c>
      <c r="G79" t="str">
        <f>IFERROR(IF((F79-F78)&gt;1,(LARGE(F79:$F79,1)-LARGE(F$79:$F79,2))-1,""),"")</f>
        <v/>
      </c>
    </row>
    <row r="80" spans="1:7">
      <c r="A80" s="79" t="s">
        <v>44018</v>
      </c>
      <c r="B80">
        <v>151200</v>
      </c>
      <c r="C80">
        <v>151200</v>
      </c>
      <c r="D80">
        <v>3</v>
      </c>
      <c r="E80">
        <v>66</v>
      </c>
      <c r="F80" s="70">
        <v>44541</v>
      </c>
      <c r="G80" t="str">
        <f>IFERROR(IF((F80-F79)&gt;1,(LARGE(F80:$F80,1)-LARGE(F$79:$F80,2))-1,""),"")</f>
        <v/>
      </c>
    </row>
    <row r="81" spans="1:7">
      <c r="A81" s="78">
        <f>MAX(0,(CurrentDate-2)-F92)</f>
        <v>1</v>
      </c>
      <c r="B81">
        <v>151200</v>
      </c>
      <c r="C81">
        <v>151200</v>
      </c>
      <c r="D81">
        <v>6</v>
      </c>
      <c r="E81">
        <v>101</v>
      </c>
      <c r="F81" s="70">
        <v>44542</v>
      </c>
      <c r="G81" t="str">
        <f>IFERROR(IF((F81-F80)&gt;1,(LARGE(F81:$F81,1)-LARGE(F$79:$F81,2))-1,""),"")</f>
        <v/>
      </c>
    </row>
    <row r="82" spans="1:7">
      <c r="A82" s="79" t="s">
        <v>44026</v>
      </c>
      <c r="B82">
        <v>153987.1</v>
      </c>
      <c r="C82">
        <v>151200</v>
      </c>
      <c r="D82">
        <v>7</v>
      </c>
      <c r="E82">
        <v>62</v>
      </c>
      <c r="F82" s="70">
        <v>44543</v>
      </c>
      <c r="G82" t="str">
        <f>IFERROR(IF((F82-F81)&gt;1,(LARGE(F82:$F82,1)-LARGE(F$79:$F82,2))-1,""),"")</f>
        <v/>
      </c>
    </row>
    <row r="83" spans="1:7">
      <c r="A83" s="83">
        <f>SUM(G86:G92)</f>
        <v>1</v>
      </c>
      <c r="B83">
        <v>180000</v>
      </c>
      <c r="C83">
        <v>180000</v>
      </c>
      <c r="D83">
        <v>8</v>
      </c>
      <c r="E83">
        <v>654</v>
      </c>
      <c r="F83" s="70">
        <v>44544</v>
      </c>
      <c r="G83" t="str">
        <f>IFERROR(IF((F83-F82)&gt;1,(LARGE(F83:$F83,1)-LARGE(F$79:$F83,2))-1,""),"")</f>
        <v/>
      </c>
    </row>
    <row r="84" spans="1:7">
      <c r="A84" s="79" t="s">
        <v>44029</v>
      </c>
      <c r="B84">
        <v>180000</v>
      </c>
      <c r="C84">
        <v>180000</v>
      </c>
      <c r="D84">
        <v>13</v>
      </c>
      <c r="E84">
        <v>193</v>
      </c>
      <c r="F84" s="70">
        <v>44545</v>
      </c>
      <c r="G84" t="str">
        <f>IFERROR(IF((F84-F83)&gt;1,(LARGE(F84:$F84,1)-LARGE(F$79:$F84,2))-1,""),"")</f>
        <v/>
      </c>
    </row>
    <row r="85" spans="1:7">
      <c r="A85" s="77">
        <f>(SUM(E79:E92)/(A81+14)+SUM(G79:G92))</f>
        <v>227.06666666666666</v>
      </c>
      <c r="B85">
        <v>180000</v>
      </c>
      <c r="C85">
        <v>180000</v>
      </c>
      <c r="D85">
        <v>18</v>
      </c>
      <c r="E85">
        <v>762</v>
      </c>
      <c r="F85" s="70">
        <v>44546</v>
      </c>
      <c r="G85" t="str">
        <f>IFERROR(IF((F85-F84)&gt;1,(LARGE(F85:$F85,1)-LARGE(F$79:$F85,2))-1,""),"")</f>
        <v/>
      </c>
    </row>
    <row r="86" spans="1:7">
      <c r="A86" s="77">
        <f>(SUM(E86:E92)/(A81+7)+SUM(G86:G92))</f>
        <v>187.25</v>
      </c>
      <c r="B86">
        <v>223000</v>
      </c>
      <c r="C86">
        <v>222000</v>
      </c>
      <c r="D86">
        <v>19</v>
      </c>
      <c r="E86">
        <v>268</v>
      </c>
      <c r="F86" s="70">
        <v>44547</v>
      </c>
      <c r="G86" t="str">
        <f>IFERROR(IF((F86-F85)&gt;1,(LARGE(F86:$F86,1)-LARGE(F$79:$F86,2))-1,""),"")</f>
        <v/>
      </c>
    </row>
    <row r="87" spans="1:7">
      <c r="A87" s="79" t="s">
        <v>44028</v>
      </c>
      <c r="B87">
        <v>199000</v>
      </c>
      <c r="C87">
        <v>199000</v>
      </c>
      <c r="D87">
        <v>13</v>
      </c>
      <c r="E87">
        <v>325</v>
      </c>
      <c r="F87" s="70">
        <v>44548</v>
      </c>
      <c r="G87" t="str">
        <f>IFERROR(IF((F87-F86)&gt;1,(LARGE(F87:$F87,1)-LARGE(F$79:$F87,2))-1,""),"")</f>
        <v/>
      </c>
    </row>
    <row r="88" spans="1:7">
      <c r="A88" s="77">
        <f>(SUM(D89:D92)/(A81+4)+SUM(G89:G92))</f>
        <v>7.4</v>
      </c>
      <c r="B88">
        <v>190000</v>
      </c>
      <c r="C88">
        <v>190000</v>
      </c>
      <c r="D88">
        <v>10</v>
      </c>
      <c r="E88">
        <v>143</v>
      </c>
      <c r="F88" s="70">
        <v>44549</v>
      </c>
      <c r="G88" t="str">
        <f>IFERROR(IF((F88-F87)&gt;1,(LARGE(F88:$F88,1)-LARGE(F$79:$F88,2))-1,""),"")</f>
        <v/>
      </c>
    </row>
    <row r="89" spans="1:7">
      <c r="A89" s="85" t="s">
        <v>44027</v>
      </c>
      <c r="B89">
        <v>190000</v>
      </c>
      <c r="C89">
        <v>190000</v>
      </c>
      <c r="D89">
        <v>13</v>
      </c>
      <c r="E89">
        <v>354</v>
      </c>
      <c r="F89" s="70">
        <v>44550</v>
      </c>
      <c r="G89" t="str">
        <f>IFERROR(IF((F89-F88)&gt;1,(LARGE(F89:$F89,1)-LARGE(F$79:$F89,2))-1,""),"")</f>
        <v/>
      </c>
    </row>
    <row r="90" spans="1:7">
      <c r="A90" s="86">
        <f>IF(A83+A81&gt;10,"Look Up",AVERAGE(A85,A86))</f>
        <v>207.15833333333333</v>
      </c>
      <c r="B90">
        <v>100000</v>
      </c>
      <c r="C90">
        <v>100000</v>
      </c>
      <c r="D90">
        <v>1</v>
      </c>
      <c r="E90">
        <v>27</v>
      </c>
      <c r="F90" s="70">
        <v>44551</v>
      </c>
      <c r="G90" t="str">
        <f>IFERROR(IF((F90-F89)&gt;1,(LARGE(F90:$F90,1)-LARGE(F$79:$F90,2))-1,""),"")</f>
        <v/>
      </c>
    </row>
    <row r="91" spans="1:7">
      <c r="A91" s="85" t="s">
        <v>44030</v>
      </c>
      <c r="B91">
        <v>144000</v>
      </c>
      <c r="C91">
        <v>144000</v>
      </c>
      <c r="D91">
        <v>1</v>
      </c>
      <c r="E91">
        <v>1</v>
      </c>
      <c r="F91" s="70">
        <v>44553</v>
      </c>
      <c r="G91">
        <f>IFERROR(IF((F91-F90)&gt;1,(LARGE(F91:$F91,1)-LARGE(F$79:$F91,2))-1,""),"")</f>
        <v>1</v>
      </c>
    </row>
    <row r="92" spans="1:7">
      <c r="A92" s="88"/>
      <c r="B92">
        <v>144000</v>
      </c>
      <c r="C92">
        <v>144000</v>
      </c>
      <c r="D92">
        <v>17</v>
      </c>
      <c r="E92">
        <v>372</v>
      </c>
      <c r="F92" s="70">
        <v>44554</v>
      </c>
      <c r="G92" t="str">
        <f>IFERROR(IF((F92-F91)&gt;1,(LARGE(F92:$F92,1)-LARGE(F$79:$F92,2))-1,""),"")</f>
        <v/>
      </c>
    </row>
    <row r="93" spans="1:7">
      <c r="A93" s="65">
        <f>VLOOKUP(TradeSheet!A8,TypeIDs!B:C,2,FALSE)</f>
        <v>32014</v>
      </c>
      <c r="B93" t="s">
        <v>43998</v>
      </c>
      <c r="C93" t="s">
        <v>43999</v>
      </c>
      <c r="D93" t="s">
        <v>44000</v>
      </c>
      <c r="E93" t="s">
        <v>44001</v>
      </c>
      <c r="F93" t="s">
        <v>44009</v>
      </c>
      <c r="G93" t="s">
        <v>44008</v>
      </c>
    </row>
    <row r="94" spans="1:7">
      <c r="A94" s="65" t="str">
        <f>CONCATENATE(SwaggerURL,input007)</f>
        <v>https://esi.evetech.net/latest/markets/10000021/history/?datasource=tranquility&amp;type_id=32014</v>
      </c>
      <c r="B94">
        <v>276000</v>
      </c>
      <c r="C94">
        <v>276000</v>
      </c>
      <c r="D94">
        <v>5</v>
      </c>
      <c r="E94">
        <v>83</v>
      </c>
      <c r="F94" s="70">
        <v>44541</v>
      </c>
      <c r="G94" t="str">
        <f>IFERROR(IF((F94-F93)&gt;1,(LARGE(F94:$F94,1)-LARGE(F$94:$F94,2))-1,""),"")</f>
        <v/>
      </c>
    </row>
    <row r="95" spans="1:7">
      <c r="A95" s="79" t="s">
        <v>44018</v>
      </c>
      <c r="B95">
        <v>276000</v>
      </c>
      <c r="C95">
        <v>276000</v>
      </c>
      <c r="D95">
        <v>10</v>
      </c>
      <c r="E95">
        <v>169</v>
      </c>
      <c r="F95" s="70">
        <v>44542</v>
      </c>
      <c r="G95" t="str">
        <f>IFERROR(IF((F95-F94)&gt;1,(LARGE(F95:$F95,1)-LARGE(F$94:$F95,2))-1,""),"")</f>
        <v/>
      </c>
    </row>
    <row r="96" spans="1:7">
      <c r="A96" s="78">
        <f>MAX(0,(CurrentDate-2)-F107)</f>
        <v>1</v>
      </c>
      <c r="B96">
        <v>276000</v>
      </c>
      <c r="C96">
        <v>276000</v>
      </c>
      <c r="D96">
        <v>1</v>
      </c>
      <c r="E96">
        <v>10</v>
      </c>
      <c r="F96" s="70">
        <v>44543</v>
      </c>
      <c r="G96" t="str">
        <f>IFERROR(IF((F96-F95)&gt;1,(LARGE(F96:$F96,1)-LARGE(F$94:$F96,2))-1,""),"")</f>
        <v/>
      </c>
    </row>
    <row r="97" spans="1:7">
      <c r="A97" s="79" t="s">
        <v>44026</v>
      </c>
      <c r="B97">
        <v>276000</v>
      </c>
      <c r="C97">
        <v>276000</v>
      </c>
      <c r="D97">
        <v>7</v>
      </c>
      <c r="E97">
        <v>167</v>
      </c>
      <c r="F97" s="70">
        <v>44544</v>
      </c>
      <c r="G97" t="str">
        <f>IFERROR(IF((F97-F96)&gt;1,(LARGE(F97:$F97,1)-LARGE(F$94:$F97,2))-1,""),"")</f>
        <v/>
      </c>
    </row>
    <row r="98" spans="1:7">
      <c r="A98" s="83">
        <f>SUM(G101:G107)</f>
        <v>0</v>
      </c>
      <c r="B98">
        <v>276000</v>
      </c>
      <c r="C98">
        <v>276000</v>
      </c>
      <c r="D98">
        <v>3</v>
      </c>
      <c r="E98">
        <v>47</v>
      </c>
      <c r="F98" s="70">
        <v>44545</v>
      </c>
      <c r="G98" t="str">
        <f>IFERROR(IF((F98-F97)&gt;1,(LARGE(F98:$F98,1)-LARGE(F$94:$F98,2))-1,""),"")</f>
        <v/>
      </c>
    </row>
    <row r="99" spans="1:7">
      <c r="A99" s="79" t="s">
        <v>44029</v>
      </c>
      <c r="B99">
        <v>275576.27</v>
      </c>
      <c r="C99">
        <v>275000</v>
      </c>
      <c r="D99">
        <v>3</v>
      </c>
      <c r="E99">
        <v>59</v>
      </c>
      <c r="F99" s="70">
        <v>44546</v>
      </c>
      <c r="G99" t="str">
        <f>IFERROR(IF((F99-F98)&gt;1,(LARGE(F99:$F99,1)-LARGE(F$94:$F99,2))-1,""),"")</f>
        <v/>
      </c>
    </row>
    <row r="100" spans="1:7">
      <c r="A100" s="77">
        <f>(SUM(E94:E107)/(A96+14)+SUM(G94:G107))</f>
        <v>76.933333333333337</v>
      </c>
      <c r="B100">
        <v>275907.69</v>
      </c>
      <c r="C100">
        <v>275900</v>
      </c>
      <c r="D100">
        <v>2</v>
      </c>
      <c r="E100">
        <v>13</v>
      </c>
      <c r="F100" s="70">
        <v>44547</v>
      </c>
      <c r="G100" t="str">
        <f>IFERROR(IF((F100-F99)&gt;1,(LARGE(F100:$F100,1)-LARGE(F$94:$F100,2))-1,""),"")</f>
        <v/>
      </c>
    </row>
    <row r="101" spans="1:7">
      <c r="A101" s="77">
        <f>(SUM(E101:E107)/(A96+7)+SUM(G101:G107))</f>
        <v>75.75</v>
      </c>
      <c r="B101">
        <v>276000</v>
      </c>
      <c r="C101">
        <v>276000</v>
      </c>
      <c r="D101">
        <v>9</v>
      </c>
      <c r="E101">
        <v>127</v>
      </c>
      <c r="F101" s="70">
        <v>44548</v>
      </c>
      <c r="G101" t="str">
        <f>IFERROR(IF((F101-F100)&gt;1,(LARGE(F101:$F101,1)-LARGE(F$94:$F101,2))-1,""),"")</f>
        <v/>
      </c>
    </row>
    <row r="102" spans="1:7">
      <c r="A102" s="79" t="s">
        <v>44028</v>
      </c>
      <c r="B102">
        <v>276000</v>
      </c>
      <c r="C102">
        <v>276000</v>
      </c>
      <c r="D102">
        <v>6</v>
      </c>
      <c r="E102">
        <v>116</v>
      </c>
      <c r="F102" s="70">
        <v>44549</v>
      </c>
      <c r="G102" t="str">
        <f>IFERROR(IF((F102-F101)&gt;1,(LARGE(F102:$F102,1)-LARGE(F$94:$F102,2))-1,""),"")</f>
        <v/>
      </c>
    </row>
    <row r="103" spans="1:7">
      <c r="A103" s="77">
        <f>(SUM(D104:D107)/(A96+4)+SUM(G104:G107))</f>
        <v>3.6</v>
      </c>
      <c r="B103">
        <v>276000</v>
      </c>
      <c r="C103">
        <v>276000</v>
      </c>
      <c r="D103">
        <v>4</v>
      </c>
      <c r="E103">
        <v>43</v>
      </c>
      <c r="F103" s="70">
        <v>44550</v>
      </c>
      <c r="G103" t="str">
        <f>IFERROR(IF((F103-F102)&gt;1,(LARGE(F103:$F103,1)-LARGE(F$94:$F103,2))-1,""),"")</f>
        <v/>
      </c>
    </row>
    <row r="104" spans="1:7">
      <c r="A104" s="85" t="s">
        <v>44027</v>
      </c>
      <c r="B104">
        <v>276000</v>
      </c>
      <c r="C104">
        <v>276000</v>
      </c>
      <c r="D104">
        <v>4</v>
      </c>
      <c r="E104">
        <v>78</v>
      </c>
      <c r="F104" s="70">
        <v>44551</v>
      </c>
      <c r="G104" t="str">
        <f>IFERROR(IF((F104-F103)&gt;1,(LARGE(F104:$F104,1)-LARGE(F$94:$F104,2))-1,""),"")</f>
        <v/>
      </c>
    </row>
    <row r="105" spans="1:7">
      <c r="A105" s="86">
        <f>IF(A98+A96&gt;10,"Look Up",AVERAGE(A100,A101))</f>
        <v>76.341666666666669</v>
      </c>
      <c r="B105">
        <v>275900</v>
      </c>
      <c r="C105">
        <v>275900</v>
      </c>
      <c r="D105">
        <v>1</v>
      </c>
      <c r="E105">
        <v>20</v>
      </c>
      <c r="F105" s="70">
        <v>44552</v>
      </c>
      <c r="G105" t="str">
        <f>IFERROR(IF((F105-F104)&gt;1,(LARGE(F105:$F105,1)-LARGE(F$94:$F105,2))-1,""),"")</f>
        <v/>
      </c>
    </row>
    <row r="106" spans="1:7">
      <c r="A106" s="85" t="s">
        <v>44030</v>
      </c>
      <c r="B106">
        <v>274393.94</v>
      </c>
      <c r="C106">
        <v>270000</v>
      </c>
      <c r="D106">
        <v>4</v>
      </c>
      <c r="E106">
        <v>33</v>
      </c>
      <c r="F106" s="70">
        <v>44553</v>
      </c>
      <c r="G106" t="str">
        <f>IFERROR(IF((F106-F105)&gt;1,(LARGE(F106:$F106,1)-LARGE(F$94:$F106,2))-1,""),"")</f>
        <v/>
      </c>
    </row>
    <row r="107" spans="1:7">
      <c r="A107" s="88"/>
      <c r="B107">
        <v>276000</v>
      </c>
      <c r="C107">
        <v>276000</v>
      </c>
      <c r="D107">
        <v>9</v>
      </c>
      <c r="E107">
        <v>189</v>
      </c>
      <c r="F107" s="70">
        <v>44554</v>
      </c>
      <c r="G107" t="str">
        <f>IFERROR(IF((F107-F106)&gt;1,(LARGE(F107:$F107,1)-LARGE(F$94:$F107,2))-1,""),"")</f>
        <v/>
      </c>
    </row>
    <row r="108" spans="1:7">
      <c r="A108" s="65">
        <f>VLOOKUP(TradeSheet!A9,TypeIDs!B:C,2,FALSE)</f>
        <v>41490</v>
      </c>
      <c r="B108" t="s">
        <v>43998</v>
      </c>
      <c r="C108" t="s">
        <v>43999</v>
      </c>
      <c r="D108" t="s">
        <v>44000</v>
      </c>
      <c r="E108" t="s">
        <v>44001</v>
      </c>
      <c r="F108" t="s">
        <v>44009</v>
      </c>
      <c r="G108" t="s">
        <v>44008</v>
      </c>
    </row>
    <row r="109" spans="1:7">
      <c r="A109" s="65" t="str">
        <f>CONCATENATE(SwaggerURL,input008)</f>
        <v>https://esi.evetech.net/latest/markets/10000021/history/?datasource=tranquility&amp;type_id=41490</v>
      </c>
      <c r="B109">
        <v>1000000</v>
      </c>
      <c r="C109">
        <v>1000000</v>
      </c>
      <c r="D109">
        <v>5</v>
      </c>
      <c r="E109">
        <v>50</v>
      </c>
      <c r="F109" s="70">
        <v>44540</v>
      </c>
      <c r="G109" t="str">
        <f>IFERROR(IF((F109-F108)&gt;1,(LARGE(F109:$F109,1)-LARGE(F$109:$F109,2))-1,""),"")</f>
        <v/>
      </c>
    </row>
    <row r="110" spans="1:7">
      <c r="A110" s="79" t="s">
        <v>44018</v>
      </c>
      <c r="B110">
        <v>1001452.63</v>
      </c>
      <c r="C110">
        <v>1000000</v>
      </c>
      <c r="D110">
        <v>7</v>
      </c>
      <c r="E110">
        <v>95</v>
      </c>
      <c r="F110" s="70">
        <v>44541</v>
      </c>
      <c r="G110" t="str">
        <f>IFERROR(IF((F110-F109)&gt;1,(LARGE(F110:$F110,1)-LARGE(F$109:$F110,2))-1,""),"")</f>
        <v/>
      </c>
    </row>
    <row r="111" spans="1:7">
      <c r="A111" s="78">
        <f>MAX(0,(CurrentDate-2)-F122)</f>
        <v>1</v>
      </c>
      <c r="B111">
        <v>1000000</v>
      </c>
      <c r="C111">
        <v>1000000</v>
      </c>
      <c r="D111">
        <v>12</v>
      </c>
      <c r="E111">
        <v>115</v>
      </c>
      <c r="F111" s="70">
        <v>44542</v>
      </c>
      <c r="G111" t="str">
        <f>IFERROR(IF((F111-F110)&gt;1,(LARGE(F111:$F111,1)-LARGE(F$109:$F111,2))-1,""),"")</f>
        <v/>
      </c>
    </row>
    <row r="112" spans="1:7">
      <c r="A112" s="79" t="s">
        <v>44026</v>
      </c>
      <c r="B112">
        <v>990000</v>
      </c>
      <c r="C112">
        <v>990000</v>
      </c>
      <c r="D112">
        <v>2</v>
      </c>
      <c r="E112">
        <v>7</v>
      </c>
      <c r="F112" s="70">
        <v>44543</v>
      </c>
      <c r="G112" t="str">
        <f>IFERROR(IF((F112-F111)&gt;1,(LARGE(F112:$F112,1)-LARGE(F$109:$F112,2))-1,""),"")</f>
        <v/>
      </c>
    </row>
    <row r="113" spans="1:7">
      <c r="A113" s="83">
        <f>SUM(G116:G122)</f>
        <v>1</v>
      </c>
      <c r="B113">
        <v>935975.64</v>
      </c>
      <c r="C113">
        <v>900300</v>
      </c>
      <c r="D113">
        <v>6</v>
      </c>
      <c r="E113">
        <v>78</v>
      </c>
      <c r="F113" s="70">
        <v>44544</v>
      </c>
      <c r="G113" t="str">
        <f>IFERROR(IF((F113-F112)&gt;1,(LARGE(F113:$F113,1)-LARGE(F$109:$F113,2))-1,""),"")</f>
        <v/>
      </c>
    </row>
    <row r="114" spans="1:7">
      <c r="A114" s="79" t="s">
        <v>44029</v>
      </c>
      <c r="B114">
        <v>900400</v>
      </c>
      <c r="C114">
        <v>900400</v>
      </c>
      <c r="D114">
        <v>1</v>
      </c>
      <c r="E114">
        <v>1</v>
      </c>
      <c r="F114" s="70">
        <v>44545</v>
      </c>
      <c r="G114" t="str">
        <f>IFERROR(IF((F114-F113)&gt;1,(LARGE(F114:$F114,1)-LARGE(F$109:$F114,2))-1,""),"")</f>
        <v/>
      </c>
    </row>
    <row r="115" spans="1:7">
      <c r="A115" s="77">
        <f>(SUM(E109:E122)/(A111+14)+SUM(G109:G122))</f>
        <v>118.46666666666667</v>
      </c>
      <c r="B115">
        <v>990000</v>
      </c>
      <c r="C115">
        <v>990000</v>
      </c>
      <c r="D115">
        <v>7</v>
      </c>
      <c r="E115">
        <v>203</v>
      </c>
      <c r="F115" s="70">
        <v>44546</v>
      </c>
      <c r="G115" t="str">
        <f>IFERROR(IF((F115-F114)&gt;1,(LARGE(F115:$F115,1)-LARGE(F$109:$F115,2))-1,""),"")</f>
        <v/>
      </c>
    </row>
    <row r="116" spans="1:7">
      <c r="A116" s="77">
        <f>(SUM(E116:E122)/(A111+7)+SUM(G116:G122))</f>
        <v>152.625</v>
      </c>
      <c r="B116">
        <v>900000</v>
      </c>
      <c r="C116">
        <v>900000</v>
      </c>
      <c r="D116">
        <v>16</v>
      </c>
      <c r="E116">
        <v>371</v>
      </c>
      <c r="F116" s="70">
        <v>44548</v>
      </c>
      <c r="G116">
        <f>IFERROR(IF((F116-F115)&gt;1,(LARGE(F116:$F116,1)-LARGE(F$109:$F116,2))-1,""),"")</f>
        <v>1</v>
      </c>
    </row>
    <row r="117" spans="1:7">
      <c r="A117" s="79" t="s">
        <v>44028</v>
      </c>
      <c r="B117">
        <v>900000</v>
      </c>
      <c r="C117">
        <v>900000</v>
      </c>
      <c r="D117">
        <v>7</v>
      </c>
      <c r="E117">
        <v>148</v>
      </c>
      <c r="F117" s="70">
        <v>44549</v>
      </c>
      <c r="G117" t="str">
        <f>IFERROR(IF((F117-F116)&gt;1,(LARGE(F117:$F117,1)-LARGE(F$109:$F117,2))-1,""),"")</f>
        <v/>
      </c>
    </row>
    <row r="118" spans="1:7">
      <c r="A118" s="77">
        <f>(SUM(D119:D122)/(A111+4)+SUM(G119:G122))</f>
        <v>5</v>
      </c>
      <c r="B118">
        <v>971100</v>
      </c>
      <c r="C118">
        <v>971100</v>
      </c>
      <c r="D118">
        <v>5</v>
      </c>
      <c r="E118">
        <v>227</v>
      </c>
      <c r="F118" s="70">
        <v>44550</v>
      </c>
      <c r="G118" t="str">
        <f>IFERROR(IF((F118-F117)&gt;1,(LARGE(F118:$F118,1)-LARGE(F$109:$F118,2))-1,""),"")</f>
        <v/>
      </c>
    </row>
    <row r="119" spans="1:7">
      <c r="A119" s="85" t="s">
        <v>44027</v>
      </c>
      <c r="B119">
        <v>899900</v>
      </c>
      <c r="C119">
        <v>899900</v>
      </c>
      <c r="D119">
        <v>4</v>
      </c>
      <c r="E119">
        <v>138</v>
      </c>
      <c r="F119" s="70">
        <v>44551</v>
      </c>
      <c r="G119" t="str">
        <f>IFERROR(IF((F119-F118)&gt;1,(LARGE(F119:$F119,1)-LARGE(F$109:$F119,2))-1,""),"")</f>
        <v/>
      </c>
    </row>
    <row r="120" spans="1:7">
      <c r="A120" s="86">
        <f>IF(A113+A111&gt;10,"Look Up",AVERAGE(A115,A116))</f>
        <v>135.54583333333335</v>
      </c>
      <c r="B120">
        <v>1000000</v>
      </c>
      <c r="C120">
        <v>1000000</v>
      </c>
      <c r="D120">
        <v>12</v>
      </c>
      <c r="E120">
        <v>248</v>
      </c>
      <c r="F120" s="70">
        <v>44552</v>
      </c>
      <c r="G120" t="str">
        <f>IFERROR(IF((F120-F119)&gt;1,(LARGE(F120:$F120,1)-LARGE(F$109:$F120,2))-1,""),"")</f>
        <v/>
      </c>
    </row>
    <row r="121" spans="1:7">
      <c r="A121" s="85" t="s">
        <v>44030</v>
      </c>
      <c r="B121">
        <v>1209837.8400000001</v>
      </c>
      <c r="C121">
        <v>1069000</v>
      </c>
      <c r="D121">
        <v>6</v>
      </c>
      <c r="E121">
        <v>74</v>
      </c>
      <c r="F121" s="70">
        <v>44553</v>
      </c>
      <c r="G121" t="str">
        <f>IFERROR(IF((F121-F120)&gt;1,(LARGE(F121:$F121,1)-LARGE(F$109:$F121,2))-1,""),"")</f>
        <v/>
      </c>
    </row>
    <row r="122" spans="1:7">
      <c r="A122" s="88"/>
      <c r="B122">
        <v>942714.29</v>
      </c>
      <c r="C122">
        <v>900000</v>
      </c>
      <c r="D122">
        <v>3</v>
      </c>
      <c r="E122">
        <v>7</v>
      </c>
      <c r="F122" s="70">
        <v>44554</v>
      </c>
      <c r="G122" t="str">
        <f>IFERROR(IF((F122-F121)&gt;1,(LARGE(F122:$F122,1)-LARGE(F$109:$F122,2))-1,""),"")</f>
        <v/>
      </c>
    </row>
    <row r="123" spans="1:7">
      <c r="A123" s="65">
        <f>VLOOKUP(TradeSheet!A10,TypeIDs!B:C,2,FALSE)</f>
        <v>42832</v>
      </c>
      <c r="B123" t="s">
        <v>43998</v>
      </c>
      <c r="C123" t="s">
        <v>43999</v>
      </c>
      <c r="D123" t="s">
        <v>44000</v>
      </c>
      <c r="E123" t="s">
        <v>44001</v>
      </c>
      <c r="F123" t="s">
        <v>44009</v>
      </c>
      <c r="G123" t="s">
        <v>44008</v>
      </c>
    </row>
    <row r="124" spans="1:7">
      <c r="A124" s="65" t="str">
        <f>CONCATENATE(SwaggerURL,input009)</f>
        <v>https://esi.evetech.net/latest/markets/10000021/history/?datasource=tranquility&amp;type_id=42832</v>
      </c>
      <c r="B124">
        <v>850</v>
      </c>
      <c r="C124">
        <v>850</v>
      </c>
      <c r="D124">
        <v>2</v>
      </c>
      <c r="E124">
        <v>824</v>
      </c>
      <c r="F124" s="70">
        <v>44533</v>
      </c>
      <c r="G124" t="str">
        <f>IFERROR(IF((F124-F123)&gt;1,(LARGE(F124:$F124,1)-LARGE(F$124:$F124,2))-1,""),"")</f>
        <v/>
      </c>
    </row>
    <row r="125" spans="1:7">
      <c r="A125" s="79" t="s">
        <v>44018</v>
      </c>
      <c r="B125">
        <v>850</v>
      </c>
      <c r="C125">
        <v>850</v>
      </c>
      <c r="D125">
        <v>4</v>
      </c>
      <c r="E125">
        <v>1993</v>
      </c>
      <c r="F125" s="70">
        <v>44534</v>
      </c>
      <c r="G125" t="str">
        <f>IFERROR(IF((F125-F124)&gt;1,(LARGE(F125:$F125,1)-LARGE(F$124:$F125,2))-1,""),"")</f>
        <v/>
      </c>
    </row>
    <row r="126" spans="1:7">
      <c r="A126" s="78">
        <f>MAX(0,(CurrentDate-2)-F137)</f>
        <v>1</v>
      </c>
      <c r="B126">
        <v>800</v>
      </c>
      <c r="C126">
        <v>800</v>
      </c>
      <c r="D126">
        <v>3</v>
      </c>
      <c r="E126">
        <v>900</v>
      </c>
      <c r="F126" s="70">
        <v>44536</v>
      </c>
      <c r="G126">
        <f>IFERROR(IF((F126-F125)&gt;1,(LARGE(F126:$F126,1)-LARGE(F$124:$F126,2))-1,""),"")</f>
        <v>1</v>
      </c>
    </row>
    <row r="127" spans="1:7">
      <c r="A127" s="79" t="s">
        <v>44026</v>
      </c>
      <c r="B127">
        <v>800</v>
      </c>
      <c r="C127">
        <v>800</v>
      </c>
      <c r="D127">
        <v>1</v>
      </c>
      <c r="E127">
        <v>300</v>
      </c>
      <c r="F127" s="70">
        <v>44539</v>
      </c>
      <c r="G127">
        <f>IFERROR(IF((F127-F126)&gt;1,(LARGE(F127:$F127,1)-LARGE(F$124:$F127,2))-1,""),"")</f>
        <v>2</v>
      </c>
    </row>
    <row r="128" spans="1:7">
      <c r="A128" s="83">
        <f>SUM(G131:G137)</f>
        <v>3</v>
      </c>
      <c r="B128">
        <v>800</v>
      </c>
      <c r="C128">
        <v>800</v>
      </c>
      <c r="D128">
        <v>3</v>
      </c>
      <c r="E128">
        <v>1300</v>
      </c>
      <c r="F128" s="70">
        <v>44541</v>
      </c>
      <c r="G128">
        <f>IFERROR(IF((F128-F127)&gt;1,(LARGE(F128:$F128,1)-LARGE(F$124:$F128,2))-1,""),"")</f>
        <v>1</v>
      </c>
    </row>
    <row r="129" spans="1:7">
      <c r="A129" s="79" t="s">
        <v>44029</v>
      </c>
      <c r="B129">
        <v>800</v>
      </c>
      <c r="C129">
        <v>800</v>
      </c>
      <c r="D129">
        <v>1</v>
      </c>
      <c r="E129">
        <v>121</v>
      </c>
      <c r="F129" s="70">
        <v>44542</v>
      </c>
      <c r="G129" t="str">
        <f>IFERROR(IF((F129-F128)&gt;1,(LARGE(F129:$F129,1)-LARGE(F$124:$F129,2))-1,""),"")</f>
        <v/>
      </c>
    </row>
    <row r="130" spans="1:7">
      <c r="A130" s="77">
        <f>(SUM(E124:E137)/(A126+14)+SUM(G124:G137))</f>
        <v>876.33333333333337</v>
      </c>
      <c r="B130">
        <v>790</v>
      </c>
      <c r="C130">
        <v>790</v>
      </c>
      <c r="D130">
        <v>2</v>
      </c>
      <c r="E130">
        <v>600</v>
      </c>
      <c r="F130" s="70">
        <v>44544</v>
      </c>
      <c r="G130">
        <f>IFERROR(IF((F130-F129)&gt;1,(LARGE(F130:$F130,1)-LARGE(F$124:$F130,2))-1,""),"")</f>
        <v>1</v>
      </c>
    </row>
    <row r="131" spans="1:7">
      <c r="A131" s="77">
        <f>(SUM(E131:E137)/(A126+7)+SUM(G131:G137))</f>
        <v>876.375</v>
      </c>
      <c r="B131">
        <v>850</v>
      </c>
      <c r="C131">
        <v>850</v>
      </c>
      <c r="D131">
        <v>3</v>
      </c>
      <c r="E131">
        <v>897</v>
      </c>
      <c r="F131" s="70">
        <v>44546</v>
      </c>
      <c r="G131">
        <f>IFERROR(IF((F131-F130)&gt;1,(LARGE(F131:$F131,1)-LARGE(F$124:$F131,2))-1,""),"")</f>
        <v>1</v>
      </c>
    </row>
    <row r="132" spans="1:7">
      <c r="A132" s="79" t="s">
        <v>44028</v>
      </c>
      <c r="B132">
        <v>850</v>
      </c>
      <c r="C132">
        <v>850</v>
      </c>
      <c r="D132">
        <v>2</v>
      </c>
      <c r="E132">
        <v>600</v>
      </c>
      <c r="F132" s="70">
        <v>44547</v>
      </c>
      <c r="G132" t="str">
        <f>IFERROR(IF((F132-F131)&gt;1,(LARGE(F132:$F132,1)-LARGE(F$124:$F132,2))-1,""),"")</f>
        <v/>
      </c>
    </row>
    <row r="133" spans="1:7">
      <c r="A133" s="77">
        <f>(SUM(D134:D137)/(A126+4)+SUM(G134:G137))</f>
        <v>3.2</v>
      </c>
      <c r="B133">
        <v>850</v>
      </c>
      <c r="C133">
        <v>850</v>
      </c>
      <c r="D133">
        <v>2</v>
      </c>
      <c r="E133">
        <v>1200</v>
      </c>
      <c r="F133" s="70">
        <v>44548</v>
      </c>
      <c r="G133" t="str">
        <f>IFERROR(IF((F133-F132)&gt;1,(LARGE(F133:$F133,1)-LARGE(F$124:$F133,2))-1,""),"")</f>
        <v/>
      </c>
    </row>
    <row r="134" spans="1:7">
      <c r="A134" s="85" t="s">
        <v>44027</v>
      </c>
      <c r="B134">
        <v>850</v>
      </c>
      <c r="C134">
        <v>850</v>
      </c>
      <c r="D134">
        <v>1</v>
      </c>
      <c r="E134">
        <v>600</v>
      </c>
      <c r="F134" s="70">
        <v>44549</v>
      </c>
      <c r="G134" t="str">
        <f>IFERROR(IF((F134-F133)&gt;1,(LARGE(F134:$F134,1)-LARGE(F$124:$F134,2))-1,""),"")</f>
        <v/>
      </c>
    </row>
    <row r="135" spans="1:7">
      <c r="A135" s="86">
        <f>IF(A128+A126&gt;10,"Look Up",AVERAGE(A130,A131))</f>
        <v>876.35416666666674</v>
      </c>
      <c r="B135">
        <v>850</v>
      </c>
      <c r="C135">
        <v>850</v>
      </c>
      <c r="D135">
        <v>2</v>
      </c>
      <c r="E135">
        <v>1875</v>
      </c>
      <c r="F135" s="70">
        <v>44550</v>
      </c>
      <c r="G135" t="str">
        <f>IFERROR(IF((F135-F134)&gt;1,(LARGE(F135:$F135,1)-LARGE(F$124:$F135,2))-1,""),"")</f>
        <v/>
      </c>
    </row>
    <row r="136" spans="1:7">
      <c r="A136" s="85" t="s">
        <v>44030</v>
      </c>
      <c r="B136">
        <v>850</v>
      </c>
      <c r="C136">
        <v>850</v>
      </c>
      <c r="D136">
        <v>1</v>
      </c>
      <c r="E136">
        <v>1200</v>
      </c>
      <c r="F136" s="70">
        <v>44551</v>
      </c>
      <c r="G136" t="str">
        <f>IFERROR(IF((F136-F135)&gt;1,(LARGE(F136:$F136,1)-LARGE(F$124:$F136,2))-1,""),"")</f>
        <v/>
      </c>
    </row>
    <row r="137" spans="1:7">
      <c r="A137" s="88"/>
      <c r="B137">
        <v>850</v>
      </c>
      <c r="C137">
        <v>850</v>
      </c>
      <c r="D137">
        <v>2</v>
      </c>
      <c r="E137">
        <v>615</v>
      </c>
      <c r="F137" s="70">
        <v>44554</v>
      </c>
      <c r="G137">
        <f>IFERROR(IF((F137-F136)&gt;1,(LARGE(F137:$F137,1)-LARGE(F$124:$F137,2))-1,""),"")</f>
        <v>2</v>
      </c>
    </row>
    <row r="138" spans="1:7">
      <c r="A138" s="65">
        <f>VLOOKUP(TradeSheet!A11,TypeIDs!B:C,2,FALSE)</f>
        <v>42834</v>
      </c>
      <c r="B138" t="s">
        <v>43998</v>
      </c>
      <c r="C138" t="s">
        <v>43999</v>
      </c>
      <c r="D138" t="s">
        <v>44000</v>
      </c>
      <c r="E138" t="s">
        <v>44001</v>
      </c>
      <c r="F138" t="s">
        <v>44009</v>
      </c>
      <c r="G138" t="s">
        <v>44008</v>
      </c>
    </row>
    <row r="139" spans="1:7">
      <c r="A139" s="65" t="str">
        <f>CONCATENATE(SwaggerURL,input010)</f>
        <v>https://esi.evetech.net/latest/markets/10000021/history/?datasource=tranquility&amp;type_id=42834</v>
      </c>
      <c r="B139">
        <v>990</v>
      </c>
      <c r="C139">
        <v>990</v>
      </c>
      <c r="D139">
        <v>2</v>
      </c>
      <c r="E139">
        <v>2400</v>
      </c>
      <c r="F139" s="70">
        <v>44530</v>
      </c>
      <c r="G139" t="str">
        <f>IFERROR(IF((F139-F138)&gt;1,(LARGE(F139:$F139,1)-LARGE(F$139:$F139,2))-1,""),"")</f>
        <v/>
      </c>
    </row>
    <row r="140" spans="1:7">
      <c r="A140" s="79" t="s">
        <v>44018</v>
      </c>
      <c r="B140">
        <v>750</v>
      </c>
      <c r="C140">
        <v>750</v>
      </c>
      <c r="D140">
        <v>1</v>
      </c>
      <c r="E140">
        <v>400</v>
      </c>
      <c r="F140" s="70">
        <v>44532</v>
      </c>
      <c r="G140">
        <f>IFERROR(IF((F140-F139)&gt;1,(LARGE(F140:$F140,1)-LARGE(F$139:$F140,2))-1,""),"")</f>
        <v>1</v>
      </c>
    </row>
    <row r="141" spans="1:7">
      <c r="A141" s="78">
        <f>MAX(0,(CurrentDate-2)-F152)</f>
        <v>1</v>
      </c>
      <c r="B141">
        <v>740</v>
      </c>
      <c r="C141">
        <v>740</v>
      </c>
      <c r="D141">
        <v>1</v>
      </c>
      <c r="E141">
        <v>600</v>
      </c>
      <c r="F141" s="70">
        <v>44533</v>
      </c>
      <c r="G141" t="str">
        <f>IFERROR(IF((F141-F140)&gt;1,(LARGE(F141:$F141,1)-LARGE(F$139:$F141,2))-1,""),"")</f>
        <v/>
      </c>
    </row>
    <row r="142" spans="1:7">
      <c r="A142" s="79" t="s">
        <v>44026</v>
      </c>
      <c r="B142">
        <v>740</v>
      </c>
      <c r="C142">
        <v>740</v>
      </c>
      <c r="D142">
        <v>1</v>
      </c>
      <c r="E142">
        <v>600</v>
      </c>
      <c r="F142" s="70">
        <v>44534</v>
      </c>
      <c r="G142" t="str">
        <f>IFERROR(IF((F142-F141)&gt;1,(LARGE(F142:$F142,1)-LARGE(F$139:$F142,2))-1,""),"")</f>
        <v/>
      </c>
    </row>
    <row r="143" spans="1:7">
      <c r="A143" s="83">
        <f>SUM(G146:G152)</f>
        <v>6</v>
      </c>
      <c r="B143">
        <v>744.5</v>
      </c>
      <c r="C143">
        <v>740</v>
      </c>
      <c r="D143">
        <v>3</v>
      </c>
      <c r="E143">
        <v>600</v>
      </c>
      <c r="F143" s="70">
        <v>44536</v>
      </c>
      <c r="G143">
        <f>IFERROR(IF((F143-F142)&gt;1,(LARGE(F143:$F143,1)-LARGE(F$139:$F143,2))-1,""),"")</f>
        <v>1</v>
      </c>
    </row>
    <row r="144" spans="1:7">
      <c r="A144" s="79" t="s">
        <v>44029</v>
      </c>
      <c r="B144">
        <v>745</v>
      </c>
      <c r="C144">
        <v>745</v>
      </c>
      <c r="D144">
        <v>2</v>
      </c>
      <c r="E144">
        <v>300</v>
      </c>
      <c r="F144" s="70">
        <v>44539</v>
      </c>
      <c r="G144">
        <f>IFERROR(IF((F144-F143)&gt;1,(LARGE(F144:$F144,1)-LARGE(F$139:$F144,2))-1,""),"")</f>
        <v>2</v>
      </c>
    </row>
    <row r="145" spans="1:7">
      <c r="A145" s="77">
        <f>(SUM(E139:E152)/(A141+14)+SUM(G139:G152))</f>
        <v>924.33333333333337</v>
      </c>
      <c r="B145">
        <v>745</v>
      </c>
      <c r="C145">
        <v>745</v>
      </c>
      <c r="D145">
        <v>3</v>
      </c>
      <c r="E145">
        <v>1300</v>
      </c>
      <c r="F145" s="70">
        <v>44541</v>
      </c>
      <c r="G145">
        <f>IFERROR(IF((F145-F144)&gt;1,(LARGE(F145:$F145,1)-LARGE(F$139:$F145,2))-1,""),"")</f>
        <v>1</v>
      </c>
    </row>
    <row r="146" spans="1:7">
      <c r="A146" s="77">
        <f>(SUM(E146:E152)/(A141+7)+SUM(G146:G152))</f>
        <v>943.5</v>
      </c>
      <c r="B146">
        <v>745</v>
      </c>
      <c r="C146">
        <v>745</v>
      </c>
      <c r="D146">
        <v>2</v>
      </c>
      <c r="E146">
        <v>600</v>
      </c>
      <c r="F146" s="70">
        <v>44544</v>
      </c>
      <c r="G146">
        <f>IFERROR(IF((F146-F145)&gt;1,(LARGE(F146:$F146,1)-LARGE(F$139:$F146,2))-1,""),"")</f>
        <v>2</v>
      </c>
    </row>
    <row r="147" spans="1:7">
      <c r="A147" s="79" t="s">
        <v>44028</v>
      </c>
      <c r="B147">
        <v>749</v>
      </c>
      <c r="C147">
        <v>749</v>
      </c>
      <c r="D147">
        <v>2</v>
      </c>
      <c r="E147">
        <v>900</v>
      </c>
      <c r="F147" s="70">
        <v>44546</v>
      </c>
      <c r="G147">
        <f>IFERROR(IF((F147-F146)&gt;1,(LARGE(F147:$F147,1)-LARGE(F$139:$F147,2))-1,""),"")</f>
        <v>1</v>
      </c>
    </row>
    <row r="148" spans="1:7">
      <c r="A148" s="77">
        <f>(SUM(D149:D152)/(A141+4)+SUM(G149:G152))</f>
        <v>3.2</v>
      </c>
      <c r="B148">
        <v>749</v>
      </c>
      <c r="C148">
        <v>749</v>
      </c>
      <c r="D148">
        <v>2</v>
      </c>
      <c r="E148">
        <v>1200</v>
      </c>
      <c r="F148" s="70">
        <v>44548</v>
      </c>
      <c r="G148">
        <f>IFERROR(IF((F148-F147)&gt;1,(LARGE(F148:$F148,1)-LARGE(F$139:$F148,2))-1,""),"")</f>
        <v>1</v>
      </c>
    </row>
    <row r="149" spans="1:7">
      <c r="A149" s="85" t="s">
        <v>44027</v>
      </c>
      <c r="B149">
        <v>749</v>
      </c>
      <c r="C149">
        <v>749</v>
      </c>
      <c r="D149">
        <v>1</v>
      </c>
      <c r="E149">
        <v>600</v>
      </c>
      <c r="F149" s="70">
        <v>44549</v>
      </c>
      <c r="G149" t="str">
        <f>IFERROR(IF((F149-F148)&gt;1,(LARGE(F149:$F149,1)-LARGE(F$139:$F149,2))-1,""),"")</f>
        <v/>
      </c>
    </row>
    <row r="150" spans="1:7">
      <c r="A150" s="86">
        <f>IF(A143+A141&gt;10,"Look Up",AVERAGE(A145,A146))</f>
        <v>933.91666666666674</v>
      </c>
      <c r="B150">
        <v>749</v>
      </c>
      <c r="C150">
        <v>749</v>
      </c>
      <c r="D150">
        <v>3</v>
      </c>
      <c r="E150">
        <v>2400</v>
      </c>
      <c r="F150" s="70">
        <v>44550</v>
      </c>
      <c r="G150" t="str">
        <f>IFERROR(IF((F150-F149)&gt;1,(LARGE(F150:$F150,1)-LARGE(F$139:$F150,2))-1,""),"")</f>
        <v/>
      </c>
    </row>
    <row r="151" spans="1:7">
      <c r="A151" s="85" t="s">
        <v>44030</v>
      </c>
      <c r="B151">
        <v>749</v>
      </c>
      <c r="C151">
        <v>749</v>
      </c>
      <c r="D151">
        <v>1</v>
      </c>
      <c r="E151">
        <v>1200</v>
      </c>
      <c r="F151" s="70">
        <v>44551</v>
      </c>
      <c r="G151" t="str">
        <f>IFERROR(IF((F151-F150)&gt;1,(LARGE(F151:$F151,1)-LARGE(F$139:$F151,2))-1,""),"")</f>
        <v/>
      </c>
    </row>
    <row r="152" spans="1:7">
      <c r="A152" s="88"/>
      <c r="B152">
        <v>749</v>
      </c>
      <c r="C152">
        <v>749</v>
      </c>
      <c r="D152">
        <v>1</v>
      </c>
      <c r="E152">
        <v>600</v>
      </c>
      <c r="F152" s="70">
        <v>44554</v>
      </c>
      <c r="G152">
        <f>IFERROR(IF((F152-F151)&gt;1,(LARGE(F152:$F152,1)-LARGE(F$139:$F152,2))-1,""),"")</f>
        <v>2</v>
      </c>
    </row>
    <row r="153" spans="1:7">
      <c r="A153" s="65">
        <f>VLOOKUP(TradeSheet!A12,TypeIDs!B:C,2,FALSE)</f>
        <v>42833</v>
      </c>
      <c r="B153" t="s">
        <v>43998</v>
      </c>
      <c r="C153" t="s">
        <v>43999</v>
      </c>
      <c r="D153" t="s">
        <v>44000</v>
      </c>
      <c r="E153" t="s">
        <v>44001</v>
      </c>
      <c r="F153" t="s">
        <v>44009</v>
      </c>
      <c r="G153" t="s">
        <v>44008</v>
      </c>
    </row>
    <row r="154" spans="1:7">
      <c r="A154" s="65" t="str">
        <f>CONCATENATE(SwaggerURL,input011)</f>
        <v>https://esi.evetech.net/latest/markets/10000021/history/?datasource=tranquility&amp;type_id=42833</v>
      </c>
      <c r="B154">
        <v>989</v>
      </c>
      <c r="C154">
        <v>989</v>
      </c>
      <c r="D154">
        <v>1</v>
      </c>
      <c r="E154">
        <v>600</v>
      </c>
      <c r="F154" s="70">
        <v>44533</v>
      </c>
      <c r="G154" t="str">
        <f>IFERROR(IF((F154-F153)&gt;1,(LARGE(F154:$F154,1)-LARGE(F$154:$F154,2))-1,""),"")</f>
        <v/>
      </c>
    </row>
    <row r="155" spans="1:7">
      <c r="A155" s="79" t="s">
        <v>44018</v>
      </c>
      <c r="B155">
        <v>989</v>
      </c>
      <c r="C155">
        <v>989</v>
      </c>
      <c r="D155">
        <v>2</v>
      </c>
      <c r="E155">
        <v>900</v>
      </c>
      <c r="F155" s="70">
        <v>44534</v>
      </c>
      <c r="G155" t="str">
        <f>IFERROR(IF((F155-F154)&gt;1,(LARGE(F155:$F155,1)-LARGE(F$154:$F155,2))-1,""),"")</f>
        <v/>
      </c>
    </row>
    <row r="156" spans="1:7">
      <c r="A156" s="78">
        <f>MAX(0,(CurrentDate-2)-F167)</f>
        <v>1</v>
      </c>
      <c r="B156">
        <v>989</v>
      </c>
      <c r="C156">
        <v>989</v>
      </c>
      <c r="D156">
        <v>4</v>
      </c>
      <c r="E156">
        <v>1190</v>
      </c>
      <c r="F156" s="70">
        <v>44536</v>
      </c>
      <c r="G156">
        <f>IFERROR(IF((F156-F155)&gt;1,(LARGE(F156:$F156,1)-LARGE(F$154:$F156,2))-1,""),"")</f>
        <v>1</v>
      </c>
    </row>
    <row r="157" spans="1:7">
      <c r="A157" s="79" t="s">
        <v>44026</v>
      </c>
      <c r="B157">
        <v>989</v>
      </c>
      <c r="C157">
        <v>989</v>
      </c>
      <c r="D157">
        <v>1</v>
      </c>
      <c r="E157">
        <v>300</v>
      </c>
      <c r="F157" s="70">
        <v>44539</v>
      </c>
      <c r="G157">
        <f>IFERROR(IF((F157-F156)&gt;1,(LARGE(F157:$F157,1)-LARGE(F$154:$F157,2))-1,""),"")</f>
        <v>2</v>
      </c>
    </row>
    <row r="158" spans="1:7">
      <c r="A158" s="83">
        <f>SUM(G161:G167)</f>
        <v>3</v>
      </c>
      <c r="B158">
        <v>989</v>
      </c>
      <c r="C158">
        <v>989</v>
      </c>
      <c r="D158">
        <v>1</v>
      </c>
      <c r="E158">
        <v>700</v>
      </c>
      <c r="F158" s="70">
        <v>44541</v>
      </c>
      <c r="G158">
        <f>IFERROR(IF((F158-F157)&gt;1,(LARGE(F158:$F158,1)-LARGE(F$154:$F158,2))-1,""),"")</f>
        <v>1</v>
      </c>
    </row>
    <row r="159" spans="1:7">
      <c r="A159" s="79" t="s">
        <v>44029</v>
      </c>
      <c r="B159">
        <v>989</v>
      </c>
      <c r="C159">
        <v>989</v>
      </c>
      <c r="D159">
        <v>2</v>
      </c>
      <c r="E159">
        <v>410</v>
      </c>
      <c r="F159" s="70">
        <v>44542</v>
      </c>
      <c r="G159" t="str">
        <f>IFERROR(IF((F159-F158)&gt;1,(LARGE(F159:$F159,1)-LARGE(F$154:$F159,2))-1,""),"")</f>
        <v/>
      </c>
    </row>
    <row r="160" spans="1:7">
      <c r="A160" s="77">
        <f>(SUM(E154:E167)/(A156+14)+SUM(G154:G167))</f>
        <v>746.33333333333337</v>
      </c>
      <c r="B160">
        <v>989</v>
      </c>
      <c r="C160">
        <v>989</v>
      </c>
      <c r="D160">
        <v>2</v>
      </c>
      <c r="E160">
        <v>900</v>
      </c>
      <c r="F160" s="70">
        <v>44544</v>
      </c>
      <c r="G160">
        <f>IFERROR(IF((F160-F159)&gt;1,(LARGE(F160:$F160,1)-LARGE(F$154:$F160,2))-1,""),"")</f>
        <v>1</v>
      </c>
    </row>
    <row r="161" spans="1:7">
      <c r="A161" s="77">
        <f>(SUM(E161:E167)/(A156+7)+SUM(G161:G167))</f>
        <v>762.375</v>
      </c>
      <c r="B161">
        <v>989</v>
      </c>
      <c r="C161">
        <v>989</v>
      </c>
      <c r="D161">
        <v>1</v>
      </c>
      <c r="E161">
        <v>600</v>
      </c>
      <c r="F161" s="70">
        <v>44546</v>
      </c>
      <c r="G161">
        <f>IFERROR(IF((F161-F160)&gt;1,(LARGE(F161:$F161,1)-LARGE(F$154:$F161,2))-1,""),"")</f>
        <v>1</v>
      </c>
    </row>
    <row r="162" spans="1:7">
      <c r="A162" s="79" t="s">
        <v>44028</v>
      </c>
      <c r="B162">
        <v>989</v>
      </c>
      <c r="C162">
        <v>989</v>
      </c>
      <c r="D162">
        <v>1</v>
      </c>
      <c r="E162">
        <v>600</v>
      </c>
      <c r="F162" s="70">
        <v>44547</v>
      </c>
      <c r="G162" t="str">
        <f>IFERROR(IF((F162-F161)&gt;1,(LARGE(F162:$F162,1)-LARGE(F$154:$F162,2))-1,""),"")</f>
        <v/>
      </c>
    </row>
    <row r="163" spans="1:7">
      <c r="A163" s="77">
        <f>(SUM(D164:D167)/(A156+4)+SUM(G164:G167))</f>
        <v>3</v>
      </c>
      <c r="B163">
        <v>989</v>
      </c>
      <c r="C163">
        <v>989</v>
      </c>
      <c r="D163">
        <v>2</v>
      </c>
      <c r="E163">
        <v>1200</v>
      </c>
      <c r="F163" s="70">
        <v>44548</v>
      </c>
      <c r="G163" t="str">
        <f>IFERROR(IF((F163-F162)&gt;1,(LARGE(F163:$F163,1)-LARGE(F$154:$F163,2))-1,""),"")</f>
        <v/>
      </c>
    </row>
    <row r="164" spans="1:7">
      <c r="A164" s="85" t="s">
        <v>44027</v>
      </c>
      <c r="B164">
        <v>989</v>
      </c>
      <c r="C164">
        <v>989</v>
      </c>
      <c r="D164">
        <v>1</v>
      </c>
      <c r="E164">
        <v>600</v>
      </c>
      <c r="F164" s="70">
        <v>44549</v>
      </c>
      <c r="G164" t="str">
        <f>IFERROR(IF((F164-F163)&gt;1,(LARGE(F164:$F164,1)-LARGE(F$154:$F164,2))-1,""),"")</f>
        <v/>
      </c>
    </row>
    <row r="165" spans="1:7">
      <c r="A165" s="86">
        <f>IF(A158+A156&gt;10,"Look Up",AVERAGE(A160,A161))</f>
        <v>754.35416666666674</v>
      </c>
      <c r="B165">
        <v>989</v>
      </c>
      <c r="C165">
        <v>989</v>
      </c>
      <c r="D165">
        <v>2</v>
      </c>
      <c r="E165">
        <v>1275</v>
      </c>
      <c r="F165" s="70">
        <v>44550</v>
      </c>
      <c r="G165" t="str">
        <f>IFERROR(IF((F165-F164)&gt;1,(LARGE(F165:$F165,1)-LARGE(F$154:$F165,2))-1,""),"")</f>
        <v/>
      </c>
    </row>
    <row r="166" spans="1:7">
      <c r="A166" s="85" t="s">
        <v>44030</v>
      </c>
      <c r="B166">
        <v>989</v>
      </c>
      <c r="C166">
        <v>989</v>
      </c>
      <c r="D166">
        <v>1</v>
      </c>
      <c r="E166">
        <v>1200</v>
      </c>
      <c r="F166" s="70">
        <v>44551</v>
      </c>
      <c r="G166" t="str">
        <f>IFERROR(IF((F166-F165)&gt;1,(LARGE(F166:$F166,1)-LARGE(F$154:$F166,2))-1,""),"")</f>
        <v/>
      </c>
    </row>
    <row r="167" spans="1:7">
      <c r="A167" s="88"/>
      <c r="B167">
        <v>989</v>
      </c>
      <c r="C167">
        <v>989</v>
      </c>
      <c r="D167">
        <v>1</v>
      </c>
      <c r="E167">
        <v>600</v>
      </c>
      <c r="F167" s="70">
        <v>44554</v>
      </c>
      <c r="G167">
        <f>IFERROR(IF((F167-F166)&gt;1,(LARGE(F167:$F167,1)-LARGE(F$154:$F167,2))-1,""),"")</f>
        <v>2</v>
      </c>
    </row>
    <row r="168" spans="1:7">
      <c r="A168" s="65">
        <f>VLOOKUP(TradeSheet!A13,TypeIDs!B:C,2,FALSE)</f>
        <v>42835</v>
      </c>
      <c r="B168" t="s">
        <v>43998</v>
      </c>
      <c r="C168" t="s">
        <v>43999</v>
      </c>
      <c r="D168" t="s">
        <v>44000</v>
      </c>
      <c r="E168" t="s">
        <v>44001</v>
      </c>
      <c r="F168" t="s">
        <v>44009</v>
      </c>
      <c r="G168" t="s">
        <v>44008</v>
      </c>
    </row>
    <row r="169" spans="1:7">
      <c r="A169" s="65" t="str">
        <f>CONCATENATE(SwaggerURL,input012)</f>
        <v>https://esi.evetech.net/latest/markets/10000021/history/?datasource=tranquility&amp;type_id=42835</v>
      </c>
      <c r="B169">
        <v>950</v>
      </c>
      <c r="C169">
        <v>950</v>
      </c>
      <c r="D169">
        <v>5</v>
      </c>
      <c r="E169">
        <v>1112</v>
      </c>
      <c r="F169" s="70">
        <v>44530</v>
      </c>
      <c r="G169" t="str">
        <f>IFERROR(IF((F169-F168)&gt;1,(LARGE(F169:$F169,1)-LARGE(F$169:$F169,2))-1,""),"")</f>
        <v/>
      </c>
    </row>
    <row r="170" spans="1:7">
      <c r="A170" s="79" t="s">
        <v>44018</v>
      </c>
      <c r="B170">
        <v>980</v>
      </c>
      <c r="C170">
        <v>980</v>
      </c>
      <c r="D170">
        <v>1</v>
      </c>
      <c r="E170">
        <v>50</v>
      </c>
      <c r="F170" s="70">
        <v>44533</v>
      </c>
      <c r="G170">
        <f>IFERROR(IF((F170-F169)&gt;1,(LARGE(F170:$F170,1)-LARGE(F$169:$F170,2))-1,""),"")</f>
        <v>2</v>
      </c>
    </row>
    <row r="171" spans="1:7">
      <c r="A171" s="78">
        <f>MAX(0,(CurrentDate-2)-F182)</f>
        <v>2</v>
      </c>
      <c r="B171">
        <v>694.2</v>
      </c>
      <c r="C171">
        <v>694.2</v>
      </c>
      <c r="D171">
        <v>3</v>
      </c>
      <c r="E171">
        <v>450</v>
      </c>
      <c r="F171" s="70">
        <v>44537</v>
      </c>
      <c r="G171">
        <f>IFERROR(IF((F171-F170)&gt;1,(LARGE(F171:$F171,1)-LARGE(F$169:$F171,2))-1,""),"")</f>
        <v>3</v>
      </c>
    </row>
    <row r="172" spans="1:7">
      <c r="A172" s="79" t="s">
        <v>44026</v>
      </c>
      <c r="B172">
        <v>694.2</v>
      </c>
      <c r="C172">
        <v>694.2</v>
      </c>
      <c r="D172">
        <v>1</v>
      </c>
      <c r="E172">
        <v>300</v>
      </c>
      <c r="F172" s="70">
        <v>44538</v>
      </c>
      <c r="G172" t="str">
        <f>IFERROR(IF((F172-F171)&gt;1,(LARGE(F172:$F172,1)-LARGE(F$169:$F172,2))-1,""),"")</f>
        <v/>
      </c>
    </row>
    <row r="173" spans="1:7">
      <c r="A173" s="83">
        <f>SUM(G176:G182)</f>
        <v>0</v>
      </c>
      <c r="B173">
        <v>695</v>
      </c>
      <c r="C173">
        <v>695</v>
      </c>
      <c r="D173">
        <v>2</v>
      </c>
      <c r="E173">
        <v>500</v>
      </c>
      <c r="F173" s="70">
        <v>44539</v>
      </c>
      <c r="G173" t="str">
        <f>IFERROR(IF((F173-F172)&gt;1,(LARGE(F173:$F173,1)-LARGE(F$169:$F173,2))-1,""),"")</f>
        <v/>
      </c>
    </row>
    <row r="174" spans="1:7">
      <c r="A174" s="79" t="s">
        <v>44029</v>
      </c>
      <c r="B174">
        <v>695</v>
      </c>
      <c r="C174">
        <v>695</v>
      </c>
      <c r="D174">
        <v>3</v>
      </c>
      <c r="E174">
        <v>2301</v>
      </c>
      <c r="F174" s="70">
        <v>44541</v>
      </c>
      <c r="G174">
        <f>IFERROR(IF((F174-F173)&gt;1,(LARGE(F174:$F174,1)-LARGE(F$169:$F174,2))-1,""),"")</f>
        <v>1</v>
      </c>
    </row>
    <row r="175" spans="1:7">
      <c r="A175" s="77">
        <f>(SUM(E169:E182)/(A171+14)+SUM(G169:G182))</f>
        <v>700.6875</v>
      </c>
      <c r="B175">
        <v>695</v>
      </c>
      <c r="C175">
        <v>695</v>
      </c>
      <c r="D175">
        <v>1</v>
      </c>
      <c r="E175">
        <v>300</v>
      </c>
      <c r="F175" s="70">
        <v>44546</v>
      </c>
      <c r="G175">
        <f>IFERROR(IF((F175-F174)&gt;1,(LARGE(F175:$F175,1)-LARGE(F$169:$F175,2))-1,""),"")</f>
        <v>4</v>
      </c>
    </row>
    <row r="176" spans="1:7">
      <c r="A176" s="77">
        <f>(SUM(E176:E182)/(A171+7)+SUM(G176:G182))</f>
        <v>670.88888888888891</v>
      </c>
      <c r="B176">
        <v>695</v>
      </c>
      <c r="C176">
        <v>695</v>
      </c>
      <c r="D176">
        <v>1</v>
      </c>
      <c r="E176">
        <v>99</v>
      </c>
      <c r="F176" s="70">
        <v>44547</v>
      </c>
      <c r="G176" t="str">
        <f>IFERROR(IF((F176-F175)&gt;1,(LARGE(F176:$F176,1)-LARGE(F$169:$F176,2))-1,""),"")</f>
        <v/>
      </c>
    </row>
    <row r="177" spans="1:7">
      <c r="A177" s="79" t="s">
        <v>44028</v>
      </c>
      <c r="B177">
        <v>700</v>
      </c>
      <c r="C177">
        <v>700</v>
      </c>
      <c r="D177">
        <v>4</v>
      </c>
      <c r="E177">
        <v>2100</v>
      </c>
      <c r="F177" s="70">
        <v>44548</v>
      </c>
      <c r="G177" t="str">
        <f>IFERROR(IF((F177-F176)&gt;1,(LARGE(F177:$F177,1)-LARGE(F$169:$F177,2))-1,""),"")</f>
        <v/>
      </c>
    </row>
    <row r="178" spans="1:7">
      <c r="A178" s="77">
        <f>(SUM(D179:D182)/(A171+4)+SUM(G179:G182))</f>
        <v>1</v>
      </c>
      <c r="B178">
        <v>675</v>
      </c>
      <c r="C178">
        <v>675</v>
      </c>
      <c r="D178">
        <v>2</v>
      </c>
      <c r="E178">
        <v>2100</v>
      </c>
      <c r="F178" s="70">
        <v>44549</v>
      </c>
      <c r="G178" t="str">
        <f>IFERROR(IF((F178-F177)&gt;1,(LARGE(F178:$F178,1)-LARGE(F$169:$F178,2))-1,""),"")</f>
        <v/>
      </c>
    </row>
    <row r="179" spans="1:7">
      <c r="A179" s="85" t="s">
        <v>44027</v>
      </c>
      <c r="B179">
        <v>700</v>
      </c>
      <c r="C179">
        <v>700</v>
      </c>
      <c r="D179">
        <v>1</v>
      </c>
      <c r="E179">
        <v>300</v>
      </c>
      <c r="F179" s="70">
        <v>44550</v>
      </c>
      <c r="G179" t="str">
        <f>IFERROR(IF((F179-F178)&gt;1,(LARGE(F179:$F179,1)-LARGE(F$169:$F179,2))-1,""),"")</f>
        <v/>
      </c>
    </row>
    <row r="180" spans="1:7">
      <c r="A180" s="86">
        <f>IF(A173+A171&gt;10,"Look Up",AVERAGE(A175,A176))</f>
        <v>685.78819444444446</v>
      </c>
      <c r="B180">
        <v>700</v>
      </c>
      <c r="C180">
        <v>700</v>
      </c>
      <c r="D180">
        <v>1</v>
      </c>
      <c r="E180">
        <v>600</v>
      </c>
      <c r="F180" s="70">
        <v>44551</v>
      </c>
      <c r="G180" t="str">
        <f>IFERROR(IF((F180-F179)&gt;1,(LARGE(F180:$F180,1)-LARGE(F$169:$F180,2))-1,""),"")</f>
        <v/>
      </c>
    </row>
    <row r="181" spans="1:7">
      <c r="A181" s="85" t="s">
        <v>44030</v>
      </c>
      <c r="B181">
        <v>650</v>
      </c>
      <c r="C181">
        <v>650</v>
      </c>
      <c r="D181">
        <v>1</v>
      </c>
      <c r="E181">
        <v>300</v>
      </c>
      <c r="F181" s="70">
        <v>44552</v>
      </c>
      <c r="G181" t="str">
        <f>IFERROR(IF((F181-F180)&gt;1,(LARGE(F181:$F181,1)-LARGE(F$169:$F181,2))-1,""),"")</f>
        <v/>
      </c>
    </row>
    <row r="182" spans="1:7">
      <c r="A182" s="88"/>
      <c r="B182">
        <v>650</v>
      </c>
      <c r="C182">
        <v>650</v>
      </c>
      <c r="D182">
        <v>3</v>
      </c>
      <c r="E182">
        <v>539</v>
      </c>
      <c r="F182" s="70">
        <v>44553</v>
      </c>
      <c r="G182" t="str">
        <f>IFERROR(IF((F182-F181)&gt;1,(LARGE(F182:$F182,1)-LARGE(F$169:$F182,2))-1,""),"")</f>
        <v/>
      </c>
    </row>
    <row r="183" spans="1:7">
      <c r="A183" s="65">
        <f>VLOOKUP(TradeSheet!A14,TypeIDs!B:C,2,FALSE)</f>
        <v>42831</v>
      </c>
      <c r="B183" t="s">
        <v>43998</v>
      </c>
      <c r="C183" t="s">
        <v>43999</v>
      </c>
      <c r="D183" t="s">
        <v>44000</v>
      </c>
      <c r="E183" t="s">
        <v>44001</v>
      </c>
      <c r="F183" t="s">
        <v>44009</v>
      </c>
      <c r="G183" t="s">
        <v>44008</v>
      </c>
    </row>
    <row r="184" spans="1:7">
      <c r="A184" s="65" t="str">
        <f>CONCATENATE(SwaggerURL,input013)</f>
        <v>https://esi.evetech.net/latest/markets/10000021/history/?datasource=tranquility&amp;type_id=42831</v>
      </c>
      <c r="B184">
        <v>1349</v>
      </c>
      <c r="C184">
        <v>1349</v>
      </c>
      <c r="D184">
        <v>6</v>
      </c>
      <c r="E184">
        <v>14570</v>
      </c>
      <c r="F184" s="70">
        <v>44540</v>
      </c>
      <c r="G184" t="str">
        <f>IFERROR(IF((F184-F183)&gt;1,(LARGE(F184:$F184,1)-LARGE(F$184:$F184,2))-1,""),"")</f>
        <v/>
      </c>
    </row>
    <row r="185" spans="1:7">
      <c r="A185" s="79" t="s">
        <v>44018</v>
      </c>
      <c r="B185">
        <v>1500</v>
      </c>
      <c r="C185">
        <v>1349</v>
      </c>
      <c r="D185">
        <v>7</v>
      </c>
      <c r="E185">
        <v>11908</v>
      </c>
      <c r="F185" s="70">
        <v>44541</v>
      </c>
      <c r="G185" t="str">
        <f>IFERROR(IF((F185-F184)&gt;1,(LARGE(F185:$F185,1)-LARGE(F$184:$F185,2))-1,""),"")</f>
        <v/>
      </c>
    </row>
    <row r="186" spans="1:7">
      <c r="A186" s="78">
        <f>MAX(0,(CurrentDate-2)-F197)</f>
        <v>1</v>
      </c>
      <c r="B186">
        <v>1550</v>
      </c>
      <c r="C186">
        <v>1550</v>
      </c>
      <c r="D186">
        <v>2</v>
      </c>
      <c r="E186">
        <v>5300</v>
      </c>
      <c r="F186" s="70">
        <v>44542</v>
      </c>
      <c r="G186" t="str">
        <f>IFERROR(IF((F186-F185)&gt;1,(LARGE(F186:$F186,1)-LARGE(F$184:$F186,2))-1,""),"")</f>
        <v/>
      </c>
    </row>
    <row r="187" spans="1:7">
      <c r="A187" s="79" t="s">
        <v>44026</v>
      </c>
      <c r="B187">
        <v>1549</v>
      </c>
      <c r="C187">
        <v>1549</v>
      </c>
      <c r="D187">
        <v>3</v>
      </c>
      <c r="E187">
        <v>13159</v>
      </c>
      <c r="F187" s="70">
        <v>44543</v>
      </c>
      <c r="G187" t="str">
        <f>IFERROR(IF((F187-F186)&gt;1,(LARGE(F187:$F187,1)-LARGE(F$184:$F187,2))-1,""),"")</f>
        <v/>
      </c>
    </row>
    <row r="188" spans="1:7">
      <c r="A188" s="83">
        <f>SUM(G191:G197)</f>
        <v>1</v>
      </c>
      <c r="B188">
        <v>1750</v>
      </c>
      <c r="C188">
        <v>1750</v>
      </c>
      <c r="D188">
        <v>1</v>
      </c>
      <c r="E188">
        <v>600</v>
      </c>
      <c r="F188" s="70">
        <v>44544</v>
      </c>
      <c r="G188" t="str">
        <f>IFERROR(IF((F188-F187)&gt;1,(LARGE(F188:$F188,1)-LARGE(F$184:$F188,2))-1,""),"")</f>
        <v/>
      </c>
    </row>
    <row r="189" spans="1:7">
      <c r="A189" s="79" t="s">
        <v>44029</v>
      </c>
      <c r="B189">
        <v>1750</v>
      </c>
      <c r="C189">
        <v>1750</v>
      </c>
      <c r="D189">
        <v>2</v>
      </c>
      <c r="E189">
        <v>600</v>
      </c>
      <c r="F189" s="70">
        <v>44545</v>
      </c>
      <c r="G189" t="str">
        <f>IFERROR(IF((F189-F188)&gt;1,(LARGE(F189:$F189,1)-LARGE(F$184:$F189,2))-1,""),"")</f>
        <v/>
      </c>
    </row>
    <row r="190" spans="1:7">
      <c r="A190" s="77">
        <f>(SUM(E184:E197)/(A186+14)+SUM(G184:G197))</f>
        <v>5107.2</v>
      </c>
      <c r="B190">
        <v>1450</v>
      </c>
      <c r="C190">
        <v>1450</v>
      </c>
      <c r="D190">
        <v>1</v>
      </c>
      <c r="E190">
        <v>10453</v>
      </c>
      <c r="F190" s="70">
        <v>44546</v>
      </c>
      <c r="G190" t="str">
        <f>IFERROR(IF((F190-F189)&gt;1,(LARGE(F190:$F190,1)-LARGE(F$184:$F190,2))-1,""),"")</f>
        <v/>
      </c>
    </row>
    <row r="191" spans="1:7">
      <c r="A191" s="77">
        <f>(SUM(E191:E197)/(A186+7)+SUM(G191:G197))</f>
        <v>2501.375</v>
      </c>
      <c r="B191">
        <v>1399</v>
      </c>
      <c r="C191">
        <v>1399</v>
      </c>
      <c r="D191">
        <v>1</v>
      </c>
      <c r="E191">
        <v>2000</v>
      </c>
      <c r="F191" s="70">
        <v>44547</v>
      </c>
      <c r="G191" t="str">
        <f>IFERROR(IF((F191-F190)&gt;1,(LARGE(F191:$F191,1)-LARGE(F$184:$F191,2))-1,""),"")</f>
        <v/>
      </c>
    </row>
    <row r="192" spans="1:7">
      <c r="A192" s="79" t="s">
        <v>44028</v>
      </c>
      <c r="B192">
        <v>1400</v>
      </c>
      <c r="C192">
        <v>1400</v>
      </c>
      <c r="D192">
        <v>2</v>
      </c>
      <c r="E192">
        <v>1416</v>
      </c>
      <c r="F192" s="70">
        <v>44548</v>
      </c>
      <c r="G192" t="str">
        <f>IFERROR(IF((F192-F191)&gt;1,(LARGE(F192:$F192,1)-LARGE(F$184:$F192,2))-1,""),"")</f>
        <v/>
      </c>
    </row>
    <row r="193" spans="1:7">
      <c r="A193" s="77">
        <f>(SUM(D194:D197)/(A186+4)+SUM(G194:G197))</f>
        <v>2.6</v>
      </c>
      <c r="B193">
        <v>1395</v>
      </c>
      <c r="C193">
        <v>1395</v>
      </c>
      <c r="D193">
        <v>1</v>
      </c>
      <c r="E193">
        <v>1000</v>
      </c>
      <c r="F193" s="70">
        <v>44549</v>
      </c>
      <c r="G193" t="str">
        <f>IFERROR(IF((F193-F192)&gt;1,(LARGE(F193:$F193,1)-LARGE(F$184:$F193,2))-1,""),"")</f>
        <v/>
      </c>
    </row>
    <row r="194" spans="1:7">
      <c r="A194" s="85" t="s">
        <v>44027</v>
      </c>
      <c r="B194">
        <v>1388</v>
      </c>
      <c r="C194">
        <v>1388</v>
      </c>
      <c r="D194">
        <v>1</v>
      </c>
      <c r="E194">
        <v>1000</v>
      </c>
      <c r="F194" s="70">
        <v>44550</v>
      </c>
      <c r="G194" t="str">
        <f>IFERROR(IF((F194-F193)&gt;1,(LARGE(F194:$F194,1)-LARGE(F$184:$F194,2))-1,""),"")</f>
        <v/>
      </c>
    </row>
    <row r="195" spans="1:7">
      <c r="A195" s="86">
        <f>IF(A188+A186&gt;10,"Look Up",AVERAGE(A190,A191))</f>
        <v>3804.2874999999999</v>
      </c>
      <c r="B195">
        <v>1388</v>
      </c>
      <c r="C195">
        <v>1388</v>
      </c>
      <c r="D195">
        <v>2</v>
      </c>
      <c r="E195">
        <v>3000</v>
      </c>
      <c r="F195" s="70">
        <v>44551</v>
      </c>
      <c r="G195" t="str">
        <f>IFERROR(IF((F195-F194)&gt;1,(LARGE(F195:$F195,1)-LARGE(F$184:$F195,2))-1,""),"")</f>
        <v/>
      </c>
    </row>
    <row r="196" spans="1:7">
      <c r="A196" s="85" t="s">
        <v>44030</v>
      </c>
      <c r="B196">
        <v>1390</v>
      </c>
      <c r="C196">
        <v>1390</v>
      </c>
      <c r="D196">
        <v>4</v>
      </c>
      <c r="E196">
        <v>7000</v>
      </c>
      <c r="F196" s="70">
        <v>44552</v>
      </c>
      <c r="G196" t="str">
        <f>IFERROR(IF((F196-F195)&gt;1,(LARGE(F196:$F196,1)-LARGE(F$184:$F196,2))-1,""),"")</f>
        <v/>
      </c>
    </row>
    <row r="197" spans="1:7">
      <c r="A197" s="88"/>
      <c r="B197">
        <v>1200</v>
      </c>
      <c r="C197">
        <v>1200</v>
      </c>
      <c r="D197">
        <v>1</v>
      </c>
      <c r="E197">
        <v>4587</v>
      </c>
      <c r="F197" s="70">
        <v>44554</v>
      </c>
      <c r="G197">
        <f>IFERROR(IF((F197-F196)&gt;1,(LARGE(F197:$F197,1)-LARGE(F$184:$F197,2))-1,""),"")</f>
        <v>1</v>
      </c>
    </row>
    <row r="198" spans="1:7">
      <c r="A198" s="65">
        <f>VLOOKUP(TradeSheet!A15,TypeIDs!B:C,2,FALSE)</f>
        <v>42829</v>
      </c>
      <c r="B198" t="s">
        <v>43998</v>
      </c>
      <c r="C198" t="s">
        <v>43999</v>
      </c>
      <c r="D198" t="s">
        <v>44000</v>
      </c>
      <c r="E198" t="s">
        <v>44001</v>
      </c>
      <c r="F198" t="s">
        <v>44009</v>
      </c>
      <c r="G198" t="s">
        <v>44008</v>
      </c>
    </row>
    <row r="199" spans="1:7">
      <c r="A199" s="65" t="str">
        <f>CONCATENATE(SwaggerURL,input014)</f>
        <v>https://esi.evetech.net/latest/markets/10000021/history/?datasource=tranquility&amp;type_id=42829</v>
      </c>
      <c r="B199">
        <v>269.8</v>
      </c>
      <c r="C199">
        <v>269.8</v>
      </c>
      <c r="D199">
        <v>6</v>
      </c>
      <c r="E199">
        <v>20000</v>
      </c>
      <c r="F199" s="70">
        <v>44541</v>
      </c>
      <c r="G199" t="str">
        <f>IFERROR(IF((F199-F198)&gt;1,(LARGE(F199:$F199,1)-LARGE(F$199:$F199,2))-1,""),"")</f>
        <v/>
      </c>
    </row>
    <row r="200" spans="1:7">
      <c r="A200" s="79" t="s">
        <v>44018</v>
      </c>
      <c r="B200">
        <v>269.8</v>
      </c>
      <c r="C200">
        <v>269.8</v>
      </c>
      <c r="D200">
        <v>11</v>
      </c>
      <c r="E200">
        <v>45136</v>
      </c>
      <c r="F200" s="70">
        <v>44542</v>
      </c>
      <c r="G200" t="str">
        <f>IFERROR(IF((F200-F199)&gt;1,(LARGE(F200:$F200,1)-LARGE(F$199:$F200,2))-1,""),"")</f>
        <v/>
      </c>
    </row>
    <row r="201" spans="1:7">
      <c r="A201" s="78">
        <f>MAX(0,(CurrentDate-2)-F212)</f>
        <v>1</v>
      </c>
      <c r="B201">
        <v>270</v>
      </c>
      <c r="C201">
        <v>270</v>
      </c>
      <c r="D201">
        <v>5</v>
      </c>
      <c r="E201">
        <v>114590</v>
      </c>
      <c r="F201" s="70">
        <v>44543</v>
      </c>
      <c r="G201" t="str">
        <f>IFERROR(IF((F201-F200)&gt;1,(LARGE(F201:$F201,1)-LARGE(F$199:$F201,2))-1,""),"")</f>
        <v/>
      </c>
    </row>
    <row r="202" spans="1:7">
      <c r="A202" s="79" t="s">
        <v>44026</v>
      </c>
      <c r="B202">
        <v>270</v>
      </c>
      <c r="C202">
        <v>270</v>
      </c>
      <c r="D202">
        <v>3</v>
      </c>
      <c r="E202">
        <v>34383</v>
      </c>
      <c r="F202" s="70">
        <v>44544</v>
      </c>
      <c r="G202" t="str">
        <f>IFERROR(IF((F202-F201)&gt;1,(LARGE(F202:$F202,1)-LARGE(F$199:$F202,2))-1,""),"")</f>
        <v/>
      </c>
    </row>
    <row r="203" spans="1:7">
      <c r="A203" s="83">
        <f>SUM(G206:G212)</f>
        <v>0</v>
      </c>
      <c r="B203">
        <v>270</v>
      </c>
      <c r="C203">
        <v>270</v>
      </c>
      <c r="D203">
        <v>4</v>
      </c>
      <c r="E203">
        <v>2177</v>
      </c>
      <c r="F203" s="70">
        <v>44545</v>
      </c>
      <c r="G203" t="str">
        <f>IFERROR(IF((F203-F202)&gt;1,(LARGE(F203:$F203,1)-LARGE(F$199:$F203,2))-1,""),"")</f>
        <v/>
      </c>
    </row>
    <row r="204" spans="1:7">
      <c r="A204" s="79" t="s">
        <v>44029</v>
      </c>
      <c r="B204">
        <v>270</v>
      </c>
      <c r="C204">
        <v>270</v>
      </c>
      <c r="D204">
        <v>3</v>
      </c>
      <c r="E204">
        <v>4900</v>
      </c>
      <c r="F204" s="70">
        <v>44546</v>
      </c>
      <c r="G204" t="str">
        <f>IFERROR(IF((F204-F203)&gt;1,(LARGE(F204:$F204,1)-LARGE(F$199:$F204,2))-1,""),"")</f>
        <v/>
      </c>
    </row>
    <row r="205" spans="1:7">
      <c r="A205" s="77">
        <f>(SUM(E199:E212)/(A201+14)+SUM(G199:G212))</f>
        <v>17765.8</v>
      </c>
      <c r="B205">
        <v>270</v>
      </c>
      <c r="C205">
        <v>270</v>
      </c>
      <c r="D205">
        <v>2</v>
      </c>
      <c r="E205">
        <v>12000</v>
      </c>
      <c r="F205" s="70">
        <v>44547</v>
      </c>
      <c r="G205" t="str">
        <f>IFERROR(IF((F205-F204)&gt;1,(LARGE(F205:$F205,1)-LARGE(F$199:$F205,2))-1,""),"")</f>
        <v/>
      </c>
    </row>
    <row r="206" spans="1:7">
      <c r="A206" s="77">
        <f>(SUM(E206:E212)/(A201+7)+SUM(G206:G212))</f>
        <v>4162.625</v>
      </c>
      <c r="B206">
        <v>270</v>
      </c>
      <c r="C206">
        <v>270</v>
      </c>
      <c r="D206">
        <v>8</v>
      </c>
      <c r="E206">
        <v>6999</v>
      </c>
      <c r="F206" s="70">
        <v>44548</v>
      </c>
      <c r="G206" t="str">
        <f>IFERROR(IF((F206-F205)&gt;1,(LARGE(F206:$F206,1)-LARGE(F$199:$F206,2))-1,""),"")</f>
        <v/>
      </c>
    </row>
    <row r="207" spans="1:7">
      <c r="A207" s="79" t="s">
        <v>44028</v>
      </c>
      <c r="B207">
        <v>270</v>
      </c>
      <c r="C207">
        <v>270</v>
      </c>
      <c r="D207">
        <v>2</v>
      </c>
      <c r="E207">
        <v>1300</v>
      </c>
      <c r="F207" s="70">
        <v>44549</v>
      </c>
      <c r="G207" t="str">
        <f>IFERROR(IF((F207-F206)&gt;1,(LARGE(F207:$F207,1)-LARGE(F$199:$F207,2))-1,""),"")</f>
        <v/>
      </c>
    </row>
    <row r="208" spans="1:7">
      <c r="A208" s="77">
        <f>(SUM(D209:D212)/(A201+4)+SUM(G209:G212))</f>
        <v>1.4</v>
      </c>
      <c r="B208">
        <v>270</v>
      </c>
      <c r="C208">
        <v>270</v>
      </c>
      <c r="D208">
        <v>2</v>
      </c>
      <c r="E208">
        <v>3000</v>
      </c>
      <c r="F208" s="70">
        <v>44550</v>
      </c>
      <c r="G208" t="str">
        <f>IFERROR(IF((F208-F207)&gt;1,(LARGE(F208:$F208,1)-LARGE(F$199:$F208,2))-1,""),"")</f>
        <v/>
      </c>
    </row>
    <row r="209" spans="1:7">
      <c r="A209" s="85" t="s">
        <v>44027</v>
      </c>
      <c r="B209">
        <v>269.8</v>
      </c>
      <c r="C209">
        <v>269.8</v>
      </c>
      <c r="D209">
        <v>1</v>
      </c>
      <c r="E209">
        <v>2000</v>
      </c>
      <c r="F209" s="70">
        <v>44551</v>
      </c>
      <c r="G209" t="str">
        <f>IFERROR(IF((F209-F208)&gt;1,(LARGE(F209:$F209,1)-LARGE(F$199:$F209,2))-1,""),"")</f>
        <v/>
      </c>
    </row>
    <row r="210" spans="1:7">
      <c r="A210" s="86">
        <f>IF(A203+A201&gt;10,"Look Up",AVERAGE(A205,A206))</f>
        <v>10964.2125</v>
      </c>
      <c r="B210">
        <v>270</v>
      </c>
      <c r="C210">
        <v>270</v>
      </c>
      <c r="D210">
        <v>2</v>
      </c>
      <c r="E210">
        <v>9625</v>
      </c>
      <c r="F210" s="70">
        <v>44552</v>
      </c>
      <c r="G210" t="str">
        <f>IFERROR(IF((F210-F209)&gt;1,(LARGE(F210:$F210,1)-LARGE(F$199:$F210,2))-1,""),"")</f>
        <v/>
      </c>
    </row>
    <row r="211" spans="1:7">
      <c r="A211" s="85" t="s">
        <v>44030</v>
      </c>
      <c r="B211">
        <v>270</v>
      </c>
      <c r="C211">
        <v>270</v>
      </c>
      <c r="D211">
        <v>2</v>
      </c>
      <c r="E211">
        <v>793</v>
      </c>
      <c r="F211" s="70">
        <v>44553</v>
      </c>
      <c r="G211" t="str">
        <f>IFERROR(IF((F211-F210)&gt;1,(LARGE(F211:$F211,1)-LARGE(F$199:$F211,2))-1,""),"")</f>
        <v/>
      </c>
    </row>
    <row r="212" spans="1:7">
      <c r="A212" s="88"/>
      <c r="B212">
        <v>270</v>
      </c>
      <c r="C212">
        <v>270</v>
      </c>
      <c r="D212">
        <v>2</v>
      </c>
      <c r="E212">
        <v>9584</v>
      </c>
      <c r="F212" s="70">
        <v>44554</v>
      </c>
      <c r="G212" t="str">
        <f>IFERROR(IF((F212-F211)&gt;1,(LARGE(F212:$F212,1)-LARGE(F$199:$F212,2))-1,""),"")</f>
        <v/>
      </c>
    </row>
    <row r="213" spans="1:7">
      <c r="A213" s="65">
        <f>VLOOKUP(TradeSheet!A16,TypeIDs!B:C,2,FALSE)</f>
        <v>42830</v>
      </c>
      <c r="B213" t="s">
        <v>43998</v>
      </c>
      <c r="C213" t="s">
        <v>43999</v>
      </c>
      <c r="D213" t="s">
        <v>44000</v>
      </c>
      <c r="E213" t="s">
        <v>44001</v>
      </c>
      <c r="F213" t="s">
        <v>44009</v>
      </c>
      <c r="G213" t="s">
        <v>44008</v>
      </c>
    </row>
    <row r="214" spans="1:7">
      <c r="A214" s="65" t="str">
        <f>CONCATENATE(SwaggerURL,input015)</f>
        <v>https://esi.evetech.net/latest/markets/10000021/history/?datasource=tranquility&amp;type_id=42830</v>
      </c>
      <c r="B214">
        <v>292.89999999999998</v>
      </c>
      <c r="C214">
        <v>292.89999999999998</v>
      </c>
      <c r="D214">
        <v>7</v>
      </c>
      <c r="E214">
        <v>20383</v>
      </c>
      <c r="F214" s="70">
        <v>44541</v>
      </c>
      <c r="G214" t="str">
        <f>IFERROR(IF((F214-F213)&gt;1,(LARGE(F214:$F214,1)-LARGE(F$214:$F214,2))-1,""),"")</f>
        <v/>
      </c>
    </row>
    <row r="215" spans="1:7">
      <c r="A215" s="79" t="s">
        <v>44018</v>
      </c>
      <c r="B215">
        <v>299.89999999999998</v>
      </c>
      <c r="C215">
        <v>299.89999999999998</v>
      </c>
      <c r="D215">
        <v>8</v>
      </c>
      <c r="E215">
        <v>42436</v>
      </c>
      <c r="F215" s="70">
        <v>44542</v>
      </c>
      <c r="G215" t="str">
        <f>IFERROR(IF((F215-F214)&gt;1,(LARGE(F215:$F215,1)-LARGE(F$214:$F215,2))-1,""),"")</f>
        <v/>
      </c>
    </row>
    <row r="216" spans="1:7">
      <c r="A216" s="78">
        <f>MAX(0,(CurrentDate-2)-F227)</f>
        <v>1</v>
      </c>
      <c r="B216">
        <v>299.89999999999998</v>
      </c>
      <c r="C216">
        <v>299.89999999999998</v>
      </c>
      <c r="D216">
        <v>6</v>
      </c>
      <c r="E216">
        <v>114952</v>
      </c>
      <c r="F216" s="70">
        <v>44543</v>
      </c>
      <c r="G216" t="str">
        <f>IFERROR(IF((F216-F215)&gt;1,(LARGE(F216:$F216,1)-LARGE(F$214:$F216,2))-1,""),"")</f>
        <v/>
      </c>
    </row>
    <row r="217" spans="1:7">
      <c r="A217" s="79" t="s">
        <v>44026</v>
      </c>
      <c r="B217">
        <v>299.89999999999998</v>
      </c>
      <c r="C217">
        <v>299.89999999999998</v>
      </c>
      <c r="D217">
        <v>4</v>
      </c>
      <c r="E217">
        <v>35687</v>
      </c>
      <c r="F217" s="70">
        <v>44544</v>
      </c>
      <c r="G217" t="str">
        <f>IFERROR(IF((F217-F216)&gt;1,(LARGE(F217:$F217,1)-LARGE(F$214:$F217,2))-1,""),"")</f>
        <v/>
      </c>
    </row>
    <row r="218" spans="1:7">
      <c r="A218" s="83">
        <f>SUM(G221:G227)</f>
        <v>0</v>
      </c>
      <c r="B218">
        <v>299.89999999999998</v>
      </c>
      <c r="C218">
        <v>299.89999999999998</v>
      </c>
      <c r="D218">
        <v>4</v>
      </c>
      <c r="E218">
        <v>2177</v>
      </c>
      <c r="F218" s="70">
        <v>44545</v>
      </c>
      <c r="G218" t="str">
        <f>IFERROR(IF((F218-F217)&gt;1,(LARGE(F218:$F218,1)-LARGE(F$214:$F218,2))-1,""),"")</f>
        <v/>
      </c>
    </row>
    <row r="219" spans="1:7">
      <c r="A219" s="79" t="s">
        <v>44029</v>
      </c>
      <c r="B219">
        <v>299.89999999999998</v>
      </c>
      <c r="C219">
        <v>299.89999999999998</v>
      </c>
      <c r="D219">
        <v>4</v>
      </c>
      <c r="E219">
        <v>7300</v>
      </c>
      <c r="F219" s="70">
        <v>44546</v>
      </c>
      <c r="G219" t="str">
        <f>IFERROR(IF((F219-F218)&gt;1,(LARGE(F219:$F219,1)-LARGE(F$214:$F219,2))-1,""),"")</f>
        <v/>
      </c>
    </row>
    <row r="220" spans="1:7">
      <c r="A220" s="77">
        <f>(SUM(E214:E227)/(A216+14)+SUM(G214:G227))</f>
        <v>17677.933333333334</v>
      </c>
      <c r="B220">
        <v>299.89999999999998</v>
      </c>
      <c r="C220">
        <v>299.89999999999998</v>
      </c>
      <c r="D220">
        <v>2</v>
      </c>
      <c r="E220">
        <v>3000</v>
      </c>
      <c r="F220" s="70">
        <v>44547</v>
      </c>
      <c r="G220" t="str">
        <f>IFERROR(IF((F220-F219)&gt;1,(LARGE(F220:$F220,1)-LARGE(F$214:$F220,2))-1,""),"")</f>
        <v/>
      </c>
    </row>
    <row r="221" spans="1:7">
      <c r="A221" s="77">
        <f>(SUM(E221:E227)/(A216+7)+SUM(G221:G227))</f>
        <v>4904.25</v>
      </c>
      <c r="B221">
        <v>299.89999999999998</v>
      </c>
      <c r="C221">
        <v>299.89999999999998</v>
      </c>
      <c r="D221">
        <v>6</v>
      </c>
      <c r="E221">
        <v>7168</v>
      </c>
      <c r="F221" s="70">
        <v>44548</v>
      </c>
      <c r="G221" t="str">
        <f>IFERROR(IF((F221-F220)&gt;1,(LARGE(F221:$F221,1)-LARGE(F$214:$F221,2))-1,""),"")</f>
        <v/>
      </c>
    </row>
    <row r="222" spans="1:7">
      <c r="A222" s="79" t="s">
        <v>44028</v>
      </c>
      <c r="B222">
        <v>299.89999999999998</v>
      </c>
      <c r="C222">
        <v>299.89999999999998</v>
      </c>
      <c r="D222">
        <v>3</v>
      </c>
      <c r="E222">
        <v>2300</v>
      </c>
      <c r="F222" s="70">
        <v>44549</v>
      </c>
      <c r="G222" t="str">
        <f>IFERROR(IF((F222-F221)&gt;1,(LARGE(F222:$F222,1)-LARGE(F$214:$F222,2))-1,""),"")</f>
        <v/>
      </c>
    </row>
    <row r="223" spans="1:7">
      <c r="A223" s="77">
        <f>(SUM(D224:D227)/(A216+4)+SUM(G224:G227))</f>
        <v>2</v>
      </c>
      <c r="B223">
        <v>299.89999999999998</v>
      </c>
      <c r="C223">
        <v>299.89999999999998</v>
      </c>
      <c r="D223">
        <v>5</v>
      </c>
      <c r="E223">
        <v>5800</v>
      </c>
      <c r="F223" s="70">
        <v>44550</v>
      </c>
      <c r="G223" t="str">
        <f>IFERROR(IF((F223-F222)&gt;1,(LARGE(F223:$F223,1)-LARGE(F$214:$F223,2))-1,""),"")</f>
        <v/>
      </c>
    </row>
    <row r="224" spans="1:7">
      <c r="A224" s="85" t="s">
        <v>44027</v>
      </c>
      <c r="B224">
        <v>299.8</v>
      </c>
      <c r="C224">
        <v>299.8</v>
      </c>
      <c r="D224">
        <v>3</v>
      </c>
      <c r="E224">
        <v>3100</v>
      </c>
      <c r="F224" s="70">
        <v>44551</v>
      </c>
      <c r="G224" t="str">
        <f>IFERROR(IF((F224-F223)&gt;1,(LARGE(F224:$F224,1)-LARGE(F$214:$F224,2))-1,""),"")</f>
        <v/>
      </c>
    </row>
    <row r="225" spans="1:7">
      <c r="A225" s="86">
        <f>IF(A218+A216&gt;10,"Look Up",AVERAGE(A220,A221))</f>
        <v>11291.091666666667</v>
      </c>
      <c r="B225">
        <v>299.89999999999998</v>
      </c>
      <c r="C225">
        <v>299.89999999999998</v>
      </c>
      <c r="D225">
        <v>3</v>
      </c>
      <c r="E225">
        <v>10492</v>
      </c>
      <c r="F225" s="70">
        <v>44552</v>
      </c>
      <c r="G225" t="str">
        <f>IFERROR(IF((F225-F224)&gt;1,(LARGE(F225:$F225,1)-LARGE(F$214:$F225,2))-1,""),"")</f>
        <v/>
      </c>
    </row>
    <row r="226" spans="1:7">
      <c r="A226" s="85" t="s">
        <v>44030</v>
      </c>
      <c r="B226">
        <v>299.89999999999998</v>
      </c>
      <c r="C226">
        <v>299.89999999999998</v>
      </c>
      <c r="D226">
        <v>2</v>
      </c>
      <c r="E226">
        <v>793</v>
      </c>
      <c r="F226" s="70">
        <v>44553</v>
      </c>
      <c r="G226" t="str">
        <f>IFERROR(IF((F226-F225)&gt;1,(LARGE(F226:$F226,1)-LARGE(F$214:$F226,2))-1,""),"")</f>
        <v/>
      </c>
    </row>
    <row r="227" spans="1:7">
      <c r="A227" s="88"/>
      <c r="B227">
        <v>299.89999999999998</v>
      </c>
      <c r="C227">
        <v>299.89999999999998</v>
      </c>
      <c r="D227">
        <v>2</v>
      </c>
      <c r="E227">
        <v>9581</v>
      </c>
      <c r="F227" s="70">
        <v>44554</v>
      </c>
      <c r="G227" t="str">
        <f>IFERROR(IF((F227-F226)&gt;1,(LARGE(F227:$F227,1)-LARGE(F$214:$F227,2))-1,""),"")</f>
        <v/>
      </c>
    </row>
    <row r="228" spans="1:7">
      <c r="A228" s="65">
        <f>VLOOKUP(TradeSheet!A17,TypeIDs!B:C,2,FALSE)</f>
        <v>42694</v>
      </c>
      <c r="B228" t="s">
        <v>43998</v>
      </c>
      <c r="C228" t="s">
        <v>43999</v>
      </c>
      <c r="D228" t="s">
        <v>44000</v>
      </c>
      <c r="E228" t="s">
        <v>44001</v>
      </c>
      <c r="F228" t="s">
        <v>44009</v>
      </c>
      <c r="G228" t="s">
        <v>44008</v>
      </c>
    </row>
    <row r="229" spans="1:7">
      <c r="A229" s="65" t="str">
        <f>CONCATENATE(SwaggerURL,input016)</f>
        <v>https://esi.evetech.net/latest/markets/10000021/history/?datasource=tranquility&amp;type_id=42694</v>
      </c>
      <c r="B229">
        <v>3145</v>
      </c>
      <c r="C229">
        <v>3145</v>
      </c>
      <c r="D229">
        <v>1</v>
      </c>
      <c r="E229">
        <v>2000</v>
      </c>
      <c r="F229" s="70">
        <v>44538</v>
      </c>
      <c r="G229" t="str">
        <f>IFERROR(IF((F229-F228)&gt;1,(LARGE(F229:$F229,1)-LARGE(F$229:$F229,2))-1,""),"")</f>
        <v/>
      </c>
    </row>
    <row r="230" spans="1:7">
      <c r="A230" s="79" t="s">
        <v>44018</v>
      </c>
      <c r="B230">
        <v>3100</v>
      </c>
      <c r="C230">
        <v>3100</v>
      </c>
      <c r="D230">
        <v>1</v>
      </c>
      <c r="E230">
        <v>200</v>
      </c>
      <c r="F230" s="70">
        <v>44539</v>
      </c>
      <c r="G230" t="str">
        <f>IFERROR(IF((F230-F229)&gt;1,(LARGE(F230:$F230,1)-LARGE(F$229:$F230,2))-1,""),"")</f>
        <v/>
      </c>
    </row>
    <row r="231" spans="1:7">
      <c r="A231" s="78">
        <f>MAX(0,(CurrentDate-2)-F242)</f>
        <v>1</v>
      </c>
      <c r="B231">
        <v>999</v>
      </c>
      <c r="C231">
        <v>999</v>
      </c>
      <c r="D231">
        <v>1</v>
      </c>
      <c r="E231">
        <v>70</v>
      </c>
      <c r="F231" s="70">
        <v>44540</v>
      </c>
      <c r="G231" t="str">
        <f>IFERROR(IF((F231-F230)&gt;1,(LARGE(F231:$F231,1)-LARGE(F$229:$F231,2))-1,""),"")</f>
        <v/>
      </c>
    </row>
    <row r="232" spans="1:7">
      <c r="A232" s="79" t="s">
        <v>44026</v>
      </c>
      <c r="B232">
        <v>999</v>
      </c>
      <c r="C232">
        <v>999</v>
      </c>
      <c r="D232">
        <v>1</v>
      </c>
      <c r="E232">
        <v>1000</v>
      </c>
      <c r="F232" s="70">
        <v>44541</v>
      </c>
      <c r="G232" t="str">
        <f>IFERROR(IF((F232-F231)&gt;1,(LARGE(F232:$F232,1)-LARGE(F$229:$F232,2))-1,""),"")</f>
        <v/>
      </c>
    </row>
    <row r="233" spans="1:7">
      <c r="A233" s="83">
        <f>SUM(G236:G242)</f>
        <v>3</v>
      </c>
      <c r="B233">
        <v>3050</v>
      </c>
      <c r="C233">
        <v>3050</v>
      </c>
      <c r="D233">
        <v>1</v>
      </c>
      <c r="E233">
        <v>600</v>
      </c>
      <c r="F233" s="70">
        <v>44542</v>
      </c>
      <c r="G233" t="str">
        <f>IFERROR(IF((F233-F232)&gt;1,(LARGE(F233:$F233,1)-LARGE(F$229:$F233,2))-1,""),"")</f>
        <v/>
      </c>
    </row>
    <row r="234" spans="1:7">
      <c r="A234" s="79" t="s">
        <v>44029</v>
      </c>
      <c r="B234">
        <v>3050</v>
      </c>
      <c r="C234">
        <v>3050</v>
      </c>
      <c r="D234">
        <v>1</v>
      </c>
      <c r="E234">
        <v>250</v>
      </c>
      <c r="F234" s="70">
        <v>44543</v>
      </c>
      <c r="G234" t="str">
        <f>IFERROR(IF((F234-F233)&gt;1,(LARGE(F234:$F234,1)-LARGE(F$229:$F234,2))-1,""),"")</f>
        <v/>
      </c>
    </row>
    <row r="235" spans="1:7">
      <c r="A235" s="77">
        <f>(SUM(E229:E242)/(A231+14)+SUM(G229:G242))</f>
        <v>787.93333333333328</v>
      </c>
      <c r="B235">
        <v>3050</v>
      </c>
      <c r="C235">
        <v>3050</v>
      </c>
      <c r="D235">
        <v>1</v>
      </c>
      <c r="E235">
        <v>500</v>
      </c>
      <c r="F235" s="70">
        <v>44544</v>
      </c>
      <c r="G235" t="str">
        <f>IFERROR(IF((F235-F234)&gt;1,(LARGE(F235:$F235,1)-LARGE(F$229:$F235,2))-1,""),"")</f>
        <v/>
      </c>
    </row>
    <row r="236" spans="1:7">
      <c r="A236" s="77">
        <f>(SUM(E236:E242)/(A231+7)+SUM(G236:G242))</f>
        <v>897.25</v>
      </c>
      <c r="B236">
        <v>3143</v>
      </c>
      <c r="C236">
        <v>3143</v>
      </c>
      <c r="D236">
        <v>1</v>
      </c>
      <c r="E236">
        <v>300</v>
      </c>
      <c r="F236" s="70">
        <v>44547</v>
      </c>
      <c r="G236">
        <f>IFERROR(IF((F236-F235)&gt;1,(LARGE(F236:$F236,1)-LARGE(F$229:$F236,2))-1,""),"")</f>
        <v>2</v>
      </c>
    </row>
    <row r="237" spans="1:7">
      <c r="A237" s="79" t="s">
        <v>44028</v>
      </c>
      <c r="B237">
        <v>3050</v>
      </c>
      <c r="C237">
        <v>3050</v>
      </c>
      <c r="D237">
        <v>3</v>
      </c>
      <c r="E237">
        <v>3950</v>
      </c>
      <c r="F237" s="70">
        <v>44548</v>
      </c>
      <c r="G237" t="str">
        <f>IFERROR(IF((F237-F236)&gt;1,(LARGE(F237:$F237,1)-LARGE(F$229:$F237,2))-1,""),"")</f>
        <v/>
      </c>
    </row>
    <row r="238" spans="1:7">
      <c r="A238" s="77">
        <f>(SUM(D239:D242)/(A231+4)+SUM(G239:G242))</f>
        <v>2.2000000000000002</v>
      </c>
      <c r="B238">
        <v>3050</v>
      </c>
      <c r="C238">
        <v>3050</v>
      </c>
      <c r="D238">
        <v>2</v>
      </c>
      <c r="E238">
        <v>900</v>
      </c>
      <c r="F238" s="70">
        <v>44549</v>
      </c>
      <c r="G238" t="str">
        <f>IFERROR(IF((F238-F237)&gt;1,(LARGE(F238:$F238,1)-LARGE(F$229:$F238,2))-1,""),"")</f>
        <v/>
      </c>
    </row>
    <row r="239" spans="1:7">
      <c r="A239" s="85" t="s">
        <v>44027</v>
      </c>
      <c r="B239">
        <v>3000</v>
      </c>
      <c r="C239">
        <v>3000</v>
      </c>
      <c r="D239">
        <v>2</v>
      </c>
      <c r="E239">
        <v>304</v>
      </c>
      <c r="F239" s="70">
        <v>44550</v>
      </c>
      <c r="G239" t="str">
        <f>IFERROR(IF((F239-F238)&gt;1,(LARGE(F239:$F239,1)-LARGE(F$229:$F239,2))-1,""),"")</f>
        <v/>
      </c>
    </row>
    <row r="240" spans="1:7">
      <c r="A240" s="86">
        <f>IF(A233+A231&gt;10,"Look Up",AVERAGE(A235,A236))</f>
        <v>842.5916666666667</v>
      </c>
      <c r="B240">
        <v>3000</v>
      </c>
      <c r="C240">
        <v>3000</v>
      </c>
      <c r="D240">
        <v>2</v>
      </c>
      <c r="E240">
        <v>800</v>
      </c>
      <c r="F240" s="70">
        <v>44551</v>
      </c>
      <c r="G240" t="str">
        <f>IFERROR(IF((F240-F239)&gt;1,(LARGE(F240:$F240,1)-LARGE(F$229:$F240,2))-1,""),"")</f>
        <v/>
      </c>
    </row>
    <row r="241" spans="1:7">
      <c r="A241" s="85" t="s">
        <v>44030</v>
      </c>
      <c r="B241">
        <v>2999</v>
      </c>
      <c r="C241">
        <v>2999</v>
      </c>
      <c r="D241">
        <v>1</v>
      </c>
      <c r="E241">
        <v>300</v>
      </c>
      <c r="F241" s="70">
        <v>44552</v>
      </c>
      <c r="G241" t="str">
        <f>IFERROR(IF((F241-F240)&gt;1,(LARGE(F241:$F241,1)-LARGE(F$229:$F241,2))-1,""),"")</f>
        <v/>
      </c>
    </row>
    <row r="242" spans="1:7">
      <c r="A242" s="88"/>
      <c r="B242">
        <v>2950</v>
      </c>
      <c r="C242">
        <v>2950</v>
      </c>
      <c r="D242">
        <v>1</v>
      </c>
      <c r="E242">
        <v>600</v>
      </c>
      <c r="F242" s="70">
        <v>44554</v>
      </c>
      <c r="G242">
        <f>IFERROR(IF((F242-F241)&gt;1,(LARGE(F242:$F242,1)-LARGE(F$229:$F242,2))-1,""),"")</f>
        <v>1</v>
      </c>
    </row>
    <row r="243" spans="1:7">
      <c r="A243" s="65">
        <f>VLOOKUP(TradeSheet!A18,TypeIDs!B:C,2,FALSE)</f>
        <v>42696</v>
      </c>
      <c r="B243" t="s">
        <v>43998</v>
      </c>
      <c r="C243" t="s">
        <v>43999</v>
      </c>
      <c r="D243" t="s">
        <v>44000</v>
      </c>
      <c r="E243" t="s">
        <v>44001</v>
      </c>
      <c r="F243" t="s">
        <v>44009</v>
      </c>
      <c r="G243" t="s">
        <v>44008</v>
      </c>
    </row>
    <row r="244" spans="1:7">
      <c r="A244" s="65" t="str">
        <f>CONCATENATE(SwaggerURL,input017)</f>
        <v>https://esi.evetech.net/latest/markets/10000021/history/?datasource=tranquility&amp;type_id=42696</v>
      </c>
      <c r="B244">
        <v>1038</v>
      </c>
      <c r="C244">
        <v>1038</v>
      </c>
      <c r="D244">
        <v>1</v>
      </c>
      <c r="E244">
        <v>214</v>
      </c>
      <c r="F244" s="70">
        <v>44536</v>
      </c>
      <c r="G244" t="str">
        <f>IFERROR(IF((F244-F243)&gt;1,(LARGE(F244:$F244,1)-LARGE(F$244:$F244,2))-1,""),"")</f>
        <v/>
      </c>
    </row>
    <row r="245" spans="1:7">
      <c r="A245" s="79" t="s">
        <v>44018</v>
      </c>
      <c r="B245">
        <v>1039</v>
      </c>
      <c r="C245">
        <v>1039</v>
      </c>
      <c r="D245">
        <v>5</v>
      </c>
      <c r="E245">
        <v>10504</v>
      </c>
      <c r="F245" s="70">
        <v>44537</v>
      </c>
      <c r="G245" t="str">
        <f>IFERROR(IF((F245-F244)&gt;1,(LARGE(F245:$F245,1)-LARGE(F$244:$F245,2))-1,""),"")</f>
        <v/>
      </c>
    </row>
    <row r="246" spans="1:7">
      <c r="A246" s="78">
        <f>MAX(0,(CurrentDate-2)-F257)</f>
        <v>1</v>
      </c>
      <c r="B246">
        <v>1039</v>
      </c>
      <c r="C246">
        <v>1039</v>
      </c>
      <c r="D246">
        <v>5</v>
      </c>
      <c r="E246">
        <v>1700</v>
      </c>
      <c r="F246" s="70">
        <v>44539</v>
      </c>
      <c r="G246">
        <f>IFERROR(IF((F246-F245)&gt;1,(LARGE(F246:$F246,1)-LARGE(F$244:$F246,2))-1,""),"")</f>
        <v>1</v>
      </c>
    </row>
    <row r="247" spans="1:7">
      <c r="A247" s="79" t="s">
        <v>44026</v>
      </c>
      <c r="B247">
        <v>999</v>
      </c>
      <c r="C247">
        <v>999</v>
      </c>
      <c r="D247">
        <v>2</v>
      </c>
      <c r="E247">
        <v>570</v>
      </c>
      <c r="F247" s="70">
        <v>44540</v>
      </c>
      <c r="G247" t="str">
        <f>IFERROR(IF((F247-F246)&gt;1,(LARGE(F247:$F247,1)-LARGE(F$244:$F247,2))-1,""),"")</f>
        <v/>
      </c>
    </row>
    <row r="248" spans="1:7">
      <c r="A248" s="83">
        <f>SUM(G251:G257)</f>
        <v>4</v>
      </c>
      <c r="B248">
        <v>999</v>
      </c>
      <c r="C248">
        <v>999</v>
      </c>
      <c r="D248">
        <v>7</v>
      </c>
      <c r="E248">
        <v>3700</v>
      </c>
      <c r="F248" s="70">
        <v>44541</v>
      </c>
      <c r="G248" t="str">
        <f>IFERROR(IF((F248-F247)&gt;1,(LARGE(F248:$F248,1)-LARGE(F$244:$F248,2))-1,""),"")</f>
        <v/>
      </c>
    </row>
    <row r="249" spans="1:7">
      <c r="A249" s="79" t="s">
        <v>44029</v>
      </c>
      <c r="B249">
        <v>1065</v>
      </c>
      <c r="C249">
        <v>1065</v>
      </c>
      <c r="D249">
        <v>1</v>
      </c>
      <c r="E249">
        <v>1000</v>
      </c>
      <c r="F249" s="70">
        <v>44542</v>
      </c>
      <c r="G249" t="str">
        <f>IFERROR(IF((F249-F248)&gt;1,(LARGE(F249:$F249,1)-LARGE(F$244:$F249,2))-1,""),"")</f>
        <v/>
      </c>
    </row>
    <row r="250" spans="1:7">
      <c r="A250" s="77">
        <f>(SUM(E244:E257)/(A246+14)+SUM(G244:G257))</f>
        <v>2898.3333333333335</v>
      </c>
      <c r="B250">
        <v>1200</v>
      </c>
      <c r="C250">
        <v>1200</v>
      </c>
      <c r="D250">
        <v>5</v>
      </c>
      <c r="E250">
        <v>12268</v>
      </c>
      <c r="F250" s="70">
        <v>44543</v>
      </c>
      <c r="G250" t="str">
        <f>IFERROR(IF((F250-F249)&gt;1,(LARGE(F250:$F250,1)-LARGE(F$244:$F250,2))-1,""),"")</f>
        <v/>
      </c>
    </row>
    <row r="251" spans="1:7">
      <c r="A251" s="77">
        <f>(SUM(E251:E257)/(A246+7)+SUM(G251:G257))</f>
        <v>1684.5</v>
      </c>
      <c r="B251">
        <v>1295</v>
      </c>
      <c r="C251">
        <v>1295</v>
      </c>
      <c r="D251">
        <v>1</v>
      </c>
      <c r="E251">
        <v>500</v>
      </c>
      <c r="F251" s="70">
        <v>44544</v>
      </c>
      <c r="G251" t="str">
        <f>IFERROR(IF((F251-F250)&gt;1,(LARGE(F251:$F251,1)-LARGE(F$244:$F251,2))-1,""),"")</f>
        <v/>
      </c>
    </row>
    <row r="252" spans="1:7">
      <c r="A252" s="79" t="s">
        <v>44028</v>
      </c>
      <c r="B252">
        <v>1295</v>
      </c>
      <c r="C252">
        <v>1295</v>
      </c>
      <c r="D252">
        <v>1</v>
      </c>
      <c r="E252">
        <v>1000</v>
      </c>
      <c r="F252" s="70">
        <v>44546</v>
      </c>
      <c r="G252">
        <f>IFERROR(IF((F252-F251)&gt;1,(LARGE(F252:$F252,1)-LARGE(F$244:$F252,2))-1,""),"")</f>
        <v>1</v>
      </c>
    </row>
    <row r="253" spans="1:7">
      <c r="A253" s="77">
        <f>(SUM(D254:D257)/(A246+4)+SUM(G254:G257))</f>
        <v>4.2</v>
      </c>
      <c r="B253">
        <v>2500</v>
      </c>
      <c r="C253">
        <v>2500</v>
      </c>
      <c r="D253">
        <v>3</v>
      </c>
      <c r="E253">
        <v>900</v>
      </c>
      <c r="F253" s="70">
        <v>44548</v>
      </c>
      <c r="G253">
        <f>IFERROR(IF((F253-F252)&gt;1,(LARGE(F253:$F253,1)-LARGE(F$244:$F253,2))-1,""),"")</f>
        <v>1</v>
      </c>
    </row>
    <row r="254" spans="1:7">
      <c r="A254" s="85" t="s">
        <v>44027</v>
      </c>
      <c r="B254">
        <v>2450</v>
      </c>
      <c r="C254">
        <v>2450</v>
      </c>
      <c r="D254">
        <v>3</v>
      </c>
      <c r="E254">
        <v>3100</v>
      </c>
      <c r="F254" s="70">
        <v>44549</v>
      </c>
      <c r="G254" t="str">
        <f>IFERROR(IF((F254-F253)&gt;1,(LARGE(F254:$F254,1)-LARGE(F$244:$F254,2))-1,""),"")</f>
        <v/>
      </c>
    </row>
    <row r="255" spans="1:7">
      <c r="A255" s="86">
        <f>IF(A248+A246&gt;10,"Look Up",AVERAGE(A250,A251))</f>
        <v>2291.416666666667</v>
      </c>
      <c r="B255">
        <v>2500</v>
      </c>
      <c r="C255">
        <v>2500</v>
      </c>
      <c r="D255">
        <v>2</v>
      </c>
      <c r="E255">
        <v>600</v>
      </c>
      <c r="F255" s="70">
        <v>44550</v>
      </c>
      <c r="G255" t="str">
        <f>IFERROR(IF((F255-F254)&gt;1,(LARGE(F255:$F255,1)-LARGE(F$244:$F255,2))-1,""),"")</f>
        <v/>
      </c>
    </row>
    <row r="256" spans="1:7">
      <c r="A256" s="85" t="s">
        <v>44030</v>
      </c>
      <c r="B256">
        <v>2500</v>
      </c>
      <c r="C256">
        <v>2500</v>
      </c>
      <c r="D256">
        <v>5</v>
      </c>
      <c r="E256">
        <v>6744</v>
      </c>
      <c r="F256" s="70">
        <v>44551</v>
      </c>
      <c r="G256" t="str">
        <f>IFERROR(IF((F256-F255)&gt;1,(LARGE(F256:$F256,1)-LARGE(F$244:$F256,2))-1,""),"")</f>
        <v/>
      </c>
    </row>
    <row r="257" spans="1:7">
      <c r="A257" s="88"/>
      <c r="B257">
        <v>2365</v>
      </c>
      <c r="C257">
        <v>2365</v>
      </c>
      <c r="D257">
        <v>1</v>
      </c>
      <c r="E257">
        <v>600</v>
      </c>
      <c r="F257" s="70">
        <v>44554</v>
      </c>
      <c r="G257">
        <f>IFERROR(IF((F257-F256)&gt;1,(LARGE(F257:$F257,1)-LARGE(F$244:$F257,2))-1,""),"")</f>
        <v>2</v>
      </c>
    </row>
    <row r="258" spans="1:7">
      <c r="A258" s="65">
        <f>VLOOKUP(TradeSheet!A19,TypeIDs!B:C,2,FALSE)</f>
        <v>42695</v>
      </c>
      <c r="B258" t="s">
        <v>43998</v>
      </c>
      <c r="C258" t="s">
        <v>43999</v>
      </c>
      <c r="D258" t="s">
        <v>44000</v>
      </c>
      <c r="E258" t="s">
        <v>44001</v>
      </c>
      <c r="F258" t="s">
        <v>44009</v>
      </c>
      <c r="G258" t="s">
        <v>44008</v>
      </c>
    </row>
    <row r="259" spans="1:7">
      <c r="A259" s="65" t="str">
        <f>CONCATENATE(SwaggerURL,input018)</f>
        <v>https://esi.evetech.net/latest/markets/10000021/history/?datasource=tranquility&amp;type_id=42695</v>
      </c>
      <c r="B259">
        <v>1400</v>
      </c>
      <c r="C259">
        <v>1400</v>
      </c>
      <c r="D259">
        <v>2</v>
      </c>
      <c r="E259">
        <v>321</v>
      </c>
      <c r="F259" s="70">
        <v>44537</v>
      </c>
      <c r="G259" t="str">
        <f>IFERROR(IF((F259-F258)&gt;1,(LARGE(F259:$F259,1)-LARGE(F$259:$F259,2))-1,""),"")</f>
        <v/>
      </c>
    </row>
    <row r="260" spans="1:7">
      <c r="A260" s="79" t="s">
        <v>44018</v>
      </c>
      <c r="B260">
        <v>1400</v>
      </c>
      <c r="C260">
        <v>1400</v>
      </c>
      <c r="D260">
        <v>3</v>
      </c>
      <c r="E260">
        <v>3200</v>
      </c>
      <c r="F260" s="70">
        <v>44539</v>
      </c>
      <c r="G260">
        <f>IFERROR(IF((F260-F259)&gt;1,(LARGE(F260:$F260,1)-LARGE(F$259:$F260,2))-1,""),"")</f>
        <v>1</v>
      </c>
    </row>
    <row r="261" spans="1:7">
      <c r="A261" s="78">
        <f>MAX(0,(CurrentDate-2)-F272)</f>
        <v>1</v>
      </c>
      <c r="B261">
        <v>1399</v>
      </c>
      <c r="C261">
        <v>1399</v>
      </c>
      <c r="D261">
        <v>2</v>
      </c>
      <c r="E261">
        <v>1070</v>
      </c>
      <c r="F261" s="70">
        <v>44540</v>
      </c>
      <c r="G261" t="str">
        <f>IFERROR(IF((F261-F260)&gt;1,(LARGE(F261:$F261,1)-LARGE(F$259:$F261,2))-1,""),"")</f>
        <v/>
      </c>
    </row>
    <row r="262" spans="1:7">
      <c r="A262" s="79" t="s">
        <v>44026</v>
      </c>
      <c r="B262">
        <v>1399</v>
      </c>
      <c r="C262">
        <v>1399</v>
      </c>
      <c r="D262">
        <v>4</v>
      </c>
      <c r="E262">
        <v>6400</v>
      </c>
      <c r="F262" s="70">
        <v>44541</v>
      </c>
      <c r="G262" t="str">
        <f>IFERROR(IF((F262-F261)&gt;1,(LARGE(F262:$F262,1)-LARGE(F$259:$F262,2))-1,""),"")</f>
        <v/>
      </c>
    </row>
    <row r="263" spans="1:7">
      <c r="A263" s="83">
        <f>SUM(G266:G272)</f>
        <v>3</v>
      </c>
      <c r="B263">
        <v>1399</v>
      </c>
      <c r="C263">
        <v>1399</v>
      </c>
      <c r="D263">
        <v>1</v>
      </c>
      <c r="E263">
        <v>600</v>
      </c>
      <c r="F263" s="70">
        <v>44542</v>
      </c>
      <c r="G263" t="str">
        <f>IFERROR(IF((F263-F262)&gt;1,(LARGE(F263:$F263,1)-LARGE(F$259:$F263,2))-1,""),"")</f>
        <v/>
      </c>
    </row>
    <row r="264" spans="1:7">
      <c r="A264" s="79" t="s">
        <v>44029</v>
      </c>
      <c r="B264">
        <v>1400</v>
      </c>
      <c r="C264">
        <v>1400</v>
      </c>
      <c r="D264">
        <v>5</v>
      </c>
      <c r="E264">
        <v>13486</v>
      </c>
      <c r="F264" s="70">
        <v>44543</v>
      </c>
      <c r="G264" t="str">
        <f>IFERROR(IF((F264-F263)&gt;1,(LARGE(F264:$F264,1)-LARGE(F$259:$F264,2))-1,""),"")</f>
        <v/>
      </c>
    </row>
    <row r="265" spans="1:7">
      <c r="A265" s="77">
        <f>(SUM(E259:E272)/(A261+14)+SUM(G259:G272))</f>
        <v>3920.6666666666665</v>
      </c>
      <c r="B265">
        <v>1350</v>
      </c>
      <c r="C265">
        <v>1350</v>
      </c>
      <c r="D265">
        <v>2</v>
      </c>
      <c r="E265">
        <v>1100</v>
      </c>
      <c r="F265" s="70">
        <v>44544</v>
      </c>
      <c r="G265" t="str">
        <f>IFERROR(IF((F265-F264)&gt;1,(LARGE(F265:$F265,1)-LARGE(F$259:$F265,2))-1,""),"")</f>
        <v/>
      </c>
    </row>
    <row r="266" spans="1:7">
      <c r="A266" s="77">
        <f>(SUM(E266:E272)/(A261+7)+SUM(G266:G272))</f>
        <v>4074.625</v>
      </c>
      <c r="B266">
        <v>1400</v>
      </c>
      <c r="C266">
        <v>1400</v>
      </c>
      <c r="D266">
        <v>3</v>
      </c>
      <c r="E266">
        <v>25900</v>
      </c>
      <c r="F266" s="70">
        <v>44546</v>
      </c>
      <c r="G266">
        <f>IFERROR(IF((F266-F265)&gt;1,(LARGE(F266:$F266,1)-LARGE(F$259:$F266,2))-1,""),"")</f>
        <v>1</v>
      </c>
    </row>
    <row r="267" spans="1:7">
      <c r="A267" s="79" t="s">
        <v>44028</v>
      </c>
      <c r="B267">
        <v>950</v>
      </c>
      <c r="C267">
        <v>950</v>
      </c>
      <c r="D267">
        <v>2</v>
      </c>
      <c r="E267">
        <v>1600</v>
      </c>
      <c r="F267" s="70">
        <v>44548</v>
      </c>
      <c r="G267">
        <f>IFERROR(IF((F267-F266)&gt;1,(LARGE(F267:$F267,1)-LARGE(F$259:$F267,2))-1,""),"")</f>
        <v>1</v>
      </c>
    </row>
    <row r="268" spans="1:7">
      <c r="A268" s="77">
        <f>(SUM(D269:D272)/(A261+4)+SUM(G269:G272))</f>
        <v>3</v>
      </c>
      <c r="B268">
        <v>949</v>
      </c>
      <c r="C268">
        <v>949</v>
      </c>
      <c r="D268">
        <v>3</v>
      </c>
      <c r="E268">
        <v>944</v>
      </c>
      <c r="F268" s="70">
        <v>44549</v>
      </c>
      <c r="G268" t="str">
        <f>IFERROR(IF((F268-F267)&gt;1,(LARGE(F268:$F268,1)-LARGE(F$259:$F268,2))-1,""),"")</f>
        <v/>
      </c>
    </row>
    <row r="269" spans="1:7">
      <c r="A269" s="85" t="s">
        <v>44027</v>
      </c>
      <c r="B269">
        <v>949</v>
      </c>
      <c r="C269">
        <v>949</v>
      </c>
      <c r="D269">
        <v>5</v>
      </c>
      <c r="E269">
        <v>604</v>
      </c>
      <c r="F269" s="70">
        <v>44550</v>
      </c>
      <c r="G269" t="str">
        <f>IFERROR(IF((F269-F268)&gt;1,(LARGE(F269:$F269,1)-LARGE(F$259:$F269,2))-1,""),"")</f>
        <v/>
      </c>
    </row>
    <row r="270" spans="1:7">
      <c r="A270" s="86">
        <f>IF(A263+A261&gt;10,"Look Up",AVERAGE(A265,A266))</f>
        <v>3997.645833333333</v>
      </c>
      <c r="B270">
        <v>1500</v>
      </c>
      <c r="C270">
        <v>1500</v>
      </c>
      <c r="D270">
        <v>3</v>
      </c>
      <c r="E270">
        <v>2325</v>
      </c>
      <c r="F270" s="70">
        <v>44551</v>
      </c>
      <c r="G270" t="str">
        <f>IFERROR(IF((F270-F269)&gt;1,(LARGE(F270:$F270,1)-LARGE(F$259:$F270,2))-1,""),"")</f>
        <v/>
      </c>
    </row>
    <row r="271" spans="1:7">
      <c r="A271" s="85" t="s">
        <v>44030</v>
      </c>
      <c r="B271">
        <v>1499</v>
      </c>
      <c r="C271">
        <v>1499</v>
      </c>
      <c r="D271">
        <v>1</v>
      </c>
      <c r="E271">
        <v>600</v>
      </c>
      <c r="F271" s="70">
        <v>44553</v>
      </c>
      <c r="G271">
        <f>IFERROR(IF((F271-F270)&gt;1,(LARGE(F271:$F271,1)-LARGE(F$259:$F271,2))-1,""),"")</f>
        <v>1</v>
      </c>
    </row>
    <row r="272" spans="1:7">
      <c r="A272" s="88"/>
      <c r="B272">
        <v>1499</v>
      </c>
      <c r="C272">
        <v>1499</v>
      </c>
      <c r="D272">
        <v>1</v>
      </c>
      <c r="E272">
        <v>600</v>
      </c>
      <c r="F272" s="70">
        <v>44554</v>
      </c>
      <c r="G272" t="str">
        <f>IFERROR(IF((F272-F271)&gt;1,(LARGE(F272:$F272,1)-LARGE(F$259:$F272,2))-1,""),"")</f>
        <v/>
      </c>
    </row>
    <row r="273" spans="1:7">
      <c r="A273" s="65">
        <f>VLOOKUP(TradeSheet!A20,TypeIDs!B:C,2,FALSE)</f>
        <v>42838</v>
      </c>
      <c r="B273" t="s">
        <v>43998</v>
      </c>
      <c r="C273" t="s">
        <v>43999</v>
      </c>
      <c r="D273" t="s">
        <v>44000</v>
      </c>
      <c r="E273" t="s">
        <v>44001</v>
      </c>
      <c r="F273" t="s">
        <v>44009</v>
      </c>
      <c r="G273" t="s">
        <v>44008</v>
      </c>
    </row>
    <row r="274" spans="1:7">
      <c r="A274" s="65" t="str">
        <f>CONCATENATE(SwaggerURL,input019)</f>
        <v>https://esi.evetech.net/latest/markets/10000021/history/?datasource=tranquility&amp;type_id=42838</v>
      </c>
      <c r="B274">
        <v>777</v>
      </c>
      <c r="C274">
        <v>777</v>
      </c>
      <c r="D274">
        <v>2</v>
      </c>
      <c r="E274">
        <v>900</v>
      </c>
      <c r="F274" s="70">
        <v>44538</v>
      </c>
      <c r="G274" t="str">
        <f>IFERROR(IF((F274-F273)&gt;1,(LARGE(F274:$F274,1)-LARGE(F$274:$F274,2))-1,""),"")</f>
        <v/>
      </c>
    </row>
    <row r="275" spans="1:7">
      <c r="A275" s="79" t="s">
        <v>44018</v>
      </c>
      <c r="B275">
        <v>777</v>
      </c>
      <c r="C275">
        <v>777</v>
      </c>
      <c r="D275">
        <v>4</v>
      </c>
      <c r="E275">
        <v>801</v>
      </c>
      <c r="F275" s="70">
        <v>44539</v>
      </c>
      <c r="G275" t="str">
        <f>IFERROR(IF((F275-F274)&gt;1,(LARGE(F275:$F275,1)-LARGE(F$274:$F275,2))-1,""),"")</f>
        <v/>
      </c>
    </row>
    <row r="276" spans="1:7">
      <c r="A276" s="78">
        <f>MAX(0,(CurrentDate-2)-F287)</f>
        <v>1</v>
      </c>
      <c r="B276">
        <v>999</v>
      </c>
      <c r="C276">
        <v>999</v>
      </c>
      <c r="D276">
        <v>2</v>
      </c>
      <c r="E276">
        <v>110</v>
      </c>
      <c r="F276" s="70">
        <v>44540</v>
      </c>
      <c r="G276" t="str">
        <f>IFERROR(IF((F276-F275)&gt;1,(LARGE(F276:$F276,1)-LARGE(F$274:$F276,2))-1,""),"")</f>
        <v/>
      </c>
    </row>
    <row r="277" spans="1:7">
      <c r="A277" s="79" t="s">
        <v>44026</v>
      </c>
      <c r="B277">
        <v>777</v>
      </c>
      <c r="C277">
        <v>777</v>
      </c>
      <c r="D277">
        <v>2</v>
      </c>
      <c r="E277">
        <v>1033</v>
      </c>
      <c r="F277" s="70">
        <v>44541</v>
      </c>
      <c r="G277" t="str">
        <f>IFERROR(IF((F277-F276)&gt;1,(LARGE(F277:$F277,1)-LARGE(F$274:$F277,2))-1,""),"")</f>
        <v/>
      </c>
    </row>
    <row r="278" spans="1:7">
      <c r="A278" s="83">
        <f>SUM(G281:G287)</f>
        <v>3</v>
      </c>
      <c r="B278">
        <v>777</v>
      </c>
      <c r="C278">
        <v>777</v>
      </c>
      <c r="D278">
        <v>1</v>
      </c>
      <c r="E278">
        <v>600</v>
      </c>
      <c r="F278" s="70">
        <v>44542</v>
      </c>
      <c r="G278" t="str">
        <f>IFERROR(IF((F278-F277)&gt;1,(LARGE(F278:$F278,1)-LARGE(F$274:$F278,2))-1,""),"")</f>
        <v/>
      </c>
    </row>
    <row r="279" spans="1:7">
      <c r="A279" s="79" t="s">
        <v>44029</v>
      </c>
      <c r="B279">
        <v>775</v>
      </c>
      <c r="C279">
        <v>775</v>
      </c>
      <c r="D279">
        <v>1</v>
      </c>
      <c r="E279">
        <v>300</v>
      </c>
      <c r="F279" s="70">
        <v>44543</v>
      </c>
      <c r="G279" t="str">
        <f>IFERROR(IF((F279-F278)&gt;1,(LARGE(F279:$F279,1)-LARGE(F$274:$F279,2))-1,""),"")</f>
        <v/>
      </c>
    </row>
    <row r="280" spans="1:7">
      <c r="A280" s="77">
        <f>(SUM(E274:E287)/(A276+14)+SUM(G274:G287))</f>
        <v>2092.3333333333335</v>
      </c>
      <c r="B280">
        <v>777</v>
      </c>
      <c r="C280">
        <v>777</v>
      </c>
      <c r="D280">
        <v>2</v>
      </c>
      <c r="E280">
        <v>2300</v>
      </c>
      <c r="F280" s="70">
        <v>44544</v>
      </c>
      <c r="G280" t="str">
        <f>IFERROR(IF((F280-F279)&gt;1,(LARGE(F280:$F280,1)-LARGE(F$274:$F280,2))-1,""),"")</f>
        <v/>
      </c>
    </row>
    <row r="281" spans="1:7">
      <c r="A281" s="77">
        <f>(SUM(E281:E287)/(A276+7)+SUM(G281:G287))</f>
        <v>3165</v>
      </c>
      <c r="B281">
        <v>777</v>
      </c>
      <c r="C281">
        <v>777</v>
      </c>
      <c r="D281">
        <v>1</v>
      </c>
      <c r="E281">
        <v>20796</v>
      </c>
      <c r="F281" s="70">
        <v>44546</v>
      </c>
      <c r="G281">
        <f>IFERROR(IF((F281-F280)&gt;1,(LARGE(F281:$F281,1)-LARGE(F$274:$F281,2))-1,""),"")</f>
        <v>1</v>
      </c>
    </row>
    <row r="282" spans="1:7">
      <c r="A282" s="79" t="s">
        <v>44028</v>
      </c>
      <c r="B282">
        <v>777</v>
      </c>
      <c r="C282">
        <v>777</v>
      </c>
      <c r="D282">
        <v>4</v>
      </c>
      <c r="E282">
        <v>1800</v>
      </c>
      <c r="F282" s="70">
        <v>44548</v>
      </c>
      <c r="G282">
        <f>IFERROR(IF((F282-F281)&gt;1,(LARGE(F282:$F282,1)-LARGE(F$274:$F282,2))-1,""),"")</f>
        <v>1</v>
      </c>
    </row>
    <row r="283" spans="1:7">
      <c r="A283" s="77">
        <f>(SUM(D284:D287)/(A276+4)+SUM(G284:G287))</f>
        <v>1.8</v>
      </c>
      <c r="B283">
        <v>777</v>
      </c>
      <c r="C283">
        <v>777</v>
      </c>
      <c r="D283">
        <v>1</v>
      </c>
      <c r="E283">
        <v>600</v>
      </c>
      <c r="F283" s="70">
        <v>44549</v>
      </c>
      <c r="G283" t="str">
        <f>IFERROR(IF((F283-F282)&gt;1,(LARGE(F283:$F283,1)-LARGE(F$274:$F283,2))-1,""),"")</f>
        <v/>
      </c>
    </row>
    <row r="284" spans="1:7">
      <c r="A284" s="85" t="s">
        <v>44027</v>
      </c>
      <c r="B284">
        <v>777</v>
      </c>
      <c r="C284">
        <v>777</v>
      </c>
      <c r="D284">
        <v>1</v>
      </c>
      <c r="E284">
        <v>600</v>
      </c>
      <c r="F284" s="70">
        <v>44550</v>
      </c>
      <c r="G284" t="str">
        <f>IFERROR(IF((F284-F283)&gt;1,(LARGE(F284:$F284,1)-LARGE(F$274:$F284,2))-1,""),"")</f>
        <v/>
      </c>
    </row>
    <row r="285" spans="1:7">
      <c r="A285" s="86">
        <f>IF(A278+A276&gt;10,"Look Up",AVERAGE(A280,A281))</f>
        <v>2628.666666666667</v>
      </c>
      <c r="B285">
        <v>999</v>
      </c>
      <c r="C285">
        <v>999</v>
      </c>
      <c r="D285">
        <v>1</v>
      </c>
      <c r="E285">
        <v>300</v>
      </c>
      <c r="F285" s="70">
        <v>44551</v>
      </c>
      <c r="G285" t="str">
        <f>IFERROR(IF((F285-F284)&gt;1,(LARGE(F285:$F285,1)-LARGE(F$274:$F285,2))-1,""),"")</f>
        <v/>
      </c>
    </row>
    <row r="286" spans="1:7">
      <c r="A286" s="85" t="s">
        <v>44030</v>
      </c>
      <c r="B286">
        <v>777</v>
      </c>
      <c r="C286">
        <v>777</v>
      </c>
      <c r="D286">
        <v>1</v>
      </c>
      <c r="E286">
        <v>600</v>
      </c>
      <c r="F286" s="70">
        <v>44553</v>
      </c>
      <c r="G286">
        <f>IFERROR(IF((F286-F285)&gt;1,(LARGE(F286:$F286,1)-LARGE(F$274:$F286,2))-1,""),"")</f>
        <v>1</v>
      </c>
    </row>
    <row r="287" spans="1:7">
      <c r="A287" s="88"/>
      <c r="B287">
        <v>777</v>
      </c>
      <c r="C287">
        <v>777</v>
      </c>
      <c r="D287">
        <v>1</v>
      </c>
      <c r="E287">
        <v>600</v>
      </c>
      <c r="F287" s="70">
        <v>44554</v>
      </c>
      <c r="G287" t="str">
        <f>IFERROR(IF((F287-F286)&gt;1,(LARGE(F287:$F287,1)-LARGE(F$274:$F287,2))-1,""),"")</f>
        <v/>
      </c>
    </row>
    <row r="288" spans="1:7">
      <c r="A288" s="65">
        <f>VLOOKUP(TradeSheet!A21,TypeIDs!B:C,2,FALSE)</f>
        <v>42839</v>
      </c>
      <c r="B288" t="s">
        <v>43998</v>
      </c>
      <c r="C288" t="s">
        <v>43999</v>
      </c>
      <c r="D288" t="s">
        <v>44000</v>
      </c>
      <c r="E288" t="s">
        <v>44001</v>
      </c>
      <c r="F288" t="s">
        <v>44009</v>
      </c>
      <c r="G288" t="s">
        <v>44008</v>
      </c>
    </row>
    <row r="289" spans="1:7">
      <c r="A289" s="65" t="str">
        <f>CONCATENATE(SwaggerURL,input020)</f>
        <v>https://esi.evetech.net/latest/markets/10000021/history/?datasource=tranquility&amp;type_id=42839</v>
      </c>
      <c r="B289">
        <v>1000</v>
      </c>
      <c r="C289">
        <v>1000</v>
      </c>
      <c r="D289">
        <v>3</v>
      </c>
      <c r="E289">
        <v>1800</v>
      </c>
      <c r="F289" s="70">
        <v>44535</v>
      </c>
      <c r="G289" t="str">
        <f>IFERROR(IF((F289-F288)&gt;1,(LARGE(F289:$F289,1)-LARGE(F$289:$F289,2))-1,""),"")</f>
        <v/>
      </c>
    </row>
    <row r="290" spans="1:7">
      <c r="A290" s="79" t="s">
        <v>44018</v>
      </c>
      <c r="B290">
        <v>1000</v>
      </c>
      <c r="C290">
        <v>1000</v>
      </c>
      <c r="D290">
        <v>1</v>
      </c>
      <c r="E290">
        <v>300</v>
      </c>
      <c r="F290" s="70">
        <v>44537</v>
      </c>
      <c r="G290">
        <f>IFERROR(IF((F290-F289)&gt;1,(LARGE(F290:$F290,1)-LARGE(F$289:$F290,2))-1,""),"")</f>
        <v>1</v>
      </c>
    </row>
    <row r="291" spans="1:7">
      <c r="A291" s="78">
        <f>MAX(0,(CurrentDate-2)-F302)</f>
        <v>1</v>
      </c>
      <c r="B291">
        <v>1000</v>
      </c>
      <c r="C291">
        <v>1000</v>
      </c>
      <c r="D291">
        <v>1</v>
      </c>
      <c r="E291">
        <v>300</v>
      </c>
      <c r="F291" s="70">
        <v>44538</v>
      </c>
      <c r="G291" t="str">
        <f>IFERROR(IF((F291-F290)&gt;1,(LARGE(F291:$F291,1)-LARGE(F$289:$F291,2))-1,""),"")</f>
        <v/>
      </c>
    </row>
    <row r="292" spans="1:7">
      <c r="A292" s="79" t="s">
        <v>44026</v>
      </c>
      <c r="B292">
        <v>1000</v>
      </c>
      <c r="C292">
        <v>1000</v>
      </c>
      <c r="D292">
        <v>4</v>
      </c>
      <c r="E292">
        <v>800</v>
      </c>
      <c r="F292" s="70">
        <v>44539</v>
      </c>
      <c r="G292" t="str">
        <f>IFERROR(IF((F292-F291)&gt;1,(LARGE(F292:$F292,1)-LARGE(F$289:$F292,2))-1,""),"")</f>
        <v/>
      </c>
    </row>
    <row r="293" spans="1:7">
      <c r="A293" s="83">
        <f>SUM(G296:G302)</f>
        <v>4</v>
      </c>
      <c r="B293">
        <v>1000</v>
      </c>
      <c r="C293">
        <v>1000</v>
      </c>
      <c r="D293">
        <v>4</v>
      </c>
      <c r="E293">
        <v>490</v>
      </c>
      <c r="F293" s="70">
        <v>44540</v>
      </c>
      <c r="G293" t="str">
        <f>IFERROR(IF((F293-F292)&gt;1,(LARGE(F293:$F293,1)-LARGE(F$289:$F293,2))-1,""),"")</f>
        <v/>
      </c>
    </row>
    <row r="294" spans="1:7">
      <c r="A294" s="79" t="s">
        <v>44029</v>
      </c>
      <c r="B294">
        <v>1000</v>
      </c>
      <c r="C294">
        <v>1000</v>
      </c>
      <c r="D294">
        <v>2</v>
      </c>
      <c r="E294">
        <v>1033</v>
      </c>
      <c r="F294" s="70">
        <v>44541</v>
      </c>
      <c r="G294" t="str">
        <f>IFERROR(IF((F294-F293)&gt;1,(LARGE(F294:$F294,1)-LARGE(F$289:$F294,2))-1,""),"")</f>
        <v/>
      </c>
    </row>
    <row r="295" spans="1:7">
      <c r="A295" s="77">
        <f>(SUM(E289:E302)/(A291+14)+SUM(G289:G302))</f>
        <v>698.6</v>
      </c>
      <c r="B295">
        <v>900</v>
      </c>
      <c r="C295">
        <v>900</v>
      </c>
      <c r="D295">
        <v>1</v>
      </c>
      <c r="E295">
        <v>200</v>
      </c>
      <c r="F295" s="70">
        <v>44543</v>
      </c>
      <c r="G295">
        <f>IFERROR(IF((F295-F294)&gt;1,(LARGE(F295:$F295,1)-LARGE(F$289:$F295,2))-1,""),"")</f>
        <v>1</v>
      </c>
    </row>
    <row r="296" spans="1:7">
      <c r="A296" s="77">
        <f>(SUM(E296:E302)/(A291+7)+SUM(G296:G302))</f>
        <v>687.25</v>
      </c>
      <c r="B296">
        <v>1000</v>
      </c>
      <c r="C296">
        <v>1000</v>
      </c>
      <c r="D296">
        <v>3</v>
      </c>
      <c r="E296">
        <v>566</v>
      </c>
      <c r="F296" s="70">
        <v>44544</v>
      </c>
      <c r="G296" t="str">
        <f>IFERROR(IF((F296-F295)&gt;1,(LARGE(F296:$F296,1)-LARGE(F$289:$F296,2))-1,""),"")</f>
        <v/>
      </c>
    </row>
    <row r="297" spans="1:7">
      <c r="A297" s="79" t="s">
        <v>44028</v>
      </c>
      <c r="B297">
        <v>1000</v>
      </c>
      <c r="C297">
        <v>1000</v>
      </c>
      <c r="D297">
        <v>1</v>
      </c>
      <c r="E297">
        <v>300</v>
      </c>
      <c r="F297" s="70">
        <v>44547</v>
      </c>
      <c r="G297">
        <f>IFERROR(IF((F297-F296)&gt;1,(LARGE(F297:$F297,1)-LARGE(F$289:$F297,2))-1,""),"")</f>
        <v>2</v>
      </c>
    </row>
    <row r="298" spans="1:7">
      <c r="A298" s="77">
        <f>(SUM(D299:D302)/(A291+4)+SUM(G299:G302))</f>
        <v>3.2</v>
      </c>
      <c r="B298">
        <v>1000</v>
      </c>
      <c r="C298">
        <v>1000</v>
      </c>
      <c r="D298">
        <v>4</v>
      </c>
      <c r="E298">
        <v>1800</v>
      </c>
      <c r="F298" s="70">
        <v>44548</v>
      </c>
      <c r="G298" t="str">
        <f>IFERROR(IF((F298-F297)&gt;1,(LARGE(F298:$F298,1)-LARGE(F$289:$F298,2))-1,""),"")</f>
        <v/>
      </c>
    </row>
    <row r="299" spans="1:7">
      <c r="A299" s="85" t="s">
        <v>44027</v>
      </c>
      <c r="B299">
        <v>1000</v>
      </c>
      <c r="C299">
        <v>1000</v>
      </c>
      <c r="D299">
        <v>3</v>
      </c>
      <c r="E299">
        <v>700</v>
      </c>
      <c r="F299" s="70">
        <v>44549</v>
      </c>
      <c r="G299" t="str">
        <f>IFERROR(IF((F299-F298)&gt;1,(LARGE(F299:$F299,1)-LARGE(F$289:$F299,2))-1,""),"")</f>
        <v/>
      </c>
    </row>
    <row r="300" spans="1:7">
      <c r="A300" s="86">
        <f>IF(A293+A291&gt;10,"Look Up",AVERAGE(A295,A296))</f>
        <v>692.92499999999995</v>
      </c>
      <c r="B300">
        <v>974.9</v>
      </c>
      <c r="C300">
        <v>974.9</v>
      </c>
      <c r="D300">
        <v>1</v>
      </c>
      <c r="E300">
        <v>1200</v>
      </c>
      <c r="F300" s="70">
        <v>44550</v>
      </c>
      <c r="G300" t="str">
        <f>IFERROR(IF((F300-F299)&gt;1,(LARGE(F300:$F300,1)-LARGE(F$289:$F300,2))-1,""),"")</f>
        <v/>
      </c>
    </row>
    <row r="301" spans="1:7">
      <c r="A301" s="85" t="s">
        <v>44030</v>
      </c>
      <c r="B301">
        <v>999</v>
      </c>
      <c r="C301">
        <v>999</v>
      </c>
      <c r="D301">
        <v>1</v>
      </c>
      <c r="E301">
        <v>300</v>
      </c>
      <c r="F301" s="70">
        <v>44551</v>
      </c>
      <c r="G301" t="str">
        <f>IFERROR(IF((F301-F300)&gt;1,(LARGE(F301:$F301,1)-LARGE(F$289:$F301,2))-1,""),"")</f>
        <v/>
      </c>
    </row>
    <row r="302" spans="1:7">
      <c r="A302" s="88"/>
      <c r="B302">
        <v>700</v>
      </c>
      <c r="C302">
        <v>700</v>
      </c>
      <c r="D302">
        <v>1</v>
      </c>
      <c r="E302">
        <v>600</v>
      </c>
      <c r="F302" s="70">
        <v>44554</v>
      </c>
      <c r="G302">
        <f>IFERROR(IF((F302-F301)&gt;1,(LARGE(F302:$F302,1)-LARGE(F$289:$F302,2))-1,""),"")</f>
        <v>2</v>
      </c>
    </row>
    <row r="303" spans="1:7">
      <c r="A303" s="65">
        <f>VLOOKUP(TradeSheet!A22,TypeIDs!B:C,2,FALSE)</f>
        <v>42840</v>
      </c>
      <c r="B303" t="s">
        <v>43998</v>
      </c>
      <c r="C303" t="s">
        <v>43999</v>
      </c>
      <c r="D303" t="s">
        <v>44000</v>
      </c>
      <c r="E303" t="s">
        <v>44001</v>
      </c>
      <c r="F303" t="s">
        <v>44009</v>
      </c>
      <c r="G303" t="s">
        <v>44008</v>
      </c>
    </row>
    <row r="304" spans="1:7">
      <c r="A304" s="65" t="str">
        <f>CONCATENATE(SwaggerURL,input021)</f>
        <v>https://esi.evetech.net/latest/markets/10000021/history/?datasource=tranquility&amp;type_id=42840</v>
      </c>
      <c r="B304">
        <v>1000</v>
      </c>
      <c r="C304">
        <v>1000</v>
      </c>
      <c r="D304">
        <v>1</v>
      </c>
      <c r="E304">
        <v>600</v>
      </c>
      <c r="F304" s="70">
        <v>44537</v>
      </c>
      <c r="G304" t="str">
        <f>IFERROR(IF((F304-F303)&gt;1,(LARGE(F304:$F304,1)-LARGE(F$304:$F304,2))-1,""),"")</f>
        <v/>
      </c>
    </row>
    <row r="305" spans="1:7">
      <c r="A305" s="79" t="s">
        <v>44018</v>
      </c>
      <c r="B305">
        <v>1000</v>
      </c>
      <c r="C305">
        <v>1000</v>
      </c>
      <c r="D305">
        <v>2</v>
      </c>
      <c r="E305">
        <v>900</v>
      </c>
      <c r="F305" s="70">
        <v>44538</v>
      </c>
      <c r="G305" t="str">
        <f>IFERROR(IF((F305-F304)&gt;1,(LARGE(F305:$F305,1)-LARGE(F$304:$F305,2))-1,""),"")</f>
        <v/>
      </c>
    </row>
    <row r="306" spans="1:7">
      <c r="A306" s="78">
        <f>MAX(0,(CurrentDate-2)-F317)</f>
        <v>1</v>
      </c>
      <c r="B306">
        <v>1000</v>
      </c>
      <c r="C306">
        <v>1000</v>
      </c>
      <c r="D306">
        <v>6</v>
      </c>
      <c r="E306">
        <v>2392</v>
      </c>
      <c r="F306" s="70">
        <v>44539</v>
      </c>
      <c r="G306" t="str">
        <f>IFERROR(IF((F306-F305)&gt;1,(LARGE(F306:$F306,1)-LARGE(F$304:$F306,2))-1,""),"")</f>
        <v/>
      </c>
    </row>
    <row r="307" spans="1:7">
      <c r="A307" s="79" t="s">
        <v>44026</v>
      </c>
      <c r="B307">
        <v>1000</v>
      </c>
      <c r="C307">
        <v>1000</v>
      </c>
      <c r="D307">
        <v>3</v>
      </c>
      <c r="E307">
        <v>440</v>
      </c>
      <c r="F307" s="70">
        <v>44540</v>
      </c>
      <c r="G307" t="str">
        <f>IFERROR(IF((F307-F306)&gt;1,(LARGE(F307:$F307,1)-LARGE(F$304:$F307,2))-1,""),"")</f>
        <v/>
      </c>
    </row>
    <row r="308" spans="1:7">
      <c r="A308" s="83">
        <f>SUM(G311:G317)</f>
        <v>3</v>
      </c>
      <c r="B308">
        <v>1000</v>
      </c>
      <c r="C308">
        <v>1000</v>
      </c>
      <c r="D308">
        <v>4</v>
      </c>
      <c r="E308">
        <v>3037</v>
      </c>
      <c r="F308" s="70">
        <v>44541</v>
      </c>
      <c r="G308" t="str">
        <f>IFERROR(IF((F308-F307)&gt;1,(LARGE(F308:$F308,1)-LARGE(F$304:$F308,2))-1,""),"")</f>
        <v/>
      </c>
    </row>
    <row r="309" spans="1:7">
      <c r="A309" s="79" t="s">
        <v>44029</v>
      </c>
      <c r="B309">
        <v>1485</v>
      </c>
      <c r="C309">
        <v>1485</v>
      </c>
      <c r="D309">
        <v>2</v>
      </c>
      <c r="E309">
        <v>500</v>
      </c>
      <c r="F309" s="70">
        <v>44543</v>
      </c>
      <c r="G309">
        <f>IFERROR(IF((F309-F308)&gt;1,(LARGE(F309:$F309,1)-LARGE(F$304:$F309,2))-1,""),"")</f>
        <v>1</v>
      </c>
    </row>
    <row r="310" spans="1:7">
      <c r="A310" s="77">
        <f>(SUM(E304:E317)/(A306+14)+SUM(G304:G317))</f>
        <v>1047.0666666666666</v>
      </c>
      <c r="B310">
        <v>1485</v>
      </c>
      <c r="C310">
        <v>1485</v>
      </c>
      <c r="D310">
        <v>3</v>
      </c>
      <c r="E310">
        <v>637</v>
      </c>
      <c r="F310" s="70">
        <v>44544</v>
      </c>
      <c r="G310" t="str">
        <f>IFERROR(IF((F310-F309)&gt;1,(LARGE(F310:$F310,1)-LARGE(F$304:$F310,2))-1,""),"")</f>
        <v/>
      </c>
    </row>
    <row r="311" spans="1:7">
      <c r="A311" s="77">
        <f>(SUM(E311:E317)/(A306+7)+SUM(G311:G317))</f>
        <v>895.5</v>
      </c>
      <c r="B311">
        <v>700</v>
      </c>
      <c r="C311">
        <v>700</v>
      </c>
      <c r="D311">
        <v>3</v>
      </c>
      <c r="E311">
        <v>1000</v>
      </c>
      <c r="F311" s="70">
        <v>44547</v>
      </c>
      <c r="G311">
        <f>IFERROR(IF((F311-F310)&gt;1,(LARGE(F311:$F311,1)-LARGE(F$304:$F311,2))-1,""),"")</f>
        <v>2</v>
      </c>
    </row>
    <row r="312" spans="1:7">
      <c r="A312" s="79" t="s">
        <v>44028</v>
      </c>
      <c r="B312">
        <v>699</v>
      </c>
      <c r="C312">
        <v>699</v>
      </c>
      <c r="D312">
        <v>3</v>
      </c>
      <c r="E312">
        <v>1200</v>
      </c>
      <c r="F312" s="70">
        <v>44548</v>
      </c>
      <c r="G312" t="str">
        <f>IFERROR(IF((F312-F311)&gt;1,(LARGE(F312:$F312,1)-LARGE(F$304:$F312,2))-1,""),"")</f>
        <v/>
      </c>
    </row>
    <row r="313" spans="1:7">
      <c r="A313" s="77">
        <f>(SUM(D314:D317)/(A306+4)+SUM(G314:G317))</f>
        <v>3.2</v>
      </c>
      <c r="B313">
        <v>700</v>
      </c>
      <c r="C313">
        <v>700</v>
      </c>
      <c r="D313">
        <v>3</v>
      </c>
      <c r="E313">
        <v>1500</v>
      </c>
      <c r="F313" s="70">
        <v>44549</v>
      </c>
      <c r="G313" t="str">
        <f>IFERROR(IF((F313-F312)&gt;1,(LARGE(F313:$F313,1)-LARGE(F$304:$F313,2))-1,""),"")</f>
        <v/>
      </c>
    </row>
    <row r="314" spans="1:7">
      <c r="A314" s="85" t="s">
        <v>44027</v>
      </c>
      <c r="B314">
        <v>650</v>
      </c>
      <c r="C314">
        <v>650</v>
      </c>
      <c r="D314">
        <v>2</v>
      </c>
      <c r="E314">
        <v>900</v>
      </c>
      <c r="F314" s="70">
        <v>44550</v>
      </c>
      <c r="G314" t="str">
        <f>IFERROR(IF((F314-F313)&gt;1,(LARGE(F314:$F314,1)-LARGE(F$304:$F314,2))-1,""),"")</f>
        <v/>
      </c>
    </row>
    <row r="315" spans="1:7">
      <c r="A315" s="86">
        <f>IF(A308+A306&gt;10,"Look Up",AVERAGE(A310,A311))</f>
        <v>971.2833333333333</v>
      </c>
      <c r="B315">
        <v>649.70000000000005</v>
      </c>
      <c r="C315">
        <v>649.70000000000005</v>
      </c>
      <c r="D315">
        <v>3</v>
      </c>
      <c r="E315">
        <v>500</v>
      </c>
      <c r="F315" s="70">
        <v>44552</v>
      </c>
      <c r="G315">
        <f>IFERROR(IF((F315-F314)&gt;1,(LARGE(F315:$F315,1)-LARGE(F$304:$F315,2))-1,""),"")</f>
        <v>1</v>
      </c>
    </row>
    <row r="316" spans="1:7">
      <c r="A316" s="85" t="s">
        <v>44030</v>
      </c>
      <c r="B316">
        <v>649.70000000000005</v>
      </c>
      <c r="C316">
        <v>649.70000000000005</v>
      </c>
      <c r="D316">
        <v>5</v>
      </c>
      <c r="E316">
        <v>1440</v>
      </c>
      <c r="F316" s="70">
        <v>44553</v>
      </c>
      <c r="G316" t="str">
        <f>IFERROR(IF((F316-F315)&gt;1,(LARGE(F316:$F316,1)-LARGE(F$304:$F316,2))-1,""),"")</f>
        <v/>
      </c>
    </row>
    <row r="317" spans="1:7">
      <c r="A317" s="88"/>
      <c r="B317">
        <v>649.70000000000005</v>
      </c>
      <c r="C317">
        <v>649.70000000000005</v>
      </c>
      <c r="D317">
        <v>1</v>
      </c>
      <c r="E317">
        <v>600</v>
      </c>
      <c r="F317" s="70">
        <v>44554</v>
      </c>
      <c r="G317" t="str">
        <f>IFERROR(IF((F317-F316)&gt;1,(LARGE(F317:$F317,1)-LARGE(F$304:$F317,2))-1,""),"")</f>
        <v/>
      </c>
    </row>
    <row r="318" spans="1:7">
      <c r="A318" s="65">
        <f>VLOOKUP(TradeSheet!A23,TypeIDs!B:C,2,FALSE)</f>
        <v>47931</v>
      </c>
      <c r="B318" t="s">
        <v>43998</v>
      </c>
      <c r="C318" t="s">
        <v>43999</v>
      </c>
      <c r="D318" t="s">
        <v>44000</v>
      </c>
      <c r="E318" t="s">
        <v>44001</v>
      </c>
      <c r="F318" t="s">
        <v>44009</v>
      </c>
      <c r="G318" t="s">
        <v>44008</v>
      </c>
    </row>
    <row r="319" spans="1:7">
      <c r="A319" s="65" t="str">
        <f>CONCATENATE(SwaggerURL,input022)</f>
        <v>https://esi.evetech.net/latest/markets/10000021/history/?datasource=tranquility&amp;type_id=47931</v>
      </c>
      <c r="B319">
        <v>2500</v>
      </c>
      <c r="C319">
        <v>2500</v>
      </c>
      <c r="D319">
        <v>2</v>
      </c>
      <c r="E319">
        <v>2512</v>
      </c>
      <c r="F319" s="70">
        <v>44525</v>
      </c>
      <c r="G319" t="str">
        <f>IFERROR(IF((F319-F318)&gt;1,(LARGE(F319:$F319,1)-LARGE(F$319:$F319,2))-1,""),"")</f>
        <v/>
      </c>
    </row>
    <row r="320" spans="1:7">
      <c r="A320" s="79" t="s">
        <v>44018</v>
      </c>
      <c r="B320">
        <v>2500</v>
      </c>
      <c r="C320">
        <v>2500</v>
      </c>
      <c r="D320">
        <v>1</v>
      </c>
      <c r="E320">
        <v>2500</v>
      </c>
      <c r="F320" s="70">
        <v>44526</v>
      </c>
      <c r="G320" t="str">
        <f>IFERROR(IF((F320-F319)&gt;1,(LARGE(F320:$F320,1)-LARGE(F$319:$F320,2))-1,""),"")</f>
        <v/>
      </c>
    </row>
    <row r="321" spans="1:7">
      <c r="A321" s="78">
        <f>MAX(0,(CurrentDate-2)-F332)</f>
        <v>6</v>
      </c>
      <c r="B321">
        <v>2500</v>
      </c>
      <c r="C321">
        <v>2500</v>
      </c>
      <c r="D321">
        <v>2</v>
      </c>
      <c r="E321">
        <v>3500</v>
      </c>
      <c r="F321" s="70">
        <v>44527</v>
      </c>
      <c r="G321" t="str">
        <f>IFERROR(IF((F321-F320)&gt;1,(LARGE(F321:$F321,1)-LARGE(F$319:$F321,2))-1,""),"")</f>
        <v/>
      </c>
    </row>
    <row r="322" spans="1:7">
      <c r="A322" s="79" t="s">
        <v>44026</v>
      </c>
      <c r="B322">
        <v>2500</v>
      </c>
      <c r="C322">
        <v>2500</v>
      </c>
      <c r="D322">
        <v>3</v>
      </c>
      <c r="E322">
        <v>3000</v>
      </c>
      <c r="F322" s="70">
        <v>44528</v>
      </c>
      <c r="G322" t="str">
        <f>IFERROR(IF((F322-F321)&gt;1,(LARGE(F322:$F322,1)-LARGE(F$319:$F322,2))-1,""),"")</f>
        <v/>
      </c>
    </row>
    <row r="323" spans="1:7">
      <c r="A323" s="83">
        <f>SUM(G326:G332)</f>
        <v>10</v>
      </c>
      <c r="B323">
        <v>3836</v>
      </c>
      <c r="C323">
        <v>3836</v>
      </c>
      <c r="D323">
        <v>3</v>
      </c>
      <c r="E323">
        <v>4000</v>
      </c>
      <c r="F323" s="70">
        <v>44529</v>
      </c>
      <c r="G323" t="str">
        <f>IFERROR(IF((F323-F322)&gt;1,(LARGE(F323:$F323,1)-LARGE(F$319:$F323,2))-1,""),"")</f>
        <v/>
      </c>
    </row>
    <row r="324" spans="1:7">
      <c r="A324" s="79" t="s">
        <v>44029</v>
      </c>
      <c r="B324">
        <v>1830</v>
      </c>
      <c r="C324">
        <v>1830</v>
      </c>
      <c r="D324">
        <v>1</v>
      </c>
      <c r="E324">
        <v>1000</v>
      </c>
      <c r="F324" s="70">
        <v>44531</v>
      </c>
      <c r="G324">
        <f>IFERROR(IF((F324-F323)&gt;1,(LARGE(F324:$F324,1)-LARGE(F$319:$F324,2))-1,""),"")</f>
        <v>1</v>
      </c>
    </row>
    <row r="325" spans="1:7">
      <c r="A325" s="77">
        <f>(SUM(E319:E332)/(A321+14)+SUM(G319:G332))</f>
        <v>1761.6</v>
      </c>
      <c r="B325">
        <v>1820</v>
      </c>
      <c r="C325">
        <v>1820</v>
      </c>
      <c r="D325">
        <v>5</v>
      </c>
      <c r="E325">
        <v>7000</v>
      </c>
      <c r="F325" s="70">
        <v>44532</v>
      </c>
      <c r="G325" t="str">
        <f>IFERROR(IF((F325-F324)&gt;1,(LARGE(F325:$F325,1)-LARGE(F$319:$F325,2))-1,""),"")</f>
        <v/>
      </c>
    </row>
    <row r="326" spans="1:7">
      <c r="A326" s="77">
        <f>(SUM(E326:E332)/(A321+7)+SUM(G326:G332))</f>
        <v>894.61538461538464</v>
      </c>
      <c r="B326">
        <v>3830</v>
      </c>
      <c r="C326">
        <v>3830</v>
      </c>
      <c r="D326">
        <v>1</v>
      </c>
      <c r="E326">
        <v>1500</v>
      </c>
      <c r="F326" s="70">
        <v>44534</v>
      </c>
      <c r="G326">
        <f>IFERROR(IF((F326-F325)&gt;1,(LARGE(F326:$F326,1)-LARGE(F$319:$F326,2))-1,""),"")</f>
        <v>1</v>
      </c>
    </row>
    <row r="327" spans="1:7">
      <c r="A327" s="79" t="s">
        <v>44028</v>
      </c>
      <c r="B327">
        <v>3830</v>
      </c>
      <c r="C327">
        <v>3830</v>
      </c>
      <c r="D327">
        <v>1</v>
      </c>
      <c r="E327">
        <v>500</v>
      </c>
      <c r="F327" s="70">
        <v>44535</v>
      </c>
      <c r="G327" t="str">
        <f>IFERROR(IF((F327-F326)&gt;1,(LARGE(F327:$F327,1)-LARGE(F$319:$F327,2))-1,""),"")</f>
        <v/>
      </c>
    </row>
    <row r="328" spans="1:7">
      <c r="A328" s="77">
        <f>(SUM(D329:D332)/(A321+4)+SUM(G329:G332))</f>
        <v>7.6</v>
      </c>
      <c r="B328">
        <v>3863</v>
      </c>
      <c r="C328">
        <v>3863</v>
      </c>
      <c r="D328">
        <v>1</v>
      </c>
      <c r="E328">
        <v>2000</v>
      </c>
      <c r="F328" s="70">
        <v>44538</v>
      </c>
      <c r="G328">
        <f>IFERROR(IF((F328-F327)&gt;1,(LARGE(F328:$F328,1)-LARGE(F$319:$F328,2))-1,""),"")</f>
        <v>2</v>
      </c>
    </row>
    <row r="329" spans="1:7">
      <c r="A329" s="85" t="s">
        <v>44027</v>
      </c>
      <c r="B329">
        <v>3830</v>
      </c>
      <c r="C329">
        <v>3830</v>
      </c>
      <c r="D329">
        <v>1</v>
      </c>
      <c r="E329">
        <v>500</v>
      </c>
      <c r="F329" s="70">
        <v>44539</v>
      </c>
      <c r="G329" t="str">
        <f>IFERROR(IF((F329-F328)&gt;1,(LARGE(F329:$F329,1)-LARGE(F$319:$F329,2))-1,""),"")</f>
        <v/>
      </c>
    </row>
    <row r="330" spans="1:7">
      <c r="A330" s="86" t="str">
        <f>IF(A323+A321&gt;10,"Look Up",AVERAGE(A325,A326))</f>
        <v>Look Up</v>
      </c>
      <c r="B330">
        <v>3828</v>
      </c>
      <c r="C330">
        <v>3828</v>
      </c>
      <c r="D330">
        <v>3</v>
      </c>
      <c r="E330">
        <v>4500</v>
      </c>
      <c r="F330" s="70">
        <v>44541</v>
      </c>
      <c r="G330">
        <f>IFERROR(IF((F330-F329)&gt;1,(LARGE(F330:$F330,1)-LARGE(F$319:$F330,2))-1,""),"")</f>
        <v>1</v>
      </c>
    </row>
    <row r="331" spans="1:7">
      <c r="A331" s="85" t="s">
        <v>44030</v>
      </c>
      <c r="B331">
        <v>3825</v>
      </c>
      <c r="C331">
        <v>3825</v>
      </c>
      <c r="D331">
        <v>1</v>
      </c>
      <c r="E331">
        <v>500</v>
      </c>
      <c r="F331" s="70">
        <v>44546</v>
      </c>
      <c r="G331">
        <f>IFERROR(IF((F331-F330)&gt;1,(LARGE(F331:$F331,1)-LARGE(F$319:$F331,2))-1,""),"")</f>
        <v>4</v>
      </c>
    </row>
    <row r="332" spans="1:7">
      <c r="A332" s="88"/>
      <c r="B332">
        <v>3825</v>
      </c>
      <c r="C332">
        <v>3825</v>
      </c>
      <c r="D332">
        <v>1</v>
      </c>
      <c r="E332">
        <v>2000</v>
      </c>
      <c r="F332" s="70">
        <v>44549</v>
      </c>
      <c r="G332">
        <f>IFERROR(IF((F332-F331)&gt;1,(LARGE(F332:$F332,1)-LARGE(F$319:$F332,2))-1,""),"")</f>
        <v>2</v>
      </c>
    </row>
    <row r="333" spans="1:7">
      <c r="A333" s="65">
        <f>VLOOKUP(TradeSheet!A24,TypeIDs!B:C,2,FALSE)</f>
        <v>47930</v>
      </c>
      <c r="B333" t="s">
        <v>43998</v>
      </c>
      <c r="C333" t="s">
        <v>43999</v>
      </c>
      <c r="D333" t="s">
        <v>44000</v>
      </c>
      <c r="E333" t="s">
        <v>44001</v>
      </c>
      <c r="F333" t="s">
        <v>44009</v>
      </c>
      <c r="G333" t="s">
        <v>44008</v>
      </c>
    </row>
    <row r="334" spans="1:7">
      <c r="A334" s="65" t="str">
        <f>CONCATENATE(SwaggerURL,input023)</f>
        <v>https://esi.evetech.net/latest/markets/10000021/history/?datasource=tranquility&amp;type_id=47930</v>
      </c>
      <c r="B334">
        <v>3314</v>
      </c>
      <c r="C334">
        <v>3314</v>
      </c>
      <c r="D334">
        <v>1</v>
      </c>
      <c r="E334">
        <v>2500</v>
      </c>
      <c r="F334" s="70">
        <v>44526</v>
      </c>
      <c r="G334" t="str">
        <f>IFERROR(IF((F334-F333)&gt;1,(LARGE(F334:$F334,1)-LARGE(F$334:$F334,2))-1,""),"")</f>
        <v/>
      </c>
    </row>
    <row r="335" spans="1:7">
      <c r="A335" s="79" t="s">
        <v>44018</v>
      </c>
      <c r="B335">
        <v>3314</v>
      </c>
      <c r="C335">
        <v>3314</v>
      </c>
      <c r="D335">
        <v>2</v>
      </c>
      <c r="E335">
        <v>3500</v>
      </c>
      <c r="F335" s="70">
        <v>44527</v>
      </c>
      <c r="G335" t="str">
        <f>IFERROR(IF((F335-F334)&gt;1,(LARGE(F335:$F335,1)-LARGE(F$334:$F335,2))-1,""),"")</f>
        <v/>
      </c>
    </row>
    <row r="336" spans="1:7">
      <c r="A336" s="78">
        <f>MAX(0,(CurrentDate-2)-F347)</f>
        <v>4</v>
      </c>
      <c r="B336">
        <v>3314</v>
      </c>
      <c r="C336">
        <v>3314</v>
      </c>
      <c r="D336">
        <v>1</v>
      </c>
      <c r="E336">
        <v>2000</v>
      </c>
      <c r="F336" s="70">
        <v>44528</v>
      </c>
      <c r="G336" t="str">
        <f>IFERROR(IF((F336-F335)&gt;1,(LARGE(F336:$F336,1)-LARGE(F$334:$F336,2))-1,""),"")</f>
        <v/>
      </c>
    </row>
    <row r="337" spans="1:7">
      <c r="A337" s="79" t="s">
        <v>44026</v>
      </c>
      <c r="B337">
        <v>3314</v>
      </c>
      <c r="C337">
        <v>3314</v>
      </c>
      <c r="D337">
        <v>1</v>
      </c>
      <c r="E337">
        <v>1000</v>
      </c>
      <c r="F337" s="70">
        <v>44529</v>
      </c>
      <c r="G337" t="str">
        <f>IFERROR(IF((F337-F336)&gt;1,(LARGE(F337:$F337,1)-LARGE(F$334:$F337,2))-1,""),"")</f>
        <v/>
      </c>
    </row>
    <row r="338" spans="1:7">
      <c r="A338" s="83">
        <f>SUM(G341:G347)</f>
        <v>10</v>
      </c>
      <c r="B338">
        <v>3300</v>
      </c>
      <c r="C338">
        <v>3300</v>
      </c>
      <c r="D338">
        <v>1</v>
      </c>
      <c r="E338">
        <v>500</v>
      </c>
      <c r="F338" s="70">
        <v>44531</v>
      </c>
      <c r="G338">
        <f>IFERROR(IF((F338-F337)&gt;1,(LARGE(F338:$F338,1)-LARGE(F$334:$F338,2))-1,""),"")</f>
        <v>1</v>
      </c>
    </row>
    <row r="339" spans="1:7">
      <c r="A339" s="79" t="s">
        <v>44029</v>
      </c>
      <c r="B339">
        <v>3289</v>
      </c>
      <c r="C339">
        <v>3289</v>
      </c>
      <c r="D339">
        <v>3</v>
      </c>
      <c r="E339">
        <v>6500</v>
      </c>
      <c r="F339" s="70">
        <v>44532</v>
      </c>
      <c r="G339" t="str">
        <f>IFERROR(IF((F339-F338)&gt;1,(LARGE(F339:$F339,1)-LARGE(F$334:$F339,2))-1,""),"")</f>
        <v/>
      </c>
    </row>
    <row r="340" spans="1:7">
      <c r="A340" s="77">
        <f>(SUM(E334:E347)/(A336+14)+SUM(G334:G347))</f>
        <v>2481.7222222222222</v>
      </c>
      <c r="B340">
        <v>3284</v>
      </c>
      <c r="C340">
        <v>3284</v>
      </c>
      <c r="D340">
        <v>1</v>
      </c>
      <c r="E340">
        <v>1500</v>
      </c>
      <c r="F340" s="70">
        <v>44534</v>
      </c>
      <c r="G340">
        <f>IFERROR(IF((F340-F339)&gt;1,(LARGE(F340:$F340,1)-LARGE(F$334:$F340,2))-1,""),"")</f>
        <v>1</v>
      </c>
    </row>
    <row r="341" spans="1:7">
      <c r="A341" s="77">
        <f>(SUM(E341:E347)/(A336+7)+SUM(G341:G347))</f>
        <v>2460.4545454545455</v>
      </c>
      <c r="B341">
        <v>3181</v>
      </c>
      <c r="C341">
        <v>3181</v>
      </c>
      <c r="D341">
        <v>1</v>
      </c>
      <c r="E341">
        <v>500</v>
      </c>
      <c r="F341" s="70">
        <v>44535</v>
      </c>
      <c r="G341" t="str">
        <f>IFERROR(IF((F341-F340)&gt;1,(LARGE(F341:$F341,1)-LARGE(F$334:$F341,2))-1,""),"")</f>
        <v/>
      </c>
    </row>
    <row r="342" spans="1:7">
      <c r="A342" s="79" t="s">
        <v>44028</v>
      </c>
      <c r="B342">
        <v>3098</v>
      </c>
      <c r="C342">
        <v>3098</v>
      </c>
      <c r="D342">
        <v>2</v>
      </c>
      <c r="E342">
        <v>2000</v>
      </c>
      <c r="F342" s="70">
        <v>44538</v>
      </c>
      <c r="G342">
        <f>IFERROR(IF((F342-F341)&gt;1,(LARGE(F342:$F342,1)-LARGE(F$334:$F342,2))-1,""),"")</f>
        <v>2</v>
      </c>
    </row>
    <row r="343" spans="1:7">
      <c r="A343" s="77">
        <f>(SUM(D344:D347)/(A336+4)+SUM(G344:G347))</f>
        <v>8</v>
      </c>
      <c r="B343">
        <v>2999</v>
      </c>
      <c r="C343">
        <v>2999</v>
      </c>
      <c r="D343">
        <v>2</v>
      </c>
      <c r="E343">
        <v>2500</v>
      </c>
      <c r="F343" s="70">
        <v>44540</v>
      </c>
      <c r="G343">
        <f>IFERROR(IF((F343-F342)&gt;1,(LARGE(F343:$F343,1)-LARGE(F$334:$F343,2))-1,""),"")</f>
        <v>1</v>
      </c>
    </row>
    <row r="344" spans="1:7">
      <c r="A344" s="85" t="s">
        <v>44027</v>
      </c>
      <c r="B344">
        <v>2947</v>
      </c>
      <c r="C344">
        <v>2947</v>
      </c>
      <c r="D344">
        <v>3</v>
      </c>
      <c r="E344">
        <v>3844</v>
      </c>
      <c r="F344" s="70">
        <v>44541</v>
      </c>
      <c r="G344" t="str">
        <f>IFERROR(IF((F344-F343)&gt;1,(LARGE(F344:$F344,1)-LARGE(F$334:$F344,2))-1,""),"")</f>
        <v/>
      </c>
    </row>
    <row r="345" spans="1:7">
      <c r="A345" s="86" t="str">
        <f>IF(A338+A336&gt;10,"Look Up",AVERAGE(A340,A341))</f>
        <v>Look Up</v>
      </c>
      <c r="B345">
        <v>2800</v>
      </c>
      <c r="C345">
        <v>2800</v>
      </c>
      <c r="D345">
        <v>2</v>
      </c>
      <c r="E345">
        <v>9095</v>
      </c>
      <c r="F345" s="70">
        <v>44546</v>
      </c>
      <c r="G345">
        <f>IFERROR(IF((F345-F344)&gt;1,(LARGE(F345:$F345,1)-LARGE(F$334:$F345,2))-1,""),"")</f>
        <v>4</v>
      </c>
    </row>
    <row r="346" spans="1:7">
      <c r="A346" s="85" t="s">
        <v>44030</v>
      </c>
      <c r="B346">
        <v>2800</v>
      </c>
      <c r="C346">
        <v>2800</v>
      </c>
      <c r="D346">
        <v>2</v>
      </c>
      <c r="E346">
        <v>8500</v>
      </c>
      <c r="F346" s="70">
        <v>44549</v>
      </c>
      <c r="G346">
        <f>IFERROR(IF((F346-F345)&gt;1,(LARGE(F346:$F346,1)-LARGE(F$334:$F346,2))-1,""),"")</f>
        <v>2</v>
      </c>
    </row>
    <row r="347" spans="1:7">
      <c r="A347" s="88"/>
      <c r="B347">
        <v>2486</v>
      </c>
      <c r="C347">
        <v>2486</v>
      </c>
      <c r="D347">
        <v>1</v>
      </c>
      <c r="E347">
        <v>516</v>
      </c>
      <c r="F347" s="70">
        <v>44551</v>
      </c>
      <c r="G347">
        <f>IFERROR(IF((F347-F346)&gt;1,(LARGE(F347:$F347,1)-LARGE(F$334:$F347,2))-1,""),"")</f>
        <v>1</v>
      </c>
    </row>
    <row r="348" spans="1:7">
      <c r="A348" s="65">
        <f>VLOOKUP(TradeSheet!A25,TypeIDs!B:C,2,FALSE)</f>
        <v>47927</v>
      </c>
      <c r="B348" t="s">
        <v>43998</v>
      </c>
      <c r="C348" t="s">
        <v>43999</v>
      </c>
      <c r="D348" t="s">
        <v>44000</v>
      </c>
      <c r="E348" t="s">
        <v>44001</v>
      </c>
      <c r="F348" t="s">
        <v>44009</v>
      </c>
      <c r="G348" t="s">
        <v>44008</v>
      </c>
    </row>
    <row r="349" spans="1:7">
      <c r="A349" s="65" t="str">
        <f>CONCATENATE(SwaggerURL,input024)</f>
        <v>https://esi.evetech.net/latest/markets/10000021/history/?datasource=tranquility&amp;type_id=47927</v>
      </c>
      <c r="B349">
        <v>1326</v>
      </c>
      <c r="C349">
        <v>1326</v>
      </c>
      <c r="D349">
        <v>3</v>
      </c>
      <c r="E349">
        <v>2987</v>
      </c>
      <c r="F349" s="70">
        <v>44527</v>
      </c>
      <c r="G349" t="str">
        <f>IFERROR(IF((F349-F348)&gt;1,(LARGE(F349:$F349,1)-LARGE(F$349:$F349,2))-1,""),"")</f>
        <v/>
      </c>
    </row>
    <row r="350" spans="1:7">
      <c r="A350" s="79" t="s">
        <v>44018</v>
      </c>
      <c r="B350">
        <v>1326</v>
      </c>
      <c r="C350">
        <v>1326</v>
      </c>
      <c r="D350">
        <v>2</v>
      </c>
      <c r="E350">
        <v>5000</v>
      </c>
      <c r="F350" s="70">
        <v>44530</v>
      </c>
      <c r="G350">
        <f>IFERROR(IF((F350-F349)&gt;1,(LARGE(F350:$F350,1)-LARGE(F$349:$F350,2))-1,""),"")</f>
        <v>2</v>
      </c>
    </row>
    <row r="351" spans="1:7">
      <c r="A351" s="78">
        <f>MAX(0,(CurrentDate-2)-F362)</f>
        <v>2</v>
      </c>
      <c r="B351">
        <v>1326</v>
      </c>
      <c r="C351">
        <v>1326</v>
      </c>
      <c r="D351">
        <v>2</v>
      </c>
      <c r="E351">
        <v>5000</v>
      </c>
      <c r="F351" s="70">
        <v>44532</v>
      </c>
      <c r="G351">
        <f>IFERROR(IF((F351-F350)&gt;1,(LARGE(F351:$F351,1)-LARGE(F$349:$F351,2))-1,""),"")</f>
        <v>1</v>
      </c>
    </row>
    <row r="352" spans="1:7">
      <c r="A352" s="79" t="s">
        <v>44026</v>
      </c>
      <c r="B352">
        <v>1326</v>
      </c>
      <c r="C352">
        <v>1326</v>
      </c>
      <c r="D352">
        <v>2</v>
      </c>
      <c r="E352">
        <v>1250</v>
      </c>
      <c r="F352" s="70">
        <v>44533</v>
      </c>
      <c r="G352" t="str">
        <f>IFERROR(IF((F352-F351)&gt;1,(LARGE(F352:$F352,1)-LARGE(F$349:$F352,2))-1,""),"")</f>
        <v/>
      </c>
    </row>
    <row r="353" spans="1:7">
      <c r="A353" s="83">
        <f>SUM(G356:G362)</f>
        <v>10</v>
      </c>
      <c r="B353">
        <v>1326</v>
      </c>
      <c r="C353">
        <v>1326</v>
      </c>
      <c r="D353">
        <v>2</v>
      </c>
      <c r="E353">
        <v>6500</v>
      </c>
      <c r="F353" s="70">
        <v>44534</v>
      </c>
      <c r="G353" t="str">
        <f>IFERROR(IF((F353-F352)&gt;1,(LARGE(F353:$F353,1)-LARGE(F$349:$F353,2))-1,""),"")</f>
        <v/>
      </c>
    </row>
    <row r="354" spans="1:7">
      <c r="A354" s="79" t="s">
        <v>44029</v>
      </c>
      <c r="B354">
        <v>1326</v>
      </c>
      <c r="C354">
        <v>1326</v>
      </c>
      <c r="D354">
        <v>2</v>
      </c>
      <c r="E354">
        <v>1000</v>
      </c>
      <c r="F354" s="70">
        <v>44535</v>
      </c>
      <c r="G354" t="str">
        <f>IFERROR(IF((F354-F353)&gt;1,(LARGE(F354:$F354,1)-LARGE(F$349:$F354,2))-1,""),"")</f>
        <v/>
      </c>
    </row>
    <row r="355" spans="1:7">
      <c r="A355" s="77">
        <f>(SUM(E349:E362)/(A351+14)+SUM(G349:G362))</f>
        <v>2805.1875</v>
      </c>
      <c r="B355">
        <v>1326</v>
      </c>
      <c r="C355">
        <v>1326</v>
      </c>
      <c r="D355">
        <v>4</v>
      </c>
      <c r="E355">
        <v>7474</v>
      </c>
      <c r="F355" s="70">
        <v>44536</v>
      </c>
      <c r="G355" t="str">
        <f>IFERROR(IF((F355-F354)&gt;1,(LARGE(F355:$F355,1)-LARGE(F$349:$F355,2))-1,""),"")</f>
        <v/>
      </c>
    </row>
    <row r="356" spans="1:7">
      <c r="A356" s="77">
        <f>(SUM(E356:E362)/(A351+7)+SUM(G356:G362))</f>
        <v>1728.2222222222222</v>
      </c>
      <c r="B356">
        <v>1326</v>
      </c>
      <c r="C356">
        <v>1326</v>
      </c>
      <c r="D356">
        <v>1</v>
      </c>
      <c r="E356">
        <v>1000</v>
      </c>
      <c r="F356" s="70">
        <v>44541</v>
      </c>
      <c r="G356">
        <f>IFERROR(IF((F356-F355)&gt;1,(LARGE(F356:$F356,1)-LARGE(F$349:$F356,2))-1,""),"")</f>
        <v>4</v>
      </c>
    </row>
    <row r="357" spans="1:7">
      <c r="A357" s="79" t="s">
        <v>44028</v>
      </c>
      <c r="B357">
        <v>1325.5</v>
      </c>
      <c r="C357">
        <v>1325</v>
      </c>
      <c r="D357">
        <v>2</v>
      </c>
      <c r="E357">
        <v>2000</v>
      </c>
      <c r="F357" s="70">
        <v>44543</v>
      </c>
      <c r="G357">
        <f>IFERROR(IF((F357-F356)&gt;1,(LARGE(F357:$F357,1)-LARGE(F$349:$F357,2))-1,""),"")</f>
        <v>1</v>
      </c>
    </row>
    <row r="358" spans="1:7">
      <c r="A358" s="77">
        <f>(SUM(D359:D362)/(A351+4)+SUM(G359:G362))</f>
        <v>6</v>
      </c>
      <c r="B358">
        <v>1326</v>
      </c>
      <c r="C358">
        <v>1326</v>
      </c>
      <c r="D358">
        <v>1</v>
      </c>
      <c r="E358">
        <v>5000</v>
      </c>
      <c r="F358" s="70">
        <v>44544</v>
      </c>
      <c r="G358" t="str">
        <f>IFERROR(IF((F358-F357)&gt;1,(LARGE(F358:$F358,1)-LARGE(F$349:$F358,2))-1,""),"")</f>
        <v/>
      </c>
    </row>
    <row r="359" spans="1:7">
      <c r="A359" s="85" t="s">
        <v>44027</v>
      </c>
      <c r="B359">
        <v>1250</v>
      </c>
      <c r="C359">
        <v>1250</v>
      </c>
      <c r="D359">
        <v>1</v>
      </c>
      <c r="E359">
        <v>2964</v>
      </c>
      <c r="F359" s="70">
        <v>44545</v>
      </c>
      <c r="G359" t="str">
        <f>IFERROR(IF((F359-F358)&gt;1,(LARGE(F359:$F359,1)-LARGE(F$349:$F359,2))-1,""),"")</f>
        <v/>
      </c>
    </row>
    <row r="360" spans="1:7">
      <c r="A360" s="86" t="str">
        <f>IF(A353+A351&gt;10,"Look Up",AVERAGE(A355,A356))</f>
        <v>Look Up</v>
      </c>
      <c r="B360">
        <v>1244</v>
      </c>
      <c r="C360">
        <v>1244</v>
      </c>
      <c r="D360">
        <v>1</v>
      </c>
      <c r="E360">
        <v>1000</v>
      </c>
      <c r="F360" s="70">
        <v>44550</v>
      </c>
      <c r="G360">
        <f>IFERROR(IF((F360-F359)&gt;1,(LARGE(F360:$F360,1)-LARGE(F$349:$F360,2))-1,""),"")</f>
        <v>4</v>
      </c>
    </row>
    <row r="361" spans="1:7">
      <c r="A361" s="85" t="s">
        <v>44030</v>
      </c>
      <c r="B361">
        <v>1242</v>
      </c>
      <c r="C361">
        <v>1242</v>
      </c>
      <c r="D361">
        <v>2</v>
      </c>
      <c r="E361">
        <v>1000</v>
      </c>
      <c r="F361" s="70">
        <v>44551</v>
      </c>
      <c r="G361" t="str">
        <f>IFERROR(IF((F361-F360)&gt;1,(LARGE(F361:$F361,1)-LARGE(F$349:$F361,2))-1,""),"")</f>
        <v/>
      </c>
    </row>
    <row r="362" spans="1:7">
      <c r="A362" s="88"/>
      <c r="B362">
        <v>1242</v>
      </c>
      <c r="C362">
        <v>1242</v>
      </c>
      <c r="D362">
        <v>2</v>
      </c>
      <c r="E362">
        <v>2500</v>
      </c>
      <c r="F362" s="70">
        <v>44553</v>
      </c>
      <c r="G362">
        <f>IFERROR(IF((F362-F361)&gt;1,(LARGE(F362:$F362,1)-LARGE(F$349:$F362,2))-1,""),"")</f>
        <v>1</v>
      </c>
    </row>
    <row r="363" spans="1:7">
      <c r="A363" s="65">
        <f>VLOOKUP(TradeSheet!A26,TypeIDs!B:C,2,FALSE)</f>
        <v>47926</v>
      </c>
      <c r="B363" t="s">
        <v>43998</v>
      </c>
      <c r="C363" t="s">
        <v>43999</v>
      </c>
      <c r="D363" t="s">
        <v>44000</v>
      </c>
      <c r="E363" t="s">
        <v>44001</v>
      </c>
      <c r="F363" t="s">
        <v>44009</v>
      </c>
      <c r="G363" t="s">
        <v>44008</v>
      </c>
    </row>
    <row r="364" spans="1:7">
      <c r="A364" s="65" t="str">
        <f>CONCATENATE(SwaggerURL,input025)</f>
        <v>https://esi.evetech.net/latest/markets/10000021/history/?datasource=tranquility&amp;type_id=47926</v>
      </c>
      <c r="B364">
        <v>1394</v>
      </c>
      <c r="C364">
        <v>1394</v>
      </c>
      <c r="D364">
        <v>1</v>
      </c>
      <c r="E364">
        <v>20000</v>
      </c>
      <c r="F364" s="70">
        <v>44528</v>
      </c>
      <c r="G364" t="str">
        <f>IFERROR(IF((F364-F363)&gt;1,(LARGE(F364:$F364,1)-LARGE(F$364:$F364,2))-1,""),"")</f>
        <v/>
      </c>
    </row>
    <row r="365" spans="1:7">
      <c r="A365" s="79" t="s">
        <v>44018</v>
      </c>
      <c r="B365">
        <v>1300</v>
      </c>
      <c r="C365">
        <v>1300</v>
      </c>
      <c r="D365">
        <v>2</v>
      </c>
      <c r="E365">
        <v>10000</v>
      </c>
      <c r="F365" s="70">
        <v>44530</v>
      </c>
      <c r="G365">
        <f>IFERROR(IF((F365-F364)&gt;1,(LARGE(F365:$F365,1)-LARGE(F$364:$F365,2))-1,""),"")</f>
        <v>1</v>
      </c>
    </row>
    <row r="366" spans="1:7">
      <c r="A366" s="78">
        <f>MAX(0,(CurrentDate-2)-F377)</f>
        <v>2</v>
      </c>
      <c r="B366">
        <v>1380</v>
      </c>
      <c r="C366">
        <v>1380</v>
      </c>
      <c r="D366">
        <v>2</v>
      </c>
      <c r="E366">
        <v>5000</v>
      </c>
      <c r="F366" s="70">
        <v>44532</v>
      </c>
      <c r="G366">
        <f>IFERROR(IF((F366-F365)&gt;1,(LARGE(F366:$F366,1)-LARGE(F$364:$F366,2))-1,""),"")</f>
        <v>1</v>
      </c>
    </row>
    <row r="367" spans="1:7">
      <c r="A367" s="79" t="s">
        <v>44026</v>
      </c>
      <c r="B367">
        <v>1380</v>
      </c>
      <c r="C367">
        <v>1380</v>
      </c>
      <c r="D367">
        <v>1</v>
      </c>
      <c r="E367">
        <v>750</v>
      </c>
      <c r="F367" s="70">
        <v>44533</v>
      </c>
      <c r="G367" t="str">
        <f>IFERROR(IF((F367-F366)&gt;1,(LARGE(F367:$F367,1)-LARGE(F$364:$F367,2))-1,""),"")</f>
        <v/>
      </c>
    </row>
    <row r="368" spans="1:7">
      <c r="A368" s="83">
        <f>SUM(G371:G377)</f>
        <v>10</v>
      </c>
      <c r="B368">
        <v>1380</v>
      </c>
      <c r="C368">
        <v>1380</v>
      </c>
      <c r="D368">
        <v>5</v>
      </c>
      <c r="E368">
        <v>7036</v>
      </c>
      <c r="F368" s="70">
        <v>44534</v>
      </c>
      <c r="G368" t="str">
        <f>IFERROR(IF((F368-F367)&gt;1,(LARGE(F368:$F368,1)-LARGE(F$364:$F368,2))-1,""),"")</f>
        <v/>
      </c>
    </row>
    <row r="369" spans="1:7">
      <c r="A369" s="79" t="s">
        <v>44029</v>
      </c>
      <c r="B369">
        <v>1299</v>
      </c>
      <c r="C369">
        <v>1299</v>
      </c>
      <c r="D369">
        <v>1</v>
      </c>
      <c r="E369">
        <v>500</v>
      </c>
      <c r="F369" s="70">
        <v>44535</v>
      </c>
      <c r="G369" t="str">
        <f>IFERROR(IF((F369-F368)&gt;1,(LARGE(F369:$F369,1)-LARGE(F$364:$F369,2))-1,""),"")</f>
        <v/>
      </c>
    </row>
    <row r="370" spans="1:7">
      <c r="A370" s="77">
        <f>(SUM(E364:E377)/(A366+14)+SUM(G364:G377))</f>
        <v>3781.125</v>
      </c>
      <c r="B370">
        <v>1345</v>
      </c>
      <c r="C370">
        <v>1345</v>
      </c>
      <c r="D370">
        <v>5</v>
      </c>
      <c r="E370">
        <v>7961</v>
      </c>
      <c r="F370" s="70">
        <v>44536</v>
      </c>
      <c r="G370" t="str">
        <f>IFERROR(IF((F370-F369)&gt;1,(LARGE(F370:$F370,1)-LARGE(F$364:$F370,2))-1,""),"")</f>
        <v/>
      </c>
    </row>
    <row r="371" spans="1:7">
      <c r="A371" s="77">
        <f>(SUM(E371:E377)/(A366+7)+SUM(G371:G377))</f>
        <v>1016.5555555555555</v>
      </c>
      <c r="B371">
        <v>1336</v>
      </c>
      <c r="C371">
        <v>1336</v>
      </c>
      <c r="D371">
        <v>1</v>
      </c>
      <c r="E371">
        <v>1000</v>
      </c>
      <c r="F371" s="70">
        <v>44541</v>
      </c>
      <c r="G371">
        <f>IFERROR(IF((F371-F370)&gt;1,(LARGE(F371:$F371,1)-LARGE(F$364:$F371,2))-1,""),"")</f>
        <v>4</v>
      </c>
    </row>
    <row r="372" spans="1:7">
      <c r="A372" s="79" t="s">
        <v>44028</v>
      </c>
      <c r="B372">
        <v>1300</v>
      </c>
      <c r="C372">
        <v>1300</v>
      </c>
      <c r="D372">
        <v>1</v>
      </c>
      <c r="E372">
        <v>1000</v>
      </c>
      <c r="F372" s="70">
        <v>44543</v>
      </c>
      <c r="G372">
        <f>IFERROR(IF((F372-F371)&gt;1,(LARGE(F372:$F372,1)-LARGE(F$364:$F372,2))-1,""),"")</f>
        <v>1</v>
      </c>
    </row>
    <row r="373" spans="1:7">
      <c r="A373" s="77">
        <f>(SUM(D374:D377)/(A366+4)+SUM(G374:G377))</f>
        <v>4.833333333333333</v>
      </c>
      <c r="B373">
        <v>1150</v>
      </c>
      <c r="C373">
        <v>1150</v>
      </c>
      <c r="D373">
        <v>1</v>
      </c>
      <c r="E373">
        <v>3841</v>
      </c>
      <c r="F373" s="70">
        <v>44545</v>
      </c>
      <c r="G373">
        <f>IFERROR(IF((F373-F372)&gt;1,(LARGE(F373:$F373,1)-LARGE(F$364:$F373,2))-1,""),"")</f>
        <v>1</v>
      </c>
    </row>
    <row r="374" spans="1:7">
      <c r="A374" s="85" t="s">
        <v>44027</v>
      </c>
      <c r="B374">
        <v>985</v>
      </c>
      <c r="C374">
        <v>985</v>
      </c>
      <c r="D374">
        <v>1</v>
      </c>
      <c r="E374">
        <v>353</v>
      </c>
      <c r="F374" s="70">
        <v>44549</v>
      </c>
      <c r="G374">
        <f>IFERROR(IF((F374-F373)&gt;1,(LARGE(F374:$F374,1)-LARGE(F$364:$F374,2))-1,""),"")</f>
        <v>3</v>
      </c>
    </row>
    <row r="375" spans="1:7">
      <c r="A375" s="86" t="str">
        <f>IF(A368+A366&gt;10,"Look Up",AVERAGE(A370,A371))</f>
        <v>Look Up</v>
      </c>
      <c r="B375">
        <v>985</v>
      </c>
      <c r="C375">
        <v>985</v>
      </c>
      <c r="D375">
        <v>1</v>
      </c>
      <c r="E375">
        <v>1500</v>
      </c>
      <c r="F375" s="70">
        <v>44550</v>
      </c>
      <c r="G375" t="str">
        <f>IFERROR(IF((F375-F374)&gt;1,(LARGE(F375:$F375,1)-LARGE(F$364:$F375,2))-1,""),"")</f>
        <v/>
      </c>
    </row>
    <row r="376" spans="1:7">
      <c r="A376" s="85" t="s">
        <v>44030</v>
      </c>
      <c r="B376">
        <v>977.3</v>
      </c>
      <c r="C376">
        <v>977.3</v>
      </c>
      <c r="D376">
        <v>2</v>
      </c>
      <c r="E376">
        <v>1000</v>
      </c>
      <c r="F376" s="70">
        <v>44551</v>
      </c>
      <c r="G376" t="str">
        <f>IFERROR(IF((F376-F375)&gt;1,(LARGE(F376:$F376,1)-LARGE(F$364:$F376,2))-1,""),"")</f>
        <v/>
      </c>
    </row>
    <row r="377" spans="1:7">
      <c r="A377" s="88"/>
      <c r="B377">
        <v>977</v>
      </c>
      <c r="C377">
        <v>977</v>
      </c>
      <c r="D377">
        <v>1</v>
      </c>
      <c r="E377">
        <v>365</v>
      </c>
      <c r="F377" s="70">
        <v>44553</v>
      </c>
      <c r="G377">
        <f>IFERROR(IF((F377-F376)&gt;1,(LARGE(F377:$F377,1)-LARGE(F$364:$F377,2))-1,""),"")</f>
        <v>1</v>
      </c>
    </row>
    <row r="378" spans="1:7">
      <c r="A378" s="65">
        <f>VLOOKUP(TradeSheet!A27,TypeIDs!B:C,2,FALSE)</f>
        <v>12557</v>
      </c>
      <c r="B378" t="s">
        <v>43998</v>
      </c>
      <c r="C378" t="s">
        <v>43999</v>
      </c>
      <c r="D378" t="s">
        <v>44000</v>
      </c>
      <c r="E378" t="s">
        <v>44001</v>
      </c>
      <c r="F378" t="s">
        <v>44009</v>
      </c>
      <c r="G378" t="s">
        <v>44008</v>
      </c>
    </row>
    <row r="379" spans="1:7">
      <c r="A379" s="65" t="str">
        <f>CONCATENATE(SwaggerURL,input026)</f>
        <v>https://esi.evetech.net/latest/markets/10000021/history/?datasource=tranquility&amp;type_id=12557</v>
      </c>
      <c r="B379">
        <v>500000</v>
      </c>
      <c r="C379">
        <v>500000</v>
      </c>
      <c r="D379">
        <v>1</v>
      </c>
      <c r="E379">
        <v>4</v>
      </c>
      <c r="F379" s="70">
        <v>44533</v>
      </c>
      <c r="G379" t="str">
        <f>IFERROR(IF((F379-F378)&gt;1,(LARGE(F379:$F379,1)-LARGE(F$379:$F379,2))-1,""),"")</f>
        <v/>
      </c>
    </row>
    <row r="380" spans="1:7">
      <c r="A380" s="79" t="s">
        <v>44018</v>
      </c>
      <c r="B380">
        <v>490100</v>
      </c>
      <c r="C380">
        <v>490100</v>
      </c>
      <c r="D380">
        <v>1</v>
      </c>
      <c r="E380">
        <v>4</v>
      </c>
      <c r="F380" s="70">
        <v>44534</v>
      </c>
      <c r="G380" t="str">
        <f>IFERROR(IF((F380-F379)&gt;1,(LARGE(F380:$F380,1)-LARGE(F$379:$F380,2))-1,""),"")</f>
        <v/>
      </c>
    </row>
    <row r="381" spans="1:7">
      <c r="A381" s="78">
        <f>MAX(0,(CurrentDate-2)-F392)</f>
        <v>1</v>
      </c>
      <c r="B381">
        <v>496700</v>
      </c>
      <c r="C381">
        <v>490100</v>
      </c>
      <c r="D381">
        <v>3</v>
      </c>
      <c r="E381">
        <v>6</v>
      </c>
      <c r="F381" s="70">
        <v>44535</v>
      </c>
      <c r="G381" t="str">
        <f>IFERROR(IF((F381-F380)&gt;1,(LARGE(F381:$F381,1)-LARGE(F$379:$F381,2))-1,""),"")</f>
        <v/>
      </c>
    </row>
    <row r="382" spans="1:7">
      <c r="A382" s="79" t="s">
        <v>44026</v>
      </c>
      <c r="B382">
        <v>475000</v>
      </c>
      <c r="C382">
        <v>475000</v>
      </c>
      <c r="D382">
        <v>1</v>
      </c>
      <c r="E382">
        <v>4</v>
      </c>
      <c r="F382" s="70">
        <v>44538</v>
      </c>
      <c r="G382">
        <f>IFERROR(IF((F382-F381)&gt;1,(LARGE(F382:$F382,1)-LARGE(F$379:$F382,2))-1,""),"")</f>
        <v>2</v>
      </c>
    </row>
    <row r="383" spans="1:7">
      <c r="A383" s="83">
        <f>SUM(G386:G392)</f>
        <v>3</v>
      </c>
      <c r="B383">
        <v>470000</v>
      </c>
      <c r="C383">
        <v>470000</v>
      </c>
      <c r="D383">
        <v>1</v>
      </c>
      <c r="E383">
        <v>4</v>
      </c>
      <c r="F383" s="70">
        <v>44539</v>
      </c>
      <c r="G383" t="str">
        <f>IFERROR(IF((F383-F382)&gt;1,(LARGE(F383:$F383,1)-LARGE(F$379:$F383,2))-1,""),"")</f>
        <v/>
      </c>
    </row>
    <row r="384" spans="1:7">
      <c r="A384" s="79" t="s">
        <v>44029</v>
      </c>
      <c r="B384">
        <v>470000</v>
      </c>
      <c r="C384">
        <v>470000</v>
      </c>
      <c r="D384">
        <v>1</v>
      </c>
      <c r="E384">
        <v>4</v>
      </c>
      <c r="F384" s="70">
        <v>44542</v>
      </c>
      <c r="G384">
        <f>IFERROR(IF((F384-F383)&gt;1,(LARGE(F384:$F384,1)-LARGE(F$379:$F384,2))-1,""),"")</f>
        <v>2</v>
      </c>
    </row>
    <row r="385" spans="1:7">
      <c r="A385" s="77">
        <f>(SUM(E379:E392)/(A381+14)+SUM(G379:G392))</f>
        <v>15.133333333333333</v>
      </c>
      <c r="B385">
        <v>470000</v>
      </c>
      <c r="C385">
        <v>470000</v>
      </c>
      <c r="D385">
        <v>3</v>
      </c>
      <c r="E385">
        <v>12</v>
      </c>
      <c r="F385" s="70">
        <v>44544</v>
      </c>
      <c r="G385">
        <f>IFERROR(IF((F385-F384)&gt;1,(LARGE(F385:$F385,1)-LARGE(F$379:$F385,2))-1,""),"")</f>
        <v>1</v>
      </c>
    </row>
    <row r="386" spans="1:7">
      <c r="A386" s="77">
        <f>(SUM(E386:E392)/(A381+7)+SUM(G386:G392))</f>
        <v>11.625</v>
      </c>
      <c r="B386">
        <v>470000</v>
      </c>
      <c r="C386">
        <v>470000</v>
      </c>
      <c r="D386">
        <v>2</v>
      </c>
      <c r="E386">
        <v>2</v>
      </c>
      <c r="F386" s="70">
        <v>44545</v>
      </c>
      <c r="G386" t="str">
        <f>IFERROR(IF((F386-F385)&gt;1,(LARGE(F386:$F386,1)-LARGE(F$379:$F386,2))-1,""),"")</f>
        <v/>
      </c>
    </row>
    <row r="387" spans="1:7">
      <c r="A387" s="79" t="s">
        <v>44028</v>
      </c>
      <c r="B387">
        <v>470000</v>
      </c>
      <c r="C387">
        <v>470000</v>
      </c>
      <c r="D387">
        <v>4</v>
      </c>
      <c r="E387">
        <v>22</v>
      </c>
      <c r="F387" s="70">
        <v>44546</v>
      </c>
      <c r="G387" t="str">
        <f>IFERROR(IF((F387-F386)&gt;1,(LARGE(F387:$F387,1)-LARGE(F$379:$F387,2))-1,""),"")</f>
        <v/>
      </c>
    </row>
    <row r="388" spans="1:7">
      <c r="A388" s="77">
        <f>(SUM(D389:D392)/(A381+4)+SUM(G389:G392))</f>
        <v>4</v>
      </c>
      <c r="B388">
        <v>470100</v>
      </c>
      <c r="C388">
        <v>470100</v>
      </c>
      <c r="D388">
        <v>2</v>
      </c>
      <c r="E388">
        <v>10</v>
      </c>
      <c r="F388" s="70">
        <v>44548</v>
      </c>
      <c r="G388">
        <f>IFERROR(IF((F388-F387)&gt;1,(LARGE(F388:$F388,1)-LARGE(F$379:$F388,2))-1,""),"")</f>
        <v>1</v>
      </c>
    </row>
    <row r="389" spans="1:7">
      <c r="A389" s="85" t="s">
        <v>44027</v>
      </c>
      <c r="B389">
        <v>470100</v>
      </c>
      <c r="C389">
        <v>470100</v>
      </c>
      <c r="D389">
        <v>1</v>
      </c>
      <c r="E389">
        <v>4</v>
      </c>
      <c r="F389" s="70">
        <v>44549</v>
      </c>
      <c r="G389" t="str">
        <f>IFERROR(IF((F389-F388)&gt;1,(LARGE(F389:$F389,1)-LARGE(F$379:$F389,2))-1,""),"")</f>
        <v/>
      </c>
    </row>
    <row r="390" spans="1:7">
      <c r="A390" s="86">
        <f>IF(A383+A381&gt;10,"Look Up",AVERAGE(A385,A386))</f>
        <v>13.379166666666666</v>
      </c>
      <c r="B390">
        <v>472550</v>
      </c>
      <c r="C390">
        <v>470100</v>
      </c>
      <c r="D390">
        <v>5</v>
      </c>
      <c r="E390">
        <v>16</v>
      </c>
      <c r="F390" s="70">
        <v>44550</v>
      </c>
      <c r="G390" t="str">
        <f>IFERROR(IF((F390-F389)&gt;1,(LARGE(F390:$F390,1)-LARGE(F$379:$F390,2))-1,""),"")</f>
        <v/>
      </c>
    </row>
    <row r="391" spans="1:7">
      <c r="A391" s="85" t="s">
        <v>44030</v>
      </c>
      <c r="B391">
        <v>475000</v>
      </c>
      <c r="C391">
        <v>475000</v>
      </c>
      <c r="D391">
        <v>1</v>
      </c>
      <c r="E391">
        <v>4</v>
      </c>
      <c r="F391" s="70">
        <v>44551</v>
      </c>
      <c r="G391" t="str">
        <f>IFERROR(IF((F391-F390)&gt;1,(LARGE(F391:$F391,1)-LARGE(F$379:$F391,2))-1,""),"")</f>
        <v/>
      </c>
    </row>
    <row r="392" spans="1:7">
      <c r="A392" s="88"/>
      <c r="B392">
        <v>475000</v>
      </c>
      <c r="C392">
        <v>475000</v>
      </c>
      <c r="D392">
        <v>3</v>
      </c>
      <c r="E392">
        <v>11</v>
      </c>
      <c r="F392" s="70">
        <v>44554</v>
      </c>
      <c r="G392">
        <f>IFERROR(IF((F392-F391)&gt;1,(LARGE(F392:$F392,1)-LARGE(F$379:$F392,2))-1,""),"")</f>
        <v>2</v>
      </c>
    </row>
    <row r="393" spans="1:7">
      <c r="A393" s="65">
        <f>VLOOKUP(TradeSheet!A28,TypeIDs!B:C,2,FALSE)</f>
        <v>12816</v>
      </c>
      <c r="B393" t="s">
        <v>43998</v>
      </c>
      <c r="C393" t="s">
        <v>43999</v>
      </c>
      <c r="D393" t="s">
        <v>44000</v>
      </c>
      <c r="E393" t="s">
        <v>44001</v>
      </c>
      <c r="F393" t="s">
        <v>44009</v>
      </c>
      <c r="G393" t="s">
        <v>44008</v>
      </c>
    </row>
    <row r="394" spans="1:7">
      <c r="A394" s="65" t="str">
        <f>CONCATENATE(SwaggerURL,input027)</f>
        <v>https://esi.evetech.net/latest/markets/10000021/history/?datasource=tranquility&amp;type_id=12816</v>
      </c>
      <c r="B394">
        <v>942032.43</v>
      </c>
      <c r="C394">
        <v>942000</v>
      </c>
      <c r="D394">
        <v>6</v>
      </c>
      <c r="E394">
        <v>74</v>
      </c>
      <c r="F394" s="70">
        <v>44539</v>
      </c>
      <c r="G394" t="str">
        <f>IFERROR(IF((F394-F393)&gt;1,(LARGE(F394:$F394,1)-LARGE(F$394:$F394,2))-1,""),"")</f>
        <v/>
      </c>
    </row>
    <row r="395" spans="1:7">
      <c r="A395" s="79" t="s">
        <v>44018</v>
      </c>
      <c r="B395">
        <v>942000</v>
      </c>
      <c r="C395">
        <v>942000</v>
      </c>
      <c r="D395">
        <v>4</v>
      </c>
      <c r="E395">
        <v>118</v>
      </c>
      <c r="F395" s="70">
        <v>44540</v>
      </c>
      <c r="G395" t="str">
        <f>IFERROR(IF((F395-F394)&gt;1,(LARGE(F395:$F395,1)-LARGE(F$394:$F395,2))-1,""),"")</f>
        <v/>
      </c>
    </row>
    <row r="396" spans="1:7">
      <c r="A396" s="78">
        <f>MAX(0,(CurrentDate-2)-F407)</f>
        <v>2</v>
      </c>
      <c r="B396">
        <v>942000</v>
      </c>
      <c r="C396">
        <v>942000</v>
      </c>
      <c r="D396">
        <v>3</v>
      </c>
      <c r="E396">
        <v>146</v>
      </c>
      <c r="F396" s="70">
        <v>44541</v>
      </c>
      <c r="G396" t="str">
        <f>IFERROR(IF((F396-F395)&gt;1,(LARGE(F396:$F396,1)-LARGE(F$394:$F396,2))-1,""),"")</f>
        <v/>
      </c>
    </row>
    <row r="397" spans="1:7">
      <c r="A397" s="79" t="s">
        <v>44026</v>
      </c>
      <c r="B397">
        <v>942000</v>
      </c>
      <c r="C397">
        <v>942000</v>
      </c>
      <c r="D397">
        <v>5</v>
      </c>
      <c r="E397">
        <v>144</v>
      </c>
      <c r="F397" s="70">
        <v>44542</v>
      </c>
      <c r="G397" t="str">
        <f>IFERROR(IF((F397-F396)&gt;1,(LARGE(F397:$F397,1)-LARGE(F$394:$F397,2))-1,""),"")</f>
        <v/>
      </c>
    </row>
    <row r="398" spans="1:7">
      <c r="A398" s="83">
        <f>SUM(G401:G407)</f>
        <v>1</v>
      </c>
      <c r="B398">
        <v>942000</v>
      </c>
      <c r="C398">
        <v>942000</v>
      </c>
      <c r="D398">
        <v>1</v>
      </c>
      <c r="E398">
        <v>6</v>
      </c>
      <c r="F398" s="70">
        <v>44543</v>
      </c>
      <c r="G398" t="str">
        <f>IFERROR(IF((F398-F397)&gt;1,(LARGE(F398:$F398,1)-LARGE(F$394:$F398,2))-1,""),"")</f>
        <v/>
      </c>
    </row>
    <row r="399" spans="1:7">
      <c r="A399" s="79" t="s">
        <v>44029</v>
      </c>
      <c r="B399">
        <v>915703.7</v>
      </c>
      <c r="C399">
        <v>800000</v>
      </c>
      <c r="D399">
        <v>3</v>
      </c>
      <c r="E399">
        <v>54</v>
      </c>
      <c r="F399" s="70">
        <v>44544</v>
      </c>
      <c r="G399" t="str">
        <f>IFERROR(IF((F399-F398)&gt;1,(LARGE(F399:$F399,1)-LARGE(F$394:$F399,2))-1,""),"")</f>
        <v/>
      </c>
    </row>
    <row r="400" spans="1:7">
      <c r="A400" s="77">
        <f>(SUM(E394:E407)/(A396+14)+SUM(G394:G407))</f>
        <v>72.1875</v>
      </c>
      <c r="B400">
        <v>800000</v>
      </c>
      <c r="C400">
        <v>800000</v>
      </c>
      <c r="D400">
        <v>3</v>
      </c>
      <c r="E400">
        <v>20</v>
      </c>
      <c r="F400" s="70">
        <v>44545</v>
      </c>
      <c r="G400" t="str">
        <f>IFERROR(IF((F400-F399)&gt;1,(LARGE(F400:$F400,1)-LARGE(F$394:$F400,2))-1,""),"")</f>
        <v/>
      </c>
    </row>
    <row r="401" spans="1:7">
      <c r="A401" s="77">
        <f>(SUM(E401:E407)/(A396+7)+SUM(G401:G407))</f>
        <v>65.111111111111114</v>
      </c>
      <c r="B401">
        <v>942000</v>
      </c>
      <c r="C401">
        <v>942000</v>
      </c>
      <c r="D401">
        <v>3</v>
      </c>
      <c r="E401">
        <v>144</v>
      </c>
      <c r="F401" s="70">
        <v>44547</v>
      </c>
      <c r="G401">
        <f>IFERROR(IF((F401-F400)&gt;1,(LARGE(F401:$F401,1)-LARGE(F$394:$F401,2))-1,""),"")</f>
        <v>1</v>
      </c>
    </row>
    <row r="402" spans="1:7">
      <c r="A402" s="79" t="s">
        <v>44028</v>
      </c>
      <c r="B402">
        <v>825000</v>
      </c>
      <c r="C402">
        <v>825000</v>
      </c>
      <c r="D402">
        <v>3</v>
      </c>
      <c r="E402">
        <v>57</v>
      </c>
      <c r="F402" s="70">
        <v>44548</v>
      </c>
      <c r="G402" t="str">
        <f>IFERROR(IF((F402-F401)&gt;1,(LARGE(F402:$F402,1)-LARGE(F$394:$F402,2))-1,""),"")</f>
        <v/>
      </c>
    </row>
    <row r="403" spans="1:7">
      <c r="A403" s="77">
        <f>(SUM(D404:D407)/(A396+4)+SUM(G404:G407))</f>
        <v>2.8333333333333335</v>
      </c>
      <c r="B403">
        <v>825000</v>
      </c>
      <c r="C403">
        <v>825000</v>
      </c>
      <c r="D403">
        <v>2</v>
      </c>
      <c r="E403">
        <v>28</v>
      </c>
      <c r="F403" s="70">
        <v>44549</v>
      </c>
      <c r="G403" t="str">
        <f>IFERROR(IF((F403-F402)&gt;1,(LARGE(F403:$F403,1)-LARGE(F$394:$F403,2))-1,""),"")</f>
        <v/>
      </c>
    </row>
    <row r="404" spans="1:7">
      <c r="A404" s="85" t="s">
        <v>44027</v>
      </c>
      <c r="B404">
        <v>942000</v>
      </c>
      <c r="C404">
        <v>942000</v>
      </c>
      <c r="D404">
        <v>4</v>
      </c>
      <c r="E404">
        <v>127</v>
      </c>
      <c r="F404" s="70">
        <v>44550</v>
      </c>
      <c r="G404" t="str">
        <f>IFERROR(IF((F404-F403)&gt;1,(LARGE(F404:$F404,1)-LARGE(F$394:$F404,2))-1,""),"")</f>
        <v/>
      </c>
    </row>
    <row r="405" spans="1:7">
      <c r="A405" s="86">
        <f>IF(A398+A396&gt;10,"Look Up",AVERAGE(A400,A401))</f>
        <v>68.649305555555557</v>
      </c>
      <c r="B405">
        <v>942300</v>
      </c>
      <c r="C405">
        <v>942300</v>
      </c>
      <c r="D405">
        <v>8</v>
      </c>
      <c r="E405">
        <v>132</v>
      </c>
      <c r="F405" s="70">
        <v>44551</v>
      </c>
      <c r="G405" t="str">
        <f>IFERROR(IF((F405-F404)&gt;1,(LARGE(F405:$F405,1)-LARGE(F$394:$F405,2))-1,""),"")</f>
        <v/>
      </c>
    </row>
    <row r="406" spans="1:7">
      <c r="A406" s="85" t="s">
        <v>44030</v>
      </c>
      <c r="B406">
        <v>800000</v>
      </c>
      <c r="C406">
        <v>800000</v>
      </c>
      <c r="D406">
        <v>3</v>
      </c>
      <c r="E406">
        <v>41</v>
      </c>
      <c r="F406" s="70">
        <v>44552</v>
      </c>
      <c r="G406" t="str">
        <f>IFERROR(IF((F406-F405)&gt;1,(LARGE(F406:$F406,1)-LARGE(F$394:$F406,2))-1,""),"")</f>
        <v/>
      </c>
    </row>
    <row r="407" spans="1:7">
      <c r="A407" s="88"/>
      <c r="B407">
        <v>800000</v>
      </c>
      <c r="C407">
        <v>800000</v>
      </c>
      <c r="D407">
        <v>2</v>
      </c>
      <c r="E407">
        <v>48</v>
      </c>
      <c r="F407" s="70">
        <v>44553</v>
      </c>
      <c r="G407" t="str">
        <f>IFERROR(IF((F407-F406)&gt;1,(LARGE(F407:$F407,1)-LARGE(F$394:$F407,2))-1,""),"")</f>
        <v/>
      </c>
    </row>
    <row r="408" spans="1:7">
      <c r="A408" s="65">
        <f>VLOOKUP(TradeSheet!A29,TypeIDs!B:C,2,FALSE)</f>
        <v>12820</v>
      </c>
      <c r="B408" t="s">
        <v>43998</v>
      </c>
      <c r="C408" t="s">
        <v>43999</v>
      </c>
      <c r="D408" t="s">
        <v>44000</v>
      </c>
      <c r="E408" t="s">
        <v>44001</v>
      </c>
      <c r="F408" t="s">
        <v>44009</v>
      </c>
      <c r="G408" t="s">
        <v>44008</v>
      </c>
    </row>
    <row r="409" spans="1:7">
      <c r="A409" s="65" t="str">
        <f>CONCATENATE(SwaggerURL,input028)</f>
        <v>https://esi.evetech.net/latest/markets/10000021/history/?datasource=tranquility&amp;type_id=12820</v>
      </c>
      <c r="B409">
        <v>928250</v>
      </c>
      <c r="C409">
        <v>927900</v>
      </c>
      <c r="D409">
        <v>2</v>
      </c>
      <c r="E409">
        <v>16</v>
      </c>
      <c r="F409" s="70">
        <v>44537</v>
      </c>
      <c r="G409" t="str">
        <f>IFERROR(IF((F409-F408)&gt;1,(LARGE(F409:$F409,1)-LARGE(F$409:$F409,2))-1,""),"")</f>
        <v/>
      </c>
    </row>
    <row r="410" spans="1:7">
      <c r="A410" s="79" t="s">
        <v>44018</v>
      </c>
      <c r="B410">
        <v>927945.16</v>
      </c>
      <c r="C410">
        <v>927900</v>
      </c>
      <c r="D410">
        <v>5</v>
      </c>
      <c r="E410">
        <v>62</v>
      </c>
      <c r="F410" s="70">
        <v>44539</v>
      </c>
      <c r="G410">
        <f>IFERROR(IF((F410-F409)&gt;1,(LARGE(F410:$F410,1)-LARGE(F$409:$F410,2))-1,""),"")</f>
        <v>1</v>
      </c>
    </row>
    <row r="411" spans="1:7">
      <c r="A411" s="78">
        <f>MAX(0,(CurrentDate-2)-F422)</f>
        <v>2</v>
      </c>
      <c r="B411">
        <v>927900</v>
      </c>
      <c r="C411">
        <v>927900</v>
      </c>
      <c r="D411">
        <v>4</v>
      </c>
      <c r="E411">
        <v>18</v>
      </c>
      <c r="F411" s="70">
        <v>44540</v>
      </c>
      <c r="G411" t="str">
        <f>IFERROR(IF((F411-F410)&gt;1,(LARGE(F411:$F411,1)-LARGE(F$409:$F411,2))-1,""),"")</f>
        <v/>
      </c>
    </row>
    <row r="412" spans="1:7">
      <c r="A412" s="79" t="s">
        <v>44026</v>
      </c>
      <c r="B412">
        <v>927900</v>
      </c>
      <c r="C412">
        <v>927900</v>
      </c>
      <c r="D412">
        <v>2</v>
      </c>
      <c r="E412">
        <v>88</v>
      </c>
      <c r="F412" s="70">
        <v>44541</v>
      </c>
      <c r="G412" t="str">
        <f>IFERROR(IF((F412-F411)&gt;1,(LARGE(F412:$F412,1)-LARGE(F$409:$F412,2))-1,""),"")</f>
        <v/>
      </c>
    </row>
    <row r="413" spans="1:7">
      <c r="A413" s="83">
        <f>SUM(G416:G422)</f>
        <v>2</v>
      </c>
      <c r="B413">
        <v>927900</v>
      </c>
      <c r="C413">
        <v>927900</v>
      </c>
      <c r="D413">
        <v>4</v>
      </c>
      <c r="E413">
        <v>76</v>
      </c>
      <c r="F413" s="70">
        <v>44542</v>
      </c>
      <c r="G413" t="str">
        <f>IFERROR(IF((F413-F412)&gt;1,(LARGE(F413:$F413,1)-LARGE(F$409:$F413,2))-1,""),"")</f>
        <v/>
      </c>
    </row>
    <row r="414" spans="1:7">
      <c r="A414" s="79" t="s">
        <v>44029</v>
      </c>
      <c r="B414">
        <v>927900</v>
      </c>
      <c r="C414">
        <v>927900</v>
      </c>
      <c r="D414">
        <v>1</v>
      </c>
      <c r="E414">
        <v>20</v>
      </c>
      <c r="F414" s="70">
        <v>44543</v>
      </c>
      <c r="G414" t="str">
        <f>IFERROR(IF((F414-F413)&gt;1,(LARGE(F414:$F414,1)-LARGE(F$409:$F414,2))-1,""),"")</f>
        <v/>
      </c>
    </row>
    <row r="415" spans="1:7">
      <c r="A415" s="77">
        <f>(SUM(E409:E422)/(A411+14)+SUM(G409:G422))</f>
        <v>37.9375</v>
      </c>
      <c r="B415">
        <v>927900</v>
      </c>
      <c r="C415">
        <v>927900</v>
      </c>
      <c r="D415">
        <v>1</v>
      </c>
      <c r="E415">
        <v>4</v>
      </c>
      <c r="F415" s="70">
        <v>44544</v>
      </c>
      <c r="G415" t="str">
        <f>IFERROR(IF((F415-F414)&gt;1,(LARGE(F415:$F415,1)-LARGE(F$409:$F415,2))-1,""),"")</f>
        <v/>
      </c>
    </row>
    <row r="416" spans="1:7">
      <c r="A416" s="77">
        <f>(SUM(E416:E422)/(A411+7)+SUM(G416:G422))</f>
        <v>32.555555555555557</v>
      </c>
      <c r="B416">
        <v>800000</v>
      </c>
      <c r="C416">
        <v>800000</v>
      </c>
      <c r="D416">
        <v>1</v>
      </c>
      <c r="E416">
        <v>36</v>
      </c>
      <c r="F416" s="70">
        <v>44547</v>
      </c>
      <c r="G416">
        <f>IFERROR(IF((F416-F415)&gt;1,(LARGE(F416:$F416,1)-LARGE(F$409:$F416,2))-1,""),"")</f>
        <v>2</v>
      </c>
    </row>
    <row r="417" spans="1:7">
      <c r="A417" s="79" t="s">
        <v>44028</v>
      </c>
      <c r="B417">
        <v>800000</v>
      </c>
      <c r="C417">
        <v>800000</v>
      </c>
      <c r="D417">
        <v>2</v>
      </c>
      <c r="E417">
        <v>45</v>
      </c>
      <c r="F417" s="70">
        <v>44548</v>
      </c>
      <c r="G417" t="str">
        <f>IFERROR(IF((F417-F416)&gt;1,(LARGE(F417:$F417,1)-LARGE(F$409:$F417,2))-1,""),"")</f>
        <v/>
      </c>
    </row>
    <row r="418" spans="1:7">
      <c r="A418" s="77">
        <f>(SUM(D419:D422)/(A411+4)+SUM(G419:G422))</f>
        <v>1.6666666666666667</v>
      </c>
      <c r="B418">
        <v>800000</v>
      </c>
      <c r="C418">
        <v>800000</v>
      </c>
      <c r="D418">
        <v>3</v>
      </c>
      <c r="E418">
        <v>18</v>
      </c>
      <c r="F418" s="70">
        <v>44549</v>
      </c>
      <c r="G418" t="str">
        <f>IFERROR(IF((F418-F417)&gt;1,(LARGE(F418:$F418,1)-LARGE(F$409:$F418,2))-1,""),"")</f>
        <v/>
      </c>
    </row>
    <row r="419" spans="1:7">
      <c r="A419" s="85" t="s">
        <v>44027</v>
      </c>
      <c r="B419">
        <v>927900</v>
      </c>
      <c r="C419">
        <v>927900</v>
      </c>
      <c r="D419">
        <v>2</v>
      </c>
      <c r="E419">
        <v>40</v>
      </c>
      <c r="F419" s="70">
        <v>44550</v>
      </c>
      <c r="G419" t="str">
        <f>IFERROR(IF((F419-F418)&gt;1,(LARGE(F419:$F419,1)-LARGE(F$409:$F419,2))-1,""),"")</f>
        <v/>
      </c>
    </row>
    <row r="420" spans="1:7">
      <c r="A420" s="86">
        <f>IF(A413+A411&gt;10,"Look Up",AVERAGE(A415,A416))</f>
        <v>35.246527777777779</v>
      </c>
      <c r="B420">
        <v>927900</v>
      </c>
      <c r="C420">
        <v>927900</v>
      </c>
      <c r="D420">
        <v>4</v>
      </c>
      <c r="E420">
        <v>68</v>
      </c>
      <c r="F420" s="70">
        <v>44551</v>
      </c>
      <c r="G420" t="str">
        <f>IFERROR(IF((F420-F419)&gt;1,(LARGE(F420:$F420,1)-LARGE(F$409:$F420,2))-1,""),"")</f>
        <v/>
      </c>
    </row>
    <row r="421" spans="1:7">
      <c r="A421" s="85" t="s">
        <v>44030</v>
      </c>
      <c r="B421">
        <v>825000</v>
      </c>
      <c r="C421">
        <v>825000</v>
      </c>
      <c r="D421">
        <v>2</v>
      </c>
      <c r="E421">
        <v>20</v>
      </c>
      <c r="F421" s="70">
        <v>44552</v>
      </c>
      <c r="G421" t="str">
        <f>IFERROR(IF((F421-F420)&gt;1,(LARGE(F421:$F421,1)-LARGE(F$409:$F421,2))-1,""),"")</f>
        <v/>
      </c>
    </row>
    <row r="422" spans="1:7">
      <c r="A422" s="88"/>
      <c r="B422">
        <v>825000</v>
      </c>
      <c r="C422">
        <v>825000</v>
      </c>
      <c r="D422">
        <v>2</v>
      </c>
      <c r="E422">
        <v>48</v>
      </c>
      <c r="F422" s="70">
        <v>44553</v>
      </c>
      <c r="G422" t="str">
        <f>IFERROR(IF((F422-F421)&gt;1,(LARGE(F422:$F422,1)-LARGE(F$409:$F422,2))-1,""),"")</f>
        <v/>
      </c>
    </row>
    <row r="423" spans="1:7">
      <c r="A423" s="65">
        <f>VLOOKUP(TradeSheet!A30,TypeIDs!B:C,2,FALSE)</f>
        <v>12818</v>
      </c>
      <c r="B423" t="s">
        <v>43998</v>
      </c>
      <c r="C423" t="s">
        <v>43999</v>
      </c>
      <c r="D423" t="s">
        <v>44000</v>
      </c>
      <c r="E423" t="s">
        <v>44001</v>
      </c>
      <c r="F423" t="s">
        <v>44009</v>
      </c>
      <c r="G423" t="s">
        <v>44008</v>
      </c>
    </row>
    <row r="424" spans="1:7">
      <c r="A424" s="65" t="str">
        <f>CONCATENATE(SwaggerURL,input029)</f>
        <v>https://esi.evetech.net/latest/markets/10000021/history/?datasource=tranquility&amp;type_id=12818</v>
      </c>
      <c r="B424">
        <v>450000</v>
      </c>
      <c r="C424">
        <v>450000</v>
      </c>
      <c r="D424">
        <v>1</v>
      </c>
      <c r="E424">
        <v>3</v>
      </c>
      <c r="F424" s="70">
        <v>44522</v>
      </c>
      <c r="G424" t="str">
        <f>IFERROR(IF((F424-F423)&gt;1,(LARGE(F424:$F424,1)-LARGE(F$424:$F424,2))-1,""),"")</f>
        <v/>
      </c>
    </row>
    <row r="425" spans="1:7">
      <c r="A425" s="79" t="s">
        <v>44018</v>
      </c>
      <c r="B425">
        <v>450000</v>
      </c>
      <c r="C425">
        <v>450000</v>
      </c>
      <c r="D425">
        <v>1</v>
      </c>
      <c r="E425">
        <v>5</v>
      </c>
      <c r="F425" s="70">
        <v>44523</v>
      </c>
      <c r="G425" t="str">
        <f>IFERROR(IF((F425-F424)&gt;1,(LARGE(F425:$F425,1)-LARGE(F$424:$F425,2))-1,""),"")</f>
        <v/>
      </c>
    </row>
    <row r="426" spans="1:7">
      <c r="A426" s="78">
        <f>MAX(0,(CurrentDate-2)-F437)</f>
        <v>2</v>
      </c>
      <c r="B426">
        <v>451100</v>
      </c>
      <c r="C426">
        <v>451100</v>
      </c>
      <c r="D426">
        <v>3</v>
      </c>
      <c r="E426">
        <v>21</v>
      </c>
      <c r="F426" s="70">
        <v>44525</v>
      </c>
      <c r="G426">
        <f>IFERROR(IF((F426-F425)&gt;1,(LARGE(F426:$F426,1)-LARGE(F$424:$F426,2))-1,""),"")</f>
        <v>1</v>
      </c>
    </row>
    <row r="427" spans="1:7">
      <c r="A427" s="79" t="s">
        <v>44026</v>
      </c>
      <c r="B427">
        <v>451100</v>
      </c>
      <c r="C427">
        <v>451100</v>
      </c>
      <c r="D427">
        <v>1</v>
      </c>
      <c r="E427">
        <v>4</v>
      </c>
      <c r="F427" s="70">
        <v>44528</v>
      </c>
      <c r="G427">
        <f>IFERROR(IF((F427-F426)&gt;1,(LARGE(F427:$F427,1)-LARGE(F$424:$F427,2))-1,""),"")</f>
        <v>2</v>
      </c>
    </row>
    <row r="428" spans="1:7">
      <c r="A428" s="83">
        <f>SUM(G431:G437)</f>
        <v>13</v>
      </c>
      <c r="B428">
        <v>451100</v>
      </c>
      <c r="C428">
        <v>451100</v>
      </c>
      <c r="D428">
        <v>1</v>
      </c>
      <c r="E428">
        <v>8</v>
      </c>
      <c r="F428" s="70">
        <v>44529</v>
      </c>
      <c r="G428" t="str">
        <f>IFERROR(IF((F428-F427)&gt;1,(LARGE(F428:$F428,1)-LARGE(F$424:$F428,2))-1,""),"")</f>
        <v/>
      </c>
    </row>
    <row r="429" spans="1:7">
      <c r="A429" s="79" t="s">
        <v>44029</v>
      </c>
      <c r="B429">
        <v>450000</v>
      </c>
      <c r="C429">
        <v>450000</v>
      </c>
      <c r="D429">
        <v>1</v>
      </c>
      <c r="E429">
        <v>3</v>
      </c>
      <c r="F429" s="70">
        <v>44532</v>
      </c>
      <c r="G429">
        <f>IFERROR(IF((F429-F428)&gt;1,(LARGE(F429:$F429,1)-LARGE(F$424:$F429,2))-1,""),"")</f>
        <v>2</v>
      </c>
    </row>
    <row r="430" spans="1:7">
      <c r="A430" s="77">
        <f>(SUM(E424:E437)/(A426+14)+SUM(G424:G437))</f>
        <v>27.75</v>
      </c>
      <c r="B430">
        <v>450000</v>
      </c>
      <c r="C430">
        <v>450000</v>
      </c>
      <c r="D430">
        <v>1</v>
      </c>
      <c r="E430">
        <v>5</v>
      </c>
      <c r="F430" s="70">
        <v>44533</v>
      </c>
      <c r="G430" t="str">
        <f>IFERROR(IF((F430-F429)&gt;1,(LARGE(F430:$F430,1)-LARGE(F$424:$F430,2))-1,""),"")</f>
        <v/>
      </c>
    </row>
    <row r="431" spans="1:7">
      <c r="A431" s="77">
        <f>(SUM(E431:E437)/(A426+7)+SUM(G431:G437))</f>
        <v>24.888888888888889</v>
      </c>
      <c r="B431">
        <v>449900</v>
      </c>
      <c r="C431">
        <v>449900</v>
      </c>
      <c r="D431">
        <v>1</v>
      </c>
      <c r="E431">
        <v>6</v>
      </c>
      <c r="F431" s="70">
        <v>44540</v>
      </c>
      <c r="G431">
        <f>IFERROR(IF((F431-F430)&gt;1,(LARGE(F431:$F431,1)-LARGE(F$424:$F431,2))-1,""),"")</f>
        <v>6</v>
      </c>
    </row>
    <row r="432" spans="1:7">
      <c r="A432" s="79" t="s">
        <v>44028</v>
      </c>
      <c r="B432">
        <v>450000</v>
      </c>
      <c r="C432">
        <v>450000</v>
      </c>
      <c r="D432">
        <v>1</v>
      </c>
      <c r="E432">
        <v>15</v>
      </c>
      <c r="F432" s="70">
        <v>44542</v>
      </c>
      <c r="G432">
        <f>IFERROR(IF((F432-F431)&gt;1,(LARGE(F432:$F432,1)-LARGE(F$424:$F432,2))-1,""),"")</f>
        <v>1</v>
      </c>
    </row>
    <row r="433" spans="1:7">
      <c r="A433" s="77">
        <f>(SUM(D434:D437)/(A426+4)+SUM(G434:G437))</f>
        <v>2.666666666666667</v>
      </c>
      <c r="B433">
        <v>429000</v>
      </c>
      <c r="C433">
        <v>429000</v>
      </c>
      <c r="D433">
        <v>1</v>
      </c>
      <c r="E433">
        <v>5</v>
      </c>
      <c r="F433" s="70">
        <v>44548</v>
      </c>
      <c r="G433">
        <f>IFERROR(IF((F433-F432)&gt;1,(LARGE(F433:$F433,1)-LARGE(F$424:$F433,2))-1,""),"")</f>
        <v>5</v>
      </c>
    </row>
    <row r="434" spans="1:7">
      <c r="A434" s="85" t="s">
        <v>44027</v>
      </c>
      <c r="B434">
        <v>429000</v>
      </c>
      <c r="C434">
        <v>429000</v>
      </c>
      <c r="D434">
        <v>1</v>
      </c>
      <c r="E434">
        <v>8</v>
      </c>
      <c r="F434" s="70">
        <v>44549</v>
      </c>
      <c r="G434" t="str">
        <f>IFERROR(IF((F434-F433)&gt;1,(LARGE(F434:$F434,1)-LARGE(F$424:$F434,2))-1,""),"")</f>
        <v/>
      </c>
    </row>
    <row r="435" spans="1:7">
      <c r="A435" s="86" t="str">
        <f>IF(A428+A426&gt;10,"Look Up",AVERAGE(A430,A431))</f>
        <v>Look Up</v>
      </c>
      <c r="B435">
        <v>429000</v>
      </c>
      <c r="C435">
        <v>429000</v>
      </c>
      <c r="D435">
        <v>3</v>
      </c>
      <c r="E435">
        <v>23</v>
      </c>
      <c r="F435" s="70">
        <v>44550</v>
      </c>
      <c r="G435" t="str">
        <f>IFERROR(IF((F435-F434)&gt;1,(LARGE(F435:$F435,1)-LARGE(F$424:$F435,2))-1,""),"")</f>
        <v/>
      </c>
    </row>
    <row r="436" spans="1:7">
      <c r="A436" s="85" t="s">
        <v>44030</v>
      </c>
      <c r="B436">
        <v>448542.86</v>
      </c>
      <c r="C436">
        <v>429000</v>
      </c>
      <c r="D436">
        <v>4</v>
      </c>
      <c r="E436">
        <v>35</v>
      </c>
      <c r="F436" s="70">
        <v>44552</v>
      </c>
      <c r="G436">
        <f>IFERROR(IF((F436-F435)&gt;1,(LARGE(F436:$F436,1)-LARGE(F$424:$F436,2))-1,""),"")</f>
        <v>1</v>
      </c>
    </row>
    <row r="437" spans="1:7">
      <c r="A437" s="88"/>
      <c r="B437">
        <v>451100</v>
      </c>
      <c r="C437">
        <v>451100</v>
      </c>
      <c r="D437">
        <v>2</v>
      </c>
      <c r="E437">
        <v>15</v>
      </c>
      <c r="F437" s="70">
        <v>44553</v>
      </c>
      <c r="G437" t="str">
        <f>IFERROR(IF((F437-F436)&gt;1,(LARGE(F437:$F437,1)-LARGE(F$424:$F437,2))-1,""),"")</f>
        <v/>
      </c>
    </row>
    <row r="438" spans="1:7">
      <c r="A438" s="65">
        <f>VLOOKUP(TradeSheet!A31,TypeIDs!B:C,2,FALSE)</f>
        <v>12565</v>
      </c>
      <c r="B438" t="s">
        <v>43998</v>
      </c>
      <c r="C438" t="s">
        <v>43999</v>
      </c>
      <c r="D438" t="s">
        <v>44000</v>
      </c>
      <c r="E438" t="s">
        <v>44001</v>
      </c>
      <c r="F438" t="s">
        <v>44009</v>
      </c>
      <c r="G438" t="s">
        <v>44008</v>
      </c>
    </row>
    <row r="439" spans="1:7">
      <c r="A439" s="65" t="str">
        <f>CONCATENATE(SwaggerURL,input030)</f>
        <v>https://esi.evetech.net/latest/markets/10000021/history/?datasource=tranquility&amp;type_id=12565</v>
      </c>
      <c r="B439">
        <v>399300</v>
      </c>
      <c r="C439">
        <v>399300</v>
      </c>
      <c r="D439">
        <v>1</v>
      </c>
      <c r="E439">
        <v>4</v>
      </c>
      <c r="F439" s="70">
        <v>44523</v>
      </c>
      <c r="G439" t="str">
        <f>IFERROR(IF((F439-F438)&gt;1,(LARGE(F439:$F439,1)-LARGE(F$439:$F439,2))-1,""),"")</f>
        <v/>
      </c>
    </row>
    <row r="440" spans="1:7">
      <c r="A440" s="79" t="s">
        <v>44018</v>
      </c>
      <c r="B440">
        <v>399000</v>
      </c>
      <c r="C440">
        <v>399000</v>
      </c>
      <c r="D440">
        <v>1</v>
      </c>
      <c r="E440">
        <v>4</v>
      </c>
      <c r="F440" s="70">
        <v>44526</v>
      </c>
      <c r="G440">
        <f>IFERROR(IF((F440-F439)&gt;1,(LARGE(F440:$F440,1)-LARGE(F$439:$F440,2))-1,""),"")</f>
        <v>2</v>
      </c>
    </row>
    <row r="441" spans="1:7">
      <c r="A441" s="78">
        <f>MAX(0,(CurrentDate-2)-F452)</f>
        <v>1</v>
      </c>
      <c r="B441">
        <v>399300</v>
      </c>
      <c r="C441">
        <v>399300</v>
      </c>
      <c r="D441">
        <v>2</v>
      </c>
      <c r="E441">
        <v>8</v>
      </c>
      <c r="F441" s="70">
        <v>44527</v>
      </c>
      <c r="G441" t="str">
        <f>IFERROR(IF((F441-F440)&gt;1,(LARGE(F441:$F441,1)-LARGE(F$439:$F441,2))-1,""),"")</f>
        <v/>
      </c>
    </row>
    <row r="442" spans="1:7">
      <c r="A442" s="79" t="s">
        <v>44026</v>
      </c>
      <c r="B442">
        <v>388900</v>
      </c>
      <c r="C442">
        <v>388900</v>
      </c>
      <c r="D442">
        <v>1</v>
      </c>
      <c r="E442">
        <v>4</v>
      </c>
      <c r="F442" s="70">
        <v>44533</v>
      </c>
      <c r="G442">
        <f>IFERROR(IF((F442-F441)&gt;1,(LARGE(F442:$F442,1)-LARGE(F$439:$F442,2))-1,""),"")</f>
        <v>5</v>
      </c>
    </row>
    <row r="443" spans="1:7">
      <c r="A443" s="83">
        <f>SUM(G446:G452)</f>
        <v>5</v>
      </c>
      <c r="B443">
        <v>388900</v>
      </c>
      <c r="C443">
        <v>388900</v>
      </c>
      <c r="D443">
        <v>1</v>
      </c>
      <c r="E443">
        <v>2</v>
      </c>
      <c r="F443" s="70">
        <v>44534</v>
      </c>
      <c r="G443" t="str">
        <f>IFERROR(IF((F443-F442)&gt;1,(LARGE(F443:$F443,1)-LARGE(F$439:$F443,2))-1,""),"")</f>
        <v/>
      </c>
    </row>
    <row r="444" spans="1:7">
      <c r="A444" s="79" t="s">
        <v>44029</v>
      </c>
      <c r="B444">
        <v>350000</v>
      </c>
      <c r="C444">
        <v>350000</v>
      </c>
      <c r="D444">
        <v>2</v>
      </c>
      <c r="E444">
        <v>12</v>
      </c>
      <c r="F444" s="70">
        <v>44538</v>
      </c>
      <c r="G444">
        <f>IFERROR(IF((F444-F443)&gt;1,(LARGE(F444:$F444,1)-LARGE(F$439:$F444,2))-1,""),"")</f>
        <v>3</v>
      </c>
    </row>
    <row r="445" spans="1:7">
      <c r="A445" s="77">
        <f>(SUM(E439:E452)/(A441+14)+SUM(G439:G452))</f>
        <v>25.066666666666666</v>
      </c>
      <c r="B445">
        <v>254818.18</v>
      </c>
      <c r="C445">
        <v>1000</v>
      </c>
      <c r="D445">
        <v>3</v>
      </c>
      <c r="E445">
        <v>11</v>
      </c>
      <c r="F445" s="70">
        <v>44542</v>
      </c>
      <c r="G445">
        <f>IFERROR(IF((F445-F444)&gt;1,(LARGE(F445:$F445,1)-LARGE(F$439:$F445,2))-1,""),"")</f>
        <v>3</v>
      </c>
    </row>
    <row r="446" spans="1:7">
      <c r="A446" s="77">
        <f>(SUM(E446:E452)/(A441+7)+SUM(G446:G452))</f>
        <v>12.625</v>
      </c>
      <c r="B446">
        <v>389000</v>
      </c>
      <c r="C446">
        <v>389000</v>
      </c>
      <c r="D446">
        <v>2</v>
      </c>
      <c r="E446">
        <v>8</v>
      </c>
      <c r="F446" s="70">
        <v>44544</v>
      </c>
      <c r="G446">
        <f>IFERROR(IF((F446-F445)&gt;1,(LARGE(F446:$F446,1)-LARGE(F$439:$F446,2))-1,""),"")</f>
        <v>1</v>
      </c>
    </row>
    <row r="447" spans="1:7">
      <c r="A447" s="79" t="s">
        <v>44028</v>
      </c>
      <c r="B447">
        <v>389000</v>
      </c>
      <c r="C447">
        <v>389000</v>
      </c>
      <c r="D447">
        <v>1</v>
      </c>
      <c r="E447">
        <v>2</v>
      </c>
      <c r="F447" s="70">
        <v>44546</v>
      </c>
      <c r="G447">
        <f>IFERROR(IF((F447-F446)&gt;1,(LARGE(F447:$F447,1)-LARGE(F$439:$F447,2))-1,""),"")</f>
        <v>1</v>
      </c>
    </row>
    <row r="448" spans="1:7">
      <c r="A448" s="77">
        <f>(SUM(D449:D452)/(A441+4)+SUM(G449:G452))</f>
        <v>4.2</v>
      </c>
      <c r="B448">
        <v>398685.71</v>
      </c>
      <c r="C448">
        <v>398000</v>
      </c>
      <c r="D448">
        <v>4</v>
      </c>
      <c r="E448">
        <v>21</v>
      </c>
      <c r="F448" s="70">
        <v>44547</v>
      </c>
      <c r="G448" t="str">
        <f>IFERROR(IF((F448-F447)&gt;1,(LARGE(F448:$F448,1)-LARGE(F$439:$F448,2))-1,""),"")</f>
        <v/>
      </c>
    </row>
    <row r="449" spans="1:7">
      <c r="A449" s="85" t="s">
        <v>44027</v>
      </c>
      <c r="B449">
        <v>398000</v>
      </c>
      <c r="C449">
        <v>398000</v>
      </c>
      <c r="D449">
        <v>1</v>
      </c>
      <c r="E449">
        <v>2</v>
      </c>
      <c r="F449" s="70">
        <v>44548</v>
      </c>
      <c r="G449" t="str">
        <f>IFERROR(IF((F449-F448)&gt;1,(LARGE(F449:$F449,1)-LARGE(F$439:$F449,2))-1,""),"")</f>
        <v/>
      </c>
    </row>
    <row r="450" spans="1:7">
      <c r="A450" s="86">
        <f>IF(A443+A441&gt;10,"Look Up",AVERAGE(A445,A446))</f>
        <v>18.845833333333331</v>
      </c>
      <c r="B450">
        <v>398800</v>
      </c>
      <c r="C450">
        <v>398800</v>
      </c>
      <c r="D450">
        <v>2</v>
      </c>
      <c r="E450">
        <v>8</v>
      </c>
      <c r="F450" s="70">
        <v>44549</v>
      </c>
      <c r="G450" t="str">
        <f>IFERROR(IF((F450-F449)&gt;1,(LARGE(F450:$F450,1)-LARGE(F$439:$F450,2))-1,""),"")</f>
        <v/>
      </c>
    </row>
    <row r="451" spans="1:7">
      <c r="A451" s="85" t="s">
        <v>44030</v>
      </c>
      <c r="B451">
        <v>398800</v>
      </c>
      <c r="C451">
        <v>398800</v>
      </c>
      <c r="D451">
        <v>1</v>
      </c>
      <c r="E451">
        <v>8</v>
      </c>
      <c r="F451" s="70">
        <v>44550</v>
      </c>
      <c r="G451" t="str">
        <f>IFERROR(IF((F451-F450)&gt;1,(LARGE(F451:$F451,1)-LARGE(F$439:$F451,2))-1,""),"")</f>
        <v/>
      </c>
    </row>
    <row r="452" spans="1:7">
      <c r="A452" s="88"/>
      <c r="B452">
        <v>398800</v>
      </c>
      <c r="C452">
        <v>398800</v>
      </c>
      <c r="D452">
        <v>2</v>
      </c>
      <c r="E452">
        <v>12</v>
      </c>
      <c r="F452" s="70">
        <v>44554</v>
      </c>
      <c r="G452">
        <f>IFERROR(IF((F452-F451)&gt;1,(LARGE(F452:$F452,1)-LARGE(F$439:$F452,2))-1,""),"")</f>
        <v>3</v>
      </c>
    </row>
    <row r="453" spans="1:7">
      <c r="A453" s="65">
        <f>VLOOKUP(TradeSheet!A32,TypeIDs!B:C,2,FALSE)</f>
        <v>23105</v>
      </c>
      <c r="B453" t="s">
        <v>43998</v>
      </c>
      <c r="C453" t="s">
        <v>43999</v>
      </c>
      <c r="D453" t="s">
        <v>44000</v>
      </c>
      <c r="E453" t="s">
        <v>44001</v>
      </c>
      <c r="F453" t="s">
        <v>44009</v>
      </c>
      <c r="G453" t="s">
        <v>44008</v>
      </c>
    </row>
    <row r="454" spans="1:7">
      <c r="A454" s="65" t="str">
        <f>CONCATENATE(SwaggerURL,input031)</f>
        <v>https://esi.evetech.net/latest/markets/10000021/history/?datasource=tranquility&amp;type_id=23105</v>
      </c>
      <c r="B454">
        <v>990000</v>
      </c>
      <c r="C454">
        <v>990000</v>
      </c>
      <c r="D454">
        <v>2</v>
      </c>
      <c r="E454">
        <v>12</v>
      </c>
      <c r="F454" s="70">
        <v>44514</v>
      </c>
      <c r="G454" t="str">
        <f>IFERROR(IF((F454-F453)&gt;1,(LARGE(F454:$F454,1)-LARGE(F$454:$F454,2))-1,""),"")</f>
        <v/>
      </c>
    </row>
    <row r="455" spans="1:7">
      <c r="A455" s="79" t="s">
        <v>44018</v>
      </c>
      <c r="B455">
        <v>990000</v>
      </c>
      <c r="C455">
        <v>990000</v>
      </c>
      <c r="D455">
        <v>1</v>
      </c>
      <c r="E455">
        <v>8</v>
      </c>
      <c r="F455" s="70">
        <v>44516</v>
      </c>
      <c r="G455">
        <f>IFERROR(IF((F455-F454)&gt;1,(LARGE(F455:$F455,1)-LARGE(F$454:$F455,2))-1,""),"")</f>
        <v>1</v>
      </c>
    </row>
    <row r="456" spans="1:7">
      <c r="A456" s="78">
        <f>MAX(0,(CurrentDate-2)-F467)</f>
        <v>3</v>
      </c>
      <c r="B456">
        <v>990000</v>
      </c>
      <c r="C456">
        <v>990000</v>
      </c>
      <c r="D456">
        <v>2</v>
      </c>
      <c r="E456">
        <v>14</v>
      </c>
      <c r="F456" s="70">
        <v>44517</v>
      </c>
      <c r="G456" t="str">
        <f>IFERROR(IF((F456-F455)&gt;1,(LARGE(F456:$F456,1)-LARGE(F$454:$F456,2))-1,""),"")</f>
        <v/>
      </c>
    </row>
    <row r="457" spans="1:7">
      <c r="A457" s="79" t="s">
        <v>44026</v>
      </c>
      <c r="B457">
        <v>990000</v>
      </c>
      <c r="C457">
        <v>990000</v>
      </c>
      <c r="D457">
        <v>2</v>
      </c>
      <c r="E457">
        <v>8</v>
      </c>
      <c r="F457" s="70">
        <v>44519</v>
      </c>
      <c r="G457">
        <f>IFERROR(IF((F457-F456)&gt;1,(LARGE(F457:$F457,1)-LARGE(F$454:$F457,2))-1,""),"")</f>
        <v>1</v>
      </c>
    </row>
    <row r="458" spans="1:7">
      <c r="A458" s="83">
        <f>SUM(G461:G467)</f>
        <v>12</v>
      </c>
      <c r="B458">
        <v>990000</v>
      </c>
      <c r="C458">
        <v>990000</v>
      </c>
      <c r="D458">
        <v>1</v>
      </c>
      <c r="E458">
        <v>8</v>
      </c>
      <c r="F458" s="70">
        <v>44520</v>
      </c>
      <c r="G458" t="str">
        <f>IFERROR(IF((F458-F457)&gt;1,(LARGE(F458:$F458,1)-LARGE(F$454:$F458,2))-1,""),"")</f>
        <v/>
      </c>
    </row>
    <row r="459" spans="1:7">
      <c r="A459" s="79" t="s">
        <v>44029</v>
      </c>
      <c r="B459">
        <v>990000</v>
      </c>
      <c r="C459">
        <v>990000</v>
      </c>
      <c r="D459">
        <v>1</v>
      </c>
      <c r="E459">
        <v>8</v>
      </c>
      <c r="F459" s="70">
        <v>44522</v>
      </c>
      <c r="G459">
        <f>IFERROR(IF((F459-F458)&gt;1,(LARGE(F459:$F459,1)-LARGE(F$454:$F459,2))-1,""),"")</f>
        <v>1</v>
      </c>
    </row>
    <row r="460" spans="1:7">
      <c r="A460" s="77">
        <f>(SUM(E454:E467)/(A456+14)+SUM(G454:G467))</f>
        <v>38.882352941176471</v>
      </c>
      <c r="B460">
        <v>1068000</v>
      </c>
      <c r="C460">
        <v>1068000</v>
      </c>
      <c r="D460">
        <v>1</v>
      </c>
      <c r="E460">
        <v>4</v>
      </c>
      <c r="F460" s="70">
        <v>44533</v>
      </c>
      <c r="G460">
        <f>IFERROR(IF((F460-F459)&gt;1,(LARGE(F460:$F460,1)-LARGE(F$454:$F460,2))-1,""),"")</f>
        <v>10</v>
      </c>
    </row>
    <row r="461" spans="1:7">
      <c r="A461" s="77">
        <f>(SUM(E461:E467)/(A456+7)+SUM(G461:G467))</f>
        <v>29.4</v>
      </c>
      <c r="B461">
        <v>981411.76</v>
      </c>
      <c r="C461">
        <v>700000</v>
      </c>
      <c r="D461">
        <v>3</v>
      </c>
      <c r="E461">
        <v>34</v>
      </c>
      <c r="F461" s="70">
        <v>44540</v>
      </c>
      <c r="G461">
        <f>IFERROR(IF((F461-F460)&gt;1,(LARGE(F461:$F461,1)-LARGE(F$454:$F461,2))-1,""),"")</f>
        <v>6</v>
      </c>
    </row>
    <row r="462" spans="1:7">
      <c r="A462" s="79" t="s">
        <v>44028</v>
      </c>
      <c r="B462">
        <v>1068000</v>
      </c>
      <c r="C462">
        <v>1068000</v>
      </c>
      <c r="D462">
        <v>4</v>
      </c>
      <c r="E462">
        <v>68</v>
      </c>
      <c r="F462" s="70">
        <v>44542</v>
      </c>
      <c r="G462">
        <f>IFERROR(IF((F462-F461)&gt;1,(LARGE(F462:$F462,1)-LARGE(F$454:$F462,2))-1,""),"")</f>
        <v>1</v>
      </c>
    </row>
    <row r="463" spans="1:7">
      <c r="A463" s="77">
        <f>(SUM(D464:D467)/(A456+4)+SUM(G464:G467))</f>
        <v>6.1428571428571423</v>
      </c>
      <c r="B463">
        <v>1068000</v>
      </c>
      <c r="C463">
        <v>1068000</v>
      </c>
      <c r="D463">
        <v>1</v>
      </c>
      <c r="E463">
        <v>8</v>
      </c>
      <c r="F463" s="70">
        <v>44543</v>
      </c>
      <c r="G463" t="str">
        <f>IFERROR(IF((F463-F462)&gt;1,(LARGE(F463:$F463,1)-LARGE(F$454:$F463,2))-1,""),"")</f>
        <v/>
      </c>
    </row>
    <row r="464" spans="1:7">
      <c r="A464" s="85" t="s">
        <v>44027</v>
      </c>
      <c r="B464">
        <v>1068000</v>
      </c>
      <c r="C464">
        <v>1068000</v>
      </c>
      <c r="D464">
        <v>1</v>
      </c>
      <c r="E464">
        <v>8</v>
      </c>
      <c r="F464" s="70">
        <v>44544</v>
      </c>
      <c r="G464" t="str">
        <f>IFERROR(IF((F464-F463)&gt;1,(LARGE(F464:$F464,1)-LARGE(F$454:$F464,2))-1,""),"")</f>
        <v/>
      </c>
    </row>
    <row r="465" spans="1:7">
      <c r="A465" s="86" t="str">
        <f>IF(A458+A456&gt;10,"Look Up",AVERAGE(A460,A461))</f>
        <v>Look Up</v>
      </c>
      <c r="B465">
        <v>1068000</v>
      </c>
      <c r="C465">
        <v>1068000</v>
      </c>
      <c r="D465">
        <v>1</v>
      </c>
      <c r="E465">
        <v>8</v>
      </c>
      <c r="F465" s="70">
        <v>44548</v>
      </c>
      <c r="G465">
        <f>IFERROR(IF((F465-F464)&gt;1,(LARGE(F465:$F465,1)-LARGE(F$454:$F465,2))-1,""),"")</f>
        <v>3</v>
      </c>
    </row>
    <row r="466" spans="1:7">
      <c r="A466" s="85" t="s">
        <v>44030</v>
      </c>
      <c r="B466">
        <v>1068000</v>
      </c>
      <c r="C466">
        <v>1068000</v>
      </c>
      <c r="D466">
        <v>4</v>
      </c>
      <c r="E466">
        <v>38</v>
      </c>
      <c r="F466" s="70">
        <v>44551</v>
      </c>
      <c r="G466">
        <f>IFERROR(IF((F466-F465)&gt;1,(LARGE(F466:$F466,1)-LARGE(F$454:$F466,2))-1,""),"")</f>
        <v>2</v>
      </c>
    </row>
    <row r="467" spans="1:7">
      <c r="A467" s="88"/>
      <c r="B467">
        <v>1068000</v>
      </c>
      <c r="C467">
        <v>1068000</v>
      </c>
      <c r="D467">
        <v>2</v>
      </c>
      <c r="E467">
        <v>10</v>
      </c>
      <c r="F467" s="70">
        <v>44552</v>
      </c>
      <c r="G467" t="str">
        <f>IFERROR(IF((F467-F466)&gt;1,(LARGE(F467:$F467,1)-LARGE(F$454:$F467,2))-1,""),"")</f>
        <v/>
      </c>
    </row>
    <row r="468" spans="1:7">
      <c r="A468" s="65">
        <f>VLOOKUP(TradeSheet!A33,TypeIDs!B:C,2,FALSE)</f>
        <v>23089</v>
      </c>
      <c r="B468" t="s">
        <v>43998</v>
      </c>
      <c r="C468" t="s">
        <v>43999</v>
      </c>
      <c r="D468" t="s">
        <v>44000</v>
      </c>
      <c r="E468" t="s">
        <v>44001</v>
      </c>
      <c r="F468" t="s">
        <v>44009</v>
      </c>
      <c r="G468" t="s">
        <v>44008</v>
      </c>
    </row>
    <row r="469" spans="1:7">
      <c r="A469" s="65" t="str">
        <f>CONCATENATE(SwaggerURL,input032)</f>
        <v>https://esi.evetech.net/latest/markets/10000021/history/?datasource=tranquility&amp;type_id=23089</v>
      </c>
      <c r="B469">
        <v>576000</v>
      </c>
      <c r="C469">
        <v>576000</v>
      </c>
      <c r="D469">
        <v>1</v>
      </c>
      <c r="E469">
        <v>6</v>
      </c>
      <c r="F469" s="70">
        <v>44515</v>
      </c>
      <c r="G469" t="str">
        <f>IFERROR(IF((F469-F468)&gt;1,(LARGE(F469:$F469,1)-LARGE(F$469:$F469,2))-1,""),"")</f>
        <v/>
      </c>
    </row>
    <row r="470" spans="1:7">
      <c r="A470" s="79" t="s">
        <v>44018</v>
      </c>
      <c r="B470">
        <v>576000</v>
      </c>
      <c r="C470">
        <v>576000</v>
      </c>
      <c r="D470">
        <v>1</v>
      </c>
      <c r="E470">
        <v>15</v>
      </c>
      <c r="F470" s="70">
        <v>44520</v>
      </c>
      <c r="G470">
        <f>IFERROR(IF((F470-F469)&gt;1,(LARGE(F470:$F470,1)-LARGE(F$469:$F470,2))-1,""),"")</f>
        <v>4</v>
      </c>
    </row>
    <row r="471" spans="1:7">
      <c r="A471" s="78">
        <f>MAX(0,(CurrentDate-2)-F482)</f>
        <v>4</v>
      </c>
      <c r="B471">
        <v>576000</v>
      </c>
      <c r="C471">
        <v>576000</v>
      </c>
      <c r="D471">
        <v>2</v>
      </c>
      <c r="E471">
        <v>11</v>
      </c>
      <c r="F471" s="70">
        <v>44521</v>
      </c>
      <c r="G471" t="str">
        <f>IFERROR(IF((F471-F470)&gt;1,(LARGE(F471:$F471,1)-LARGE(F$469:$F471,2))-1,""),"")</f>
        <v/>
      </c>
    </row>
    <row r="472" spans="1:7">
      <c r="A472" s="79" t="s">
        <v>44026</v>
      </c>
      <c r="B472">
        <v>576000</v>
      </c>
      <c r="C472">
        <v>576000</v>
      </c>
      <c r="D472">
        <v>1</v>
      </c>
      <c r="E472">
        <v>5</v>
      </c>
      <c r="F472" s="70">
        <v>44523</v>
      </c>
      <c r="G472">
        <f>IFERROR(IF((F472-F471)&gt;1,(LARGE(F472:$F472,1)-LARGE(F$469:$F472,2))-1,""),"")</f>
        <v>1</v>
      </c>
    </row>
    <row r="473" spans="1:7">
      <c r="A473" s="83">
        <f>SUM(G476:G482)</f>
        <v>16</v>
      </c>
      <c r="B473">
        <v>576000</v>
      </c>
      <c r="C473">
        <v>576000</v>
      </c>
      <c r="D473">
        <v>1</v>
      </c>
      <c r="E473">
        <v>6</v>
      </c>
      <c r="F473" s="70">
        <v>44524</v>
      </c>
      <c r="G473" t="str">
        <f>IFERROR(IF((F473-F472)&gt;1,(LARGE(F473:$F473,1)-LARGE(F$469:$F473,2))-1,""),"")</f>
        <v/>
      </c>
    </row>
    <row r="474" spans="1:7">
      <c r="A474" s="79" t="s">
        <v>44029</v>
      </c>
      <c r="B474">
        <v>576000</v>
      </c>
      <c r="C474">
        <v>576000</v>
      </c>
      <c r="D474">
        <v>2</v>
      </c>
      <c r="E474">
        <v>13</v>
      </c>
      <c r="F474" s="70">
        <v>44525</v>
      </c>
      <c r="G474" t="str">
        <f>IFERROR(IF((F474-F473)&gt;1,(LARGE(F474:$F474,1)-LARGE(F$469:$F474,2))-1,""),"")</f>
        <v/>
      </c>
    </row>
    <row r="475" spans="1:7">
      <c r="A475" s="77">
        <f>(SUM(E469:E482)/(A471+14)+SUM(G469:G482))</f>
        <v>28.777777777777779</v>
      </c>
      <c r="B475">
        <v>576000</v>
      </c>
      <c r="C475">
        <v>576000</v>
      </c>
      <c r="D475">
        <v>1</v>
      </c>
      <c r="E475">
        <v>4</v>
      </c>
      <c r="F475" s="70">
        <v>44528</v>
      </c>
      <c r="G475">
        <f>IFERROR(IF((F475-F474)&gt;1,(LARGE(F475:$F475,1)-LARGE(F$469:$F475,2))-1,""),"")</f>
        <v>2</v>
      </c>
    </row>
    <row r="476" spans="1:7">
      <c r="A476" s="77">
        <f>(SUM(E476:E482)/(A471+7)+SUM(G476:G482))</f>
        <v>20</v>
      </c>
      <c r="B476">
        <v>576000</v>
      </c>
      <c r="C476">
        <v>576000</v>
      </c>
      <c r="D476">
        <v>1</v>
      </c>
      <c r="E476">
        <v>3</v>
      </c>
      <c r="F476" s="70">
        <v>44529</v>
      </c>
      <c r="G476" t="str">
        <f>IFERROR(IF((F476-F475)&gt;1,(LARGE(F476:$F476,1)-LARGE(F$469:$F476,2))-1,""),"")</f>
        <v/>
      </c>
    </row>
    <row r="477" spans="1:7">
      <c r="A477" s="79" t="s">
        <v>44028</v>
      </c>
      <c r="B477">
        <v>576100</v>
      </c>
      <c r="C477">
        <v>576100</v>
      </c>
      <c r="D477">
        <v>1</v>
      </c>
      <c r="E477">
        <v>5</v>
      </c>
      <c r="F477" s="70">
        <v>44533</v>
      </c>
      <c r="G477">
        <f>IFERROR(IF((F477-F476)&gt;1,(LARGE(F477:$F477,1)-LARGE(F$469:$F477,2))-1,""),"")</f>
        <v>3</v>
      </c>
    </row>
    <row r="478" spans="1:7">
      <c r="A478" s="77">
        <f>(SUM(D479:D482)/(A471+4)+SUM(G479:G482))</f>
        <v>13.125</v>
      </c>
      <c r="B478">
        <v>576100</v>
      </c>
      <c r="C478">
        <v>576100</v>
      </c>
      <c r="D478">
        <v>1</v>
      </c>
      <c r="E478">
        <v>10</v>
      </c>
      <c r="F478" s="70">
        <v>44535</v>
      </c>
      <c r="G478">
        <f>IFERROR(IF((F478-F477)&gt;1,(LARGE(F478:$F478,1)-LARGE(F$469:$F478,2))-1,""),"")</f>
        <v>1</v>
      </c>
    </row>
    <row r="479" spans="1:7">
      <c r="A479" s="85" t="s">
        <v>44027</v>
      </c>
      <c r="B479">
        <v>576000</v>
      </c>
      <c r="C479">
        <v>576000</v>
      </c>
      <c r="D479">
        <v>1</v>
      </c>
      <c r="E479">
        <v>1</v>
      </c>
      <c r="F479" s="70">
        <v>44541</v>
      </c>
      <c r="G479">
        <f>IFERROR(IF((F479-F478)&gt;1,(LARGE(F479:$F479,1)-LARGE(F$469:$F479,2))-1,""),"")</f>
        <v>5</v>
      </c>
    </row>
    <row r="480" spans="1:7">
      <c r="A480" s="86" t="str">
        <f>IF(A473+A471&gt;10,"Look Up",AVERAGE(A475,A476))</f>
        <v>Look Up</v>
      </c>
      <c r="B480">
        <v>575940</v>
      </c>
      <c r="C480">
        <v>575900</v>
      </c>
      <c r="D480">
        <v>2</v>
      </c>
      <c r="E480">
        <v>5</v>
      </c>
      <c r="F480" s="70">
        <v>44548</v>
      </c>
      <c r="G480">
        <f>IFERROR(IF((F480-F479)&gt;1,(LARGE(F480:$F480,1)-LARGE(F$469:$F480,2))-1,""),"")</f>
        <v>6</v>
      </c>
    </row>
    <row r="481" spans="1:7">
      <c r="A481" s="85" t="s">
        <v>44030</v>
      </c>
      <c r="B481">
        <v>576100</v>
      </c>
      <c r="C481">
        <v>576100</v>
      </c>
      <c r="D481">
        <v>3</v>
      </c>
      <c r="E481">
        <v>10</v>
      </c>
      <c r="F481" s="70">
        <v>44550</v>
      </c>
      <c r="G481">
        <f>IFERROR(IF((F481-F480)&gt;1,(LARGE(F481:$F481,1)-LARGE(F$469:$F481,2))-1,""),"")</f>
        <v>1</v>
      </c>
    </row>
    <row r="482" spans="1:7">
      <c r="A482" s="88"/>
      <c r="B482">
        <v>576060</v>
      </c>
      <c r="C482">
        <v>576000</v>
      </c>
      <c r="D482">
        <v>3</v>
      </c>
      <c r="E482">
        <v>10</v>
      </c>
      <c r="F482" s="70">
        <v>44551</v>
      </c>
      <c r="G482" t="str">
        <f>IFERROR(IF((F482-F481)&gt;1,(LARGE(F482:$F482,1)-LARGE(F$469:$F482,2))-1,""),"")</f>
        <v/>
      </c>
    </row>
    <row r="483" spans="1:7">
      <c r="A483" s="65">
        <f>VLOOKUP(TradeSheet!A34,TypeIDs!B:C,2,FALSE)</f>
        <v>23071</v>
      </c>
      <c r="B483" t="s">
        <v>43998</v>
      </c>
      <c r="C483" t="s">
        <v>43999</v>
      </c>
      <c r="D483" t="s">
        <v>44000</v>
      </c>
      <c r="E483" t="s">
        <v>44001</v>
      </c>
      <c r="F483" t="s">
        <v>44009</v>
      </c>
      <c r="G483" t="s">
        <v>44008</v>
      </c>
    </row>
    <row r="484" spans="1:7">
      <c r="A484" s="65" t="str">
        <f>CONCATENATE(SwaggerURL,input033)</f>
        <v>https://esi.evetech.net/latest/markets/10000021/history/?datasource=tranquility&amp;type_id=23071</v>
      </c>
      <c r="B484">
        <v>360100</v>
      </c>
      <c r="C484">
        <v>360100</v>
      </c>
      <c r="D484">
        <v>1</v>
      </c>
      <c r="E484">
        <v>4</v>
      </c>
      <c r="F484" s="70">
        <v>44535</v>
      </c>
      <c r="G484" t="str">
        <f>IFERROR(IF((F484-F483)&gt;1,(LARGE(F484:$F484,1)-LARGE(F$484:$F484,2))-1,""),"")</f>
        <v/>
      </c>
    </row>
    <row r="485" spans="1:7">
      <c r="A485" s="79" t="s">
        <v>44018</v>
      </c>
      <c r="B485">
        <v>360100</v>
      </c>
      <c r="C485">
        <v>360100</v>
      </c>
      <c r="D485">
        <v>1</v>
      </c>
      <c r="E485">
        <v>4</v>
      </c>
      <c r="F485" s="70">
        <v>44536</v>
      </c>
      <c r="G485" t="str">
        <f>IFERROR(IF((F485-F484)&gt;1,(LARGE(F485:$F485,1)-LARGE(F$484:$F485,2))-1,""),"")</f>
        <v/>
      </c>
    </row>
    <row r="486" spans="1:7">
      <c r="A486" s="78">
        <f>MAX(0,(CurrentDate-2)-F497)</f>
        <v>1</v>
      </c>
      <c r="B486">
        <v>360100</v>
      </c>
      <c r="C486">
        <v>360100</v>
      </c>
      <c r="D486">
        <v>7</v>
      </c>
      <c r="E486">
        <v>28</v>
      </c>
      <c r="F486" s="70">
        <v>44538</v>
      </c>
      <c r="G486">
        <f>IFERROR(IF((F486-F485)&gt;1,(LARGE(F486:$F486,1)-LARGE(F$484:$F486,2))-1,""),"")</f>
        <v>1</v>
      </c>
    </row>
    <row r="487" spans="1:7">
      <c r="A487" s="79" t="s">
        <v>44026</v>
      </c>
      <c r="B487">
        <v>360100</v>
      </c>
      <c r="C487">
        <v>360100</v>
      </c>
      <c r="D487">
        <v>1</v>
      </c>
      <c r="E487">
        <v>4</v>
      </c>
      <c r="F487" s="70">
        <v>44539</v>
      </c>
      <c r="G487" t="str">
        <f>IFERROR(IF((F487-F486)&gt;1,(LARGE(F487:$F487,1)-LARGE(F$484:$F487,2))-1,""),"")</f>
        <v/>
      </c>
    </row>
    <row r="488" spans="1:7">
      <c r="A488" s="83">
        <f>SUM(G491:G497)</f>
        <v>3</v>
      </c>
      <c r="B488">
        <v>360100</v>
      </c>
      <c r="C488">
        <v>360100</v>
      </c>
      <c r="D488">
        <v>1</v>
      </c>
      <c r="E488">
        <v>4</v>
      </c>
      <c r="F488" s="70">
        <v>44540</v>
      </c>
      <c r="G488" t="str">
        <f>IFERROR(IF((F488-F487)&gt;1,(LARGE(F488:$F488,1)-LARGE(F$484:$F488,2))-1,""),"")</f>
        <v/>
      </c>
    </row>
    <row r="489" spans="1:7">
      <c r="A489" s="79" t="s">
        <v>44029</v>
      </c>
      <c r="B489">
        <v>300160</v>
      </c>
      <c r="C489">
        <v>260200</v>
      </c>
      <c r="D489">
        <v>5</v>
      </c>
      <c r="E489">
        <v>20</v>
      </c>
      <c r="F489" s="70">
        <v>44542</v>
      </c>
      <c r="G489">
        <f>IFERROR(IF((F489-F488)&gt;1,(LARGE(F489:$F489,1)-LARGE(F$484:$F489,2))-1,""),"")</f>
        <v>1</v>
      </c>
    </row>
    <row r="490" spans="1:7">
      <c r="A490" s="77">
        <f>(SUM(E484:E497)/(A486+14)+SUM(G484:G497))</f>
        <v>22.733333333333334</v>
      </c>
      <c r="B490">
        <v>352964.29</v>
      </c>
      <c r="C490">
        <v>260200</v>
      </c>
      <c r="D490">
        <v>13</v>
      </c>
      <c r="E490">
        <v>56</v>
      </c>
      <c r="F490" s="70">
        <v>44544</v>
      </c>
      <c r="G490">
        <f>IFERROR(IF((F490-F489)&gt;1,(LARGE(F490:$F490,1)-LARGE(F$484:$F490,2))-1,""),"")</f>
        <v>1</v>
      </c>
    </row>
    <row r="491" spans="1:7">
      <c r="A491" s="77">
        <f>(SUM(E491:E497)/(A486+7)+SUM(G491:G497))</f>
        <v>19.375</v>
      </c>
      <c r="B491">
        <v>360100</v>
      </c>
      <c r="C491">
        <v>360100</v>
      </c>
      <c r="D491">
        <v>1</v>
      </c>
      <c r="E491">
        <v>1</v>
      </c>
      <c r="F491" s="70">
        <v>44545</v>
      </c>
      <c r="G491" t="str">
        <f>IFERROR(IF((F491-F490)&gt;1,(LARGE(F491:$F491,1)-LARGE(F$484:$F491,2))-1,""),"")</f>
        <v/>
      </c>
    </row>
    <row r="492" spans="1:7">
      <c r="A492" s="79" t="s">
        <v>44028</v>
      </c>
      <c r="B492">
        <v>360100</v>
      </c>
      <c r="C492">
        <v>360100</v>
      </c>
      <c r="D492">
        <v>4</v>
      </c>
      <c r="E492">
        <v>15</v>
      </c>
      <c r="F492" s="70">
        <v>44546</v>
      </c>
      <c r="G492" t="str">
        <f>IFERROR(IF((F492-F491)&gt;1,(LARGE(F492:$F492,1)-LARGE(F$484:$F492,2))-1,""),"")</f>
        <v/>
      </c>
    </row>
    <row r="493" spans="1:7">
      <c r="A493" s="77">
        <f>(SUM(D494:D497)/(A486+4)+SUM(G494:G497))</f>
        <v>6</v>
      </c>
      <c r="B493">
        <v>360100</v>
      </c>
      <c r="C493">
        <v>360100</v>
      </c>
      <c r="D493">
        <v>4</v>
      </c>
      <c r="E493">
        <v>24</v>
      </c>
      <c r="F493" s="70">
        <v>44547</v>
      </c>
      <c r="G493" t="str">
        <f>IFERROR(IF((F493-F492)&gt;1,(LARGE(F493:$F493,1)-LARGE(F$484:$F493,2))-1,""),"")</f>
        <v/>
      </c>
    </row>
    <row r="494" spans="1:7">
      <c r="A494" s="85" t="s">
        <v>44027</v>
      </c>
      <c r="B494">
        <v>360100</v>
      </c>
      <c r="C494">
        <v>360100</v>
      </c>
      <c r="D494">
        <v>3</v>
      </c>
      <c r="E494">
        <v>12</v>
      </c>
      <c r="F494" s="70">
        <v>44549</v>
      </c>
      <c r="G494">
        <f>IFERROR(IF((F494-F493)&gt;1,(LARGE(F494:$F494,1)-LARGE(F$484:$F494,2))-1,""),"")</f>
        <v>1</v>
      </c>
    </row>
    <row r="495" spans="1:7">
      <c r="A495" s="86">
        <f>IF(A488+A486&gt;10,"Look Up",AVERAGE(A490,A491))</f>
        <v>21.054166666666667</v>
      </c>
      <c r="B495">
        <v>360100</v>
      </c>
      <c r="C495">
        <v>360100</v>
      </c>
      <c r="D495">
        <v>6</v>
      </c>
      <c r="E495">
        <v>24</v>
      </c>
      <c r="F495" s="70">
        <v>44550</v>
      </c>
      <c r="G495" t="str">
        <f>IFERROR(IF((F495-F494)&gt;1,(LARGE(F495:$F495,1)-LARGE(F$484:$F495,2))-1,""),"")</f>
        <v/>
      </c>
    </row>
    <row r="496" spans="1:7">
      <c r="A496" s="85" t="s">
        <v>44030</v>
      </c>
      <c r="B496">
        <v>360100</v>
      </c>
      <c r="C496">
        <v>360100</v>
      </c>
      <c r="D496">
        <v>2</v>
      </c>
      <c r="E496">
        <v>11</v>
      </c>
      <c r="F496" s="70">
        <v>44551</v>
      </c>
      <c r="G496" t="str">
        <f>IFERROR(IF((F496-F495)&gt;1,(LARGE(F496:$F496,1)-LARGE(F$484:$F496,2))-1,""),"")</f>
        <v/>
      </c>
    </row>
    <row r="497" spans="1:7">
      <c r="A497" s="88"/>
      <c r="B497">
        <v>360100</v>
      </c>
      <c r="C497">
        <v>360100</v>
      </c>
      <c r="D497">
        <v>4</v>
      </c>
      <c r="E497">
        <v>44</v>
      </c>
      <c r="F497" s="70">
        <v>44554</v>
      </c>
      <c r="G497">
        <f>IFERROR(IF((F497-F496)&gt;1,(LARGE(F497:$F497,1)-LARGE(F$484:$F497,2))-1,""),"")</f>
        <v>2</v>
      </c>
    </row>
    <row r="498" spans="1:7">
      <c r="A498" s="65">
        <f>VLOOKUP(TradeSheet!A35,TypeIDs!B:C,2,FALSE)</f>
        <v>12787</v>
      </c>
      <c r="B498" t="s">
        <v>43998</v>
      </c>
      <c r="C498" t="s">
        <v>43999</v>
      </c>
      <c r="D498" t="s">
        <v>44000</v>
      </c>
      <c r="E498" t="s">
        <v>44001</v>
      </c>
      <c r="F498" t="s">
        <v>44009</v>
      </c>
      <c r="G498" t="s">
        <v>44008</v>
      </c>
    </row>
    <row r="499" spans="1:7">
      <c r="A499" s="65" t="str">
        <f>CONCATENATE(SwaggerURL,input034)</f>
        <v>https://esi.evetech.net/latest/markets/10000021/history/?datasource=tranquility&amp;type_id=12787</v>
      </c>
      <c r="B499">
        <v>1400</v>
      </c>
      <c r="C499">
        <v>1400</v>
      </c>
      <c r="D499">
        <v>2</v>
      </c>
      <c r="E499">
        <v>12000</v>
      </c>
      <c r="F499" s="70">
        <v>44488</v>
      </c>
      <c r="G499" t="str">
        <f>IFERROR(IF((F499-F498)&gt;1,(LARGE(F499:$F499,1)-LARGE(F$499:$F499,2))-1,""),"")</f>
        <v/>
      </c>
    </row>
    <row r="500" spans="1:7">
      <c r="A500" s="79" t="s">
        <v>44018</v>
      </c>
      <c r="B500">
        <v>400</v>
      </c>
      <c r="C500">
        <v>400</v>
      </c>
      <c r="D500">
        <v>1</v>
      </c>
      <c r="E500">
        <v>2000</v>
      </c>
      <c r="F500" s="70">
        <v>44511</v>
      </c>
      <c r="G500">
        <f>IFERROR(IF((F500-F499)&gt;1,(LARGE(F500:$F500,1)-LARGE(F$499:$F500,2))-1,""),"")</f>
        <v>22</v>
      </c>
    </row>
    <row r="501" spans="1:7">
      <c r="A501" s="78">
        <f>MAX(0,(CurrentDate-2)-F512)</f>
        <v>1</v>
      </c>
      <c r="B501">
        <v>400</v>
      </c>
      <c r="C501">
        <v>400</v>
      </c>
      <c r="D501">
        <v>1</v>
      </c>
      <c r="E501">
        <v>3000</v>
      </c>
      <c r="F501" s="70">
        <v>44514</v>
      </c>
      <c r="G501">
        <f>IFERROR(IF((F501-F500)&gt;1,(LARGE(F501:$F501,1)-LARGE(F$499:$F501,2))-1,""),"")</f>
        <v>2</v>
      </c>
    </row>
    <row r="502" spans="1:7">
      <c r="A502" s="79" t="s">
        <v>44026</v>
      </c>
      <c r="B502">
        <v>1400</v>
      </c>
      <c r="C502">
        <v>1400</v>
      </c>
      <c r="D502">
        <v>1</v>
      </c>
      <c r="E502">
        <v>1400</v>
      </c>
      <c r="F502" s="70">
        <v>44532</v>
      </c>
      <c r="G502">
        <f>IFERROR(IF((F502-F501)&gt;1,(LARGE(F502:$F502,1)-LARGE(F$499:$F502,2))-1,""),"")</f>
        <v>17</v>
      </c>
    </row>
    <row r="503" spans="1:7">
      <c r="A503" s="83">
        <f>SUM(G506:G512)</f>
        <v>9</v>
      </c>
      <c r="B503">
        <v>1400</v>
      </c>
      <c r="C503">
        <v>1400</v>
      </c>
      <c r="D503">
        <v>2</v>
      </c>
      <c r="E503">
        <v>3500</v>
      </c>
      <c r="F503" s="70">
        <v>44534</v>
      </c>
      <c r="G503">
        <f>IFERROR(IF((F503-F502)&gt;1,(LARGE(F503:$F503,1)-LARGE(F$499:$F503,2))-1,""),"")</f>
        <v>1</v>
      </c>
    </row>
    <row r="504" spans="1:7">
      <c r="A504" s="79" t="s">
        <v>44029</v>
      </c>
      <c r="B504">
        <v>1400</v>
      </c>
      <c r="C504">
        <v>1400</v>
      </c>
      <c r="D504">
        <v>1</v>
      </c>
      <c r="E504">
        <v>2000</v>
      </c>
      <c r="F504" s="70">
        <v>44536</v>
      </c>
      <c r="G504">
        <f>IFERROR(IF((F504-F503)&gt;1,(LARGE(F504:$F504,1)-LARGE(F$499:$F504,2))-1,""),"")</f>
        <v>1</v>
      </c>
    </row>
    <row r="505" spans="1:7">
      <c r="A505" s="77">
        <f>(SUM(E499:E512)/(A501+14)+SUM(G499:G512))</f>
        <v>5536.8</v>
      </c>
      <c r="B505">
        <v>1400</v>
      </c>
      <c r="C505">
        <v>1400</v>
      </c>
      <c r="D505">
        <v>1</v>
      </c>
      <c r="E505">
        <v>1706</v>
      </c>
      <c r="F505" s="70">
        <v>44538</v>
      </c>
      <c r="G505">
        <f>IFERROR(IF((F505-F504)&gt;1,(LARGE(F505:$F505,1)-LARGE(F$499:$F505,2))-1,""),"")</f>
        <v>1</v>
      </c>
    </row>
    <row r="506" spans="1:7">
      <c r="A506" s="77">
        <f>(SUM(E506:E512)/(A501+7)+SUM(G506:G512))</f>
        <v>7090.375</v>
      </c>
      <c r="B506">
        <v>1400</v>
      </c>
      <c r="C506">
        <v>1400</v>
      </c>
      <c r="D506">
        <v>1</v>
      </c>
      <c r="E506">
        <v>3394</v>
      </c>
      <c r="F506" s="70">
        <v>44539</v>
      </c>
      <c r="G506" t="str">
        <f>IFERROR(IF((F506-F505)&gt;1,(LARGE(F506:$F506,1)-LARGE(F$499:$F506,2))-1,""),"")</f>
        <v/>
      </c>
    </row>
    <row r="507" spans="1:7">
      <c r="A507" s="79" t="s">
        <v>44028</v>
      </c>
      <c r="B507">
        <v>1000</v>
      </c>
      <c r="C507">
        <v>1000</v>
      </c>
      <c r="D507">
        <v>1</v>
      </c>
      <c r="E507">
        <v>2000</v>
      </c>
      <c r="F507" s="70">
        <v>44540</v>
      </c>
      <c r="G507" t="str">
        <f>IFERROR(IF((F507-F506)&gt;1,(LARGE(F507:$F507,1)-LARGE(F$499:$F507,2))-1,""),"")</f>
        <v/>
      </c>
    </row>
    <row r="508" spans="1:7">
      <c r="A508" s="77">
        <f>(SUM(D509:D512)/(A501+4)+SUM(G509:G512))</f>
        <v>9.6</v>
      </c>
      <c r="B508">
        <v>949</v>
      </c>
      <c r="C508">
        <v>945</v>
      </c>
      <c r="D508">
        <v>4</v>
      </c>
      <c r="E508">
        <v>17256</v>
      </c>
      <c r="F508" s="70">
        <v>44542</v>
      </c>
      <c r="G508">
        <f>IFERROR(IF((F508-F507)&gt;1,(LARGE(F508:$F508,1)-LARGE(F$499:$F508,2))-1,""),"")</f>
        <v>1</v>
      </c>
    </row>
    <row r="509" spans="1:7">
      <c r="A509" s="85" t="s">
        <v>44027</v>
      </c>
      <c r="B509">
        <v>1000</v>
      </c>
      <c r="C509">
        <v>1000</v>
      </c>
      <c r="D509">
        <v>2</v>
      </c>
      <c r="E509">
        <v>20000</v>
      </c>
      <c r="F509" s="70">
        <v>44545</v>
      </c>
      <c r="G509">
        <f>IFERROR(IF((F509-F508)&gt;1,(LARGE(F509:$F509,1)-LARGE(F$499:$F509,2))-1,""),"")</f>
        <v>2</v>
      </c>
    </row>
    <row r="510" spans="1:7">
      <c r="A510" s="86">
        <f>IF(A503+A501&gt;10,"Look Up",AVERAGE(A505,A506))</f>
        <v>6313.5874999999996</v>
      </c>
      <c r="B510">
        <v>1000</v>
      </c>
      <c r="C510">
        <v>1000</v>
      </c>
      <c r="D510">
        <v>4</v>
      </c>
      <c r="E510">
        <v>9001</v>
      </c>
      <c r="F510" s="70">
        <v>44546</v>
      </c>
      <c r="G510" t="str">
        <f>IFERROR(IF((F510-F509)&gt;1,(LARGE(F510:$F510,1)-LARGE(F$499:$F510,2))-1,""),"")</f>
        <v/>
      </c>
    </row>
    <row r="511" spans="1:7">
      <c r="A511" s="85" t="s">
        <v>44030</v>
      </c>
      <c r="B511">
        <v>998</v>
      </c>
      <c r="C511">
        <v>998</v>
      </c>
      <c r="D511">
        <v>1</v>
      </c>
      <c r="E511">
        <v>1000</v>
      </c>
      <c r="F511" s="70">
        <v>44548</v>
      </c>
      <c r="G511">
        <f>IFERROR(IF((F511-F510)&gt;1,(LARGE(F511:$F511,1)-LARGE(F$499:$F511,2))-1,""),"")</f>
        <v>1</v>
      </c>
    </row>
    <row r="512" spans="1:7">
      <c r="A512" s="88"/>
      <c r="B512">
        <v>997</v>
      </c>
      <c r="C512">
        <v>997</v>
      </c>
      <c r="D512">
        <v>1</v>
      </c>
      <c r="E512">
        <v>4000</v>
      </c>
      <c r="F512" s="70">
        <v>44554</v>
      </c>
      <c r="G512">
        <f>IFERROR(IF((F512-F511)&gt;1,(LARGE(F512:$F512,1)-LARGE(F$499:$F512,2))-1,""),"")</f>
        <v>5</v>
      </c>
    </row>
    <row r="513" spans="1:7">
      <c r="A513" s="65">
        <f>VLOOKUP(TradeSheet!A36,TypeIDs!B:C,2,FALSE)</f>
        <v>12785</v>
      </c>
      <c r="B513" t="s">
        <v>43998</v>
      </c>
      <c r="C513" t="s">
        <v>43999</v>
      </c>
      <c r="D513" t="s">
        <v>44000</v>
      </c>
      <c r="E513" t="s">
        <v>44001</v>
      </c>
      <c r="F513" t="s">
        <v>44009</v>
      </c>
      <c r="G513" t="s">
        <v>44008</v>
      </c>
    </row>
    <row r="514" spans="1:7">
      <c r="A514" s="65" t="str">
        <f>CONCATENATE(SwaggerURL,input035)</f>
        <v>https://esi.evetech.net/latest/markets/10000021/history/?datasource=tranquility&amp;type_id=12785</v>
      </c>
      <c r="B514">
        <v>196</v>
      </c>
      <c r="C514">
        <v>196</v>
      </c>
      <c r="D514">
        <v>4</v>
      </c>
      <c r="E514">
        <v>72729</v>
      </c>
      <c r="F514" s="70">
        <v>44540</v>
      </c>
      <c r="G514" t="str">
        <f>IFERROR(IF((F514-F513)&gt;1,(LARGE(F514:$F514,1)-LARGE(F$514:$F514,2))-1,""),"")</f>
        <v/>
      </c>
    </row>
    <row r="515" spans="1:7">
      <c r="A515" s="79" t="s">
        <v>44018</v>
      </c>
      <c r="B515">
        <v>196</v>
      </c>
      <c r="C515">
        <v>196</v>
      </c>
      <c r="D515">
        <v>3</v>
      </c>
      <c r="E515">
        <v>15000</v>
      </c>
      <c r="F515" s="70">
        <v>44541</v>
      </c>
      <c r="G515" t="str">
        <f>IFERROR(IF((F515-F514)&gt;1,(LARGE(F515:$F515,1)-LARGE(F$514:$F515,2))-1,""),"")</f>
        <v/>
      </c>
    </row>
    <row r="516" spans="1:7">
      <c r="A516" s="78">
        <f>MAX(0,(CurrentDate-2)-F527)</f>
        <v>2</v>
      </c>
      <c r="B516">
        <v>196</v>
      </c>
      <c r="C516">
        <v>196</v>
      </c>
      <c r="D516">
        <v>3</v>
      </c>
      <c r="E516">
        <v>19672</v>
      </c>
      <c r="F516" s="70">
        <v>44542</v>
      </c>
      <c r="G516" t="str">
        <f>IFERROR(IF((F516-F515)&gt;1,(LARGE(F516:$F516,1)-LARGE(F$514:$F516,2))-1,""),"")</f>
        <v/>
      </c>
    </row>
    <row r="517" spans="1:7">
      <c r="A517" s="79" t="s">
        <v>44026</v>
      </c>
      <c r="B517">
        <v>1000</v>
      </c>
      <c r="C517">
        <v>1000</v>
      </c>
      <c r="D517">
        <v>1</v>
      </c>
      <c r="E517">
        <v>1000</v>
      </c>
      <c r="F517" s="70">
        <v>44543</v>
      </c>
      <c r="G517" t="str">
        <f>IFERROR(IF((F517-F516)&gt;1,(LARGE(F517:$F517,1)-LARGE(F$514:$F517,2))-1,""),"")</f>
        <v/>
      </c>
    </row>
    <row r="518" spans="1:7">
      <c r="A518" s="83">
        <f>SUM(G521:G527)</f>
        <v>0</v>
      </c>
      <c r="B518">
        <v>196</v>
      </c>
      <c r="C518">
        <v>196</v>
      </c>
      <c r="D518">
        <v>3</v>
      </c>
      <c r="E518">
        <v>6193</v>
      </c>
      <c r="F518" s="70">
        <v>44544</v>
      </c>
      <c r="G518" t="str">
        <f>IFERROR(IF((F518-F517)&gt;1,(LARGE(F518:$F518,1)-LARGE(F$514:$F518,2))-1,""),"")</f>
        <v/>
      </c>
    </row>
    <row r="519" spans="1:7">
      <c r="A519" s="79" t="s">
        <v>44029</v>
      </c>
      <c r="B519">
        <v>999</v>
      </c>
      <c r="C519">
        <v>999</v>
      </c>
      <c r="D519">
        <v>2</v>
      </c>
      <c r="E519">
        <v>3000</v>
      </c>
      <c r="F519" s="70">
        <v>44545</v>
      </c>
      <c r="G519" t="str">
        <f>IFERROR(IF((F519-F518)&gt;1,(LARGE(F519:$F519,1)-LARGE(F$514:$F519,2))-1,""),"")</f>
        <v/>
      </c>
    </row>
    <row r="520" spans="1:7">
      <c r="A520" s="77">
        <f>(SUM(E514:E527)/(A516+14)+SUM(G514:G527))</f>
        <v>8945.875</v>
      </c>
      <c r="B520">
        <v>999</v>
      </c>
      <c r="C520">
        <v>999</v>
      </c>
      <c r="D520">
        <v>2</v>
      </c>
      <c r="E520">
        <v>1240</v>
      </c>
      <c r="F520" s="70">
        <v>44546</v>
      </c>
      <c r="G520" t="str">
        <f>IFERROR(IF((F520-F519)&gt;1,(LARGE(F520:$F520,1)-LARGE(F$514:$F520,2))-1,""),"")</f>
        <v/>
      </c>
    </row>
    <row r="521" spans="1:7">
      <c r="A521" s="77">
        <f>(SUM(E521:E527)/(A516+7)+SUM(G521:G527))</f>
        <v>2700</v>
      </c>
      <c r="B521">
        <v>999</v>
      </c>
      <c r="C521">
        <v>999</v>
      </c>
      <c r="D521">
        <v>2</v>
      </c>
      <c r="E521">
        <v>2000</v>
      </c>
      <c r="F521" s="70">
        <v>44547</v>
      </c>
      <c r="G521" t="str">
        <f>IFERROR(IF((F521-F520)&gt;1,(LARGE(F521:$F521,1)-LARGE(F$514:$F521,2))-1,""),"")</f>
        <v/>
      </c>
    </row>
    <row r="522" spans="1:7">
      <c r="A522" s="79" t="s">
        <v>44028</v>
      </c>
      <c r="B522">
        <v>999</v>
      </c>
      <c r="C522">
        <v>999</v>
      </c>
      <c r="D522">
        <v>1</v>
      </c>
      <c r="E522">
        <v>5000</v>
      </c>
      <c r="F522" s="70">
        <v>44548</v>
      </c>
      <c r="G522" t="str">
        <f>IFERROR(IF((F522-F521)&gt;1,(LARGE(F522:$F522,1)-LARGE(F$514:$F522,2))-1,""),"")</f>
        <v/>
      </c>
    </row>
    <row r="523" spans="1:7">
      <c r="A523" s="77">
        <f>(SUM(D524:D527)/(A516+4)+SUM(G524:G527))</f>
        <v>1.1666666666666667</v>
      </c>
      <c r="B523">
        <v>999</v>
      </c>
      <c r="C523">
        <v>999</v>
      </c>
      <c r="D523">
        <v>2</v>
      </c>
      <c r="E523">
        <v>2300</v>
      </c>
      <c r="F523" s="70">
        <v>44549</v>
      </c>
      <c r="G523" t="str">
        <f>IFERROR(IF((F523-F522)&gt;1,(LARGE(F523:$F523,1)-LARGE(F$514:$F523,2))-1,""),"")</f>
        <v/>
      </c>
    </row>
    <row r="524" spans="1:7">
      <c r="A524" s="85" t="s">
        <v>44027</v>
      </c>
      <c r="B524">
        <v>999</v>
      </c>
      <c r="C524">
        <v>999</v>
      </c>
      <c r="D524">
        <v>4</v>
      </c>
      <c r="E524">
        <v>7000</v>
      </c>
      <c r="F524" s="70">
        <v>44550</v>
      </c>
      <c r="G524" t="str">
        <f>IFERROR(IF((F524-F523)&gt;1,(LARGE(F524:$F524,1)-LARGE(F$514:$F524,2))-1,""),"")</f>
        <v/>
      </c>
    </row>
    <row r="525" spans="1:7">
      <c r="A525" s="86">
        <f>IF(A518+A516&gt;10,"Look Up",AVERAGE(A520,A521))</f>
        <v>5822.9375</v>
      </c>
      <c r="B525">
        <v>800</v>
      </c>
      <c r="C525">
        <v>800</v>
      </c>
      <c r="D525">
        <v>1</v>
      </c>
      <c r="E525">
        <v>5000</v>
      </c>
      <c r="F525" s="70">
        <v>44551</v>
      </c>
      <c r="G525" t="str">
        <f>IFERROR(IF((F525-F524)&gt;1,(LARGE(F525:$F525,1)-LARGE(F$514:$F525,2))-1,""),"")</f>
        <v/>
      </c>
    </row>
    <row r="526" spans="1:7">
      <c r="A526" s="85" t="s">
        <v>44030</v>
      </c>
      <c r="B526">
        <v>799</v>
      </c>
      <c r="C526">
        <v>799</v>
      </c>
      <c r="D526">
        <v>1</v>
      </c>
      <c r="E526">
        <v>2000</v>
      </c>
      <c r="F526" s="70">
        <v>44552</v>
      </c>
      <c r="G526" t="str">
        <f>IFERROR(IF((F526-F525)&gt;1,(LARGE(F526:$F526,1)-LARGE(F$514:$F526,2))-1,""),"")</f>
        <v/>
      </c>
    </row>
    <row r="527" spans="1:7">
      <c r="A527" s="88"/>
      <c r="B527">
        <v>799</v>
      </c>
      <c r="C527">
        <v>799</v>
      </c>
      <c r="D527">
        <v>1</v>
      </c>
      <c r="E527">
        <v>1000</v>
      </c>
      <c r="F527" s="70">
        <v>44553</v>
      </c>
      <c r="G527" t="str">
        <f>IFERROR(IF((F527-F526)&gt;1,(LARGE(F527:$F527,1)-LARGE(F$514:$F527,2))-1,""),"")</f>
        <v/>
      </c>
    </row>
    <row r="528" spans="1:7">
      <c r="A528" s="65">
        <f>VLOOKUP(TradeSheet!A37,TypeIDs!B:C,2,FALSE)</f>
        <v>12789</v>
      </c>
      <c r="B528" t="s">
        <v>43998</v>
      </c>
      <c r="C528" t="s">
        <v>43999</v>
      </c>
      <c r="D528" t="s">
        <v>44000</v>
      </c>
      <c r="E528" t="s">
        <v>44001</v>
      </c>
      <c r="F528" t="s">
        <v>44009</v>
      </c>
      <c r="G528" t="s">
        <v>44008</v>
      </c>
    </row>
    <row r="529" spans="1:7">
      <c r="A529" s="65" t="str">
        <f>CONCATENATE(SwaggerURL,input036)</f>
        <v>https://esi.evetech.net/latest/markets/10000021/history/?datasource=tranquility&amp;type_id=12789</v>
      </c>
      <c r="B529">
        <v>742.9</v>
      </c>
      <c r="C529">
        <v>742.9</v>
      </c>
      <c r="D529">
        <v>1</v>
      </c>
      <c r="E529">
        <v>2988</v>
      </c>
      <c r="F529" s="70">
        <v>44539</v>
      </c>
      <c r="G529" t="str">
        <f>IFERROR(IF((F529-F528)&gt;1,(LARGE(F529:$F529,1)-LARGE(F$529:$F529,2))-1,""),"")</f>
        <v/>
      </c>
    </row>
    <row r="530" spans="1:7">
      <c r="A530" s="79" t="s">
        <v>44018</v>
      </c>
      <c r="B530">
        <v>739.9</v>
      </c>
      <c r="C530">
        <v>739.9</v>
      </c>
      <c r="D530">
        <v>7</v>
      </c>
      <c r="E530">
        <v>77343</v>
      </c>
      <c r="F530" s="70">
        <v>44540</v>
      </c>
      <c r="G530" t="str">
        <f>IFERROR(IF((F530-F529)&gt;1,(LARGE(F530:$F530,1)-LARGE(F$529:$F530,2))-1,""),"")</f>
        <v/>
      </c>
    </row>
    <row r="531" spans="1:7">
      <c r="A531" s="78">
        <f>MAX(0,(CurrentDate-2)-F542)</f>
        <v>2</v>
      </c>
      <c r="B531">
        <v>737.9</v>
      </c>
      <c r="C531">
        <v>737.9</v>
      </c>
      <c r="D531">
        <v>16</v>
      </c>
      <c r="E531">
        <v>36395</v>
      </c>
      <c r="F531" s="70">
        <v>44541</v>
      </c>
      <c r="G531" t="str">
        <f>IFERROR(IF((F531-F530)&gt;1,(LARGE(F531:$F531,1)-LARGE(F$529:$F531,2))-1,""),"")</f>
        <v/>
      </c>
    </row>
    <row r="532" spans="1:7">
      <c r="A532" s="79" t="s">
        <v>44026</v>
      </c>
      <c r="B532">
        <v>737.9</v>
      </c>
      <c r="C532">
        <v>737.9</v>
      </c>
      <c r="D532">
        <v>4</v>
      </c>
      <c r="E532">
        <v>31688</v>
      </c>
      <c r="F532" s="70">
        <v>44542</v>
      </c>
      <c r="G532" t="str">
        <f>IFERROR(IF((F532-F531)&gt;1,(LARGE(F532:$F532,1)-LARGE(F$529:$F532,2))-1,""),"")</f>
        <v/>
      </c>
    </row>
    <row r="533" spans="1:7">
      <c r="A533" s="83">
        <f>SUM(G536:G542)</f>
        <v>1</v>
      </c>
      <c r="B533">
        <v>725</v>
      </c>
      <c r="C533">
        <v>725</v>
      </c>
      <c r="D533">
        <v>1</v>
      </c>
      <c r="E533">
        <v>1000</v>
      </c>
      <c r="F533" s="70">
        <v>44543</v>
      </c>
      <c r="G533" t="str">
        <f>IFERROR(IF((F533-F532)&gt;1,(LARGE(F533:$F533,1)-LARGE(F$529:$F533,2))-1,""),"")</f>
        <v/>
      </c>
    </row>
    <row r="534" spans="1:7">
      <c r="A534" s="79" t="s">
        <v>44029</v>
      </c>
      <c r="B534">
        <v>712</v>
      </c>
      <c r="C534">
        <v>712</v>
      </c>
      <c r="D534">
        <v>2</v>
      </c>
      <c r="E534">
        <v>7542</v>
      </c>
      <c r="F534" s="70">
        <v>44544</v>
      </c>
      <c r="G534" t="str">
        <f>IFERROR(IF((F534-F533)&gt;1,(LARGE(F534:$F534,1)-LARGE(F$529:$F534,2))-1,""),"")</f>
        <v/>
      </c>
    </row>
    <row r="535" spans="1:7">
      <c r="A535" s="77">
        <f>(SUM(E529:E542)/(A531+14)+SUM(G529:G542))</f>
        <v>16476.8125</v>
      </c>
      <c r="B535">
        <v>704</v>
      </c>
      <c r="C535">
        <v>704</v>
      </c>
      <c r="D535">
        <v>2</v>
      </c>
      <c r="E535">
        <v>7600</v>
      </c>
      <c r="F535" s="70">
        <v>44545</v>
      </c>
      <c r="G535" t="str">
        <f>IFERROR(IF((F535-F534)&gt;1,(LARGE(F535:$F535,1)-LARGE(F$529:$F535,2))-1,""),"")</f>
        <v/>
      </c>
    </row>
    <row r="536" spans="1:7">
      <c r="A536" s="77">
        <f>(SUM(E536:E542)/(A531+7)+SUM(G536:G542))</f>
        <v>11007.333333333334</v>
      </c>
      <c r="B536">
        <v>604</v>
      </c>
      <c r="C536">
        <v>604</v>
      </c>
      <c r="D536">
        <v>13</v>
      </c>
      <c r="E536">
        <v>19280</v>
      </c>
      <c r="F536" s="70">
        <v>44546</v>
      </c>
      <c r="G536" t="str">
        <f>IFERROR(IF((F536-F535)&gt;1,(LARGE(F536:$F536,1)-LARGE(F$529:$F536,2))-1,""),"")</f>
        <v/>
      </c>
    </row>
    <row r="537" spans="1:7">
      <c r="A537" s="79" t="s">
        <v>44028</v>
      </c>
      <c r="B537">
        <v>600</v>
      </c>
      <c r="C537">
        <v>600</v>
      </c>
      <c r="D537">
        <v>1</v>
      </c>
      <c r="E537">
        <v>1760</v>
      </c>
      <c r="F537" s="70">
        <v>44547</v>
      </c>
      <c r="G537" t="str">
        <f>IFERROR(IF((F537-F536)&gt;1,(LARGE(F537:$F537,1)-LARGE(F$529:$F537,2))-1,""),"")</f>
        <v/>
      </c>
    </row>
    <row r="538" spans="1:7">
      <c r="A538" s="77">
        <f>(SUM(D539:D542)/(A531+4)+SUM(G539:G542))</f>
        <v>2.3333333333333335</v>
      </c>
      <c r="B538">
        <v>595</v>
      </c>
      <c r="C538">
        <v>595</v>
      </c>
      <c r="D538">
        <v>3</v>
      </c>
      <c r="E538">
        <v>32000</v>
      </c>
      <c r="F538" s="70">
        <v>44549</v>
      </c>
      <c r="G538">
        <f>IFERROR(IF((F538-F537)&gt;1,(LARGE(F538:$F538,1)-LARGE(F$529:$F538,2))-1,""),"")</f>
        <v>1</v>
      </c>
    </row>
    <row r="539" spans="1:7">
      <c r="A539" s="85" t="s">
        <v>44027</v>
      </c>
      <c r="B539">
        <v>599</v>
      </c>
      <c r="C539">
        <v>599</v>
      </c>
      <c r="D539">
        <v>7</v>
      </c>
      <c r="E539">
        <v>22559</v>
      </c>
      <c r="F539" s="70">
        <v>44550</v>
      </c>
      <c r="G539" t="str">
        <f>IFERROR(IF((F539-F538)&gt;1,(LARGE(F539:$F539,1)-LARGE(F$529:$F539,2))-1,""),"")</f>
        <v/>
      </c>
    </row>
    <row r="540" spans="1:7">
      <c r="A540" s="86">
        <f>IF(A533+A531&gt;10,"Look Up",AVERAGE(A535,A536))</f>
        <v>13742.072916666668</v>
      </c>
      <c r="B540">
        <v>599</v>
      </c>
      <c r="C540">
        <v>599</v>
      </c>
      <c r="D540">
        <v>3</v>
      </c>
      <c r="E540">
        <v>10320</v>
      </c>
      <c r="F540" s="70">
        <v>44551</v>
      </c>
      <c r="G540" t="str">
        <f>IFERROR(IF((F540-F539)&gt;1,(LARGE(F540:$F540,1)-LARGE(F$529:$F540,2))-1,""),"")</f>
        <v/>
      </c>
    </row>
    <row r="541" spans="1:7">
      <c r="A541" s="85" t="s">
        <v>44030</v>
      </c>
      <c r="B541">
        <v>300</v>
      </c>
      <c r="C541">
        <v>300</v>
      </c>
      <c r="D541">
        <v>3</v>
      </c>
      <c r="E541">
        <v>11138</v>
      </c>
      <c r="F541" s="70">
        <v>44552</v>
      </c>
      <c r="G541" t="str">
        <f>IFERROR(IF((F541-F540)&gt;1,(LARGE(F541:$F541,1)-LARGE(F$529:$F541,2))-1,""),"")</f>
        <v/>
      </c>
    </row>
    <row r="542" spans="1:7">
      <c r="A542" s="88"/>
      <c r="B542">
        <v>597</v>
      </c>
      <c r="C542">
        <v>597</v>
      </c>
      <c r="D542">
        <v>1</v>
      </c>
      <c r="E542">
        <v>2000</v>
      </c>
      <c r="F542" s="70">
        <v>44553</v>
      </c>
      <c r="G542" t="str">
        <f>IFERROR(IF((F542-F541)&gt;1,(LARGE(F542:$F542,1)-LARGE(F$529:$F542,2))-1,""),"")</f>
        <v/>
      </c>
    </row>
    <row r="543" spans="1:7">
      <c r="A543" s="65">
        <f>VLOOKUP(TradeSheet!A38,TypeIDs!B:C,2,FALSE)</f>
        <v>12614</v>
      </c>
      <c r="B543" t="s">
        <v>43998</v>
      </c>
      <c r="C543" t="s">
        <v>43999</v>
      </c>
      <c r="D543" t="s">
        <v>44000</v>
      </c>
      <c r="E543" t="s">
        <v>44001</v>
      </c>
      <c r="F543" t="s">
        <v>44009</v>
      </c>
      <c r="G543" t="s">
        <v>44008</v>
      </c>
    </row>
    <row r="544" spans="1:7">
      <c r="A544" s="65" t="str">
        <f>CONCATENATE(SwaggerURL,input037)</f>
        <v>https://esi.evetech.net/latest/markets/10000021/history/?datasource=tranquility&amp;type_id=12614</v>
      </c>
      <c r="B544">
        <v>79</v>
      </c>
      <c r="C544">
        <v>79</v>
      </c>
      <c r="D544">
        <v>4</v>
      </c>
      <c r="E544">
        <v>7107</v>
      </c>
      <c r="F544" s="70">
        <v>44536</v>
      </c>
      <c r="G544" t="str">
        <f>IFERROR(IF((F544-F543)&gt;1,(LARGE(F544:$F544,1)-LARGE(F$544:$F544,2))-1,""),"")</f>
        <v/>
      </c>
    </row>
    <row r="545" spans="1:7">
      <c r="A545" s="79" t="s">
        <v>44018</v>
      </c>
      <c r="B545">
        <v>79</v>
      </c>
      <c r="C545">
        <v>79</v>
      </c>
      <c r="D545">
        <v>1</v>
      </c>
      <c r="E545">
        <v>2000</v>
      </c>
      <c r="F545" s="70">
        <v>44537</v>
      </c>
      <c r="G545" t="str">
        <f>IFERROR(IF((F545-F544)&gt;1,(LARGE(F545:$F545,1)-LARGE(F$544:$F545,2))-1,""),"")</f>
        <v/>
      </c>
    </row>
    <row r="546" spans="1:7">
      <c r="A546" s="78">
        <f>MAX(0,(CurrentDate-2)-F557)</f>
        <v>1</v>
      </c>
      <c r="B546">
        <v>79</v>
      </c>
      <c r="C546">
        <v>79</v>
      </c>
      <c r="D546">
        <v>1</v>
      </c>
      <c r="E546">
        <v>1000</v>
      </c>
      <c r="F546" s="70">
        <v>44540</v>
      </c>
      <c r="G546">
        <f>IFERROR(IF((F546-F545)&gt;1,(LARGE(F546:$F546,1)-LARGE(F$544:$F546,2))-1,""),"")</f>
        <v>2</v>
      </c>
    </row>
    <row r="547" spans="1:7">
      <c r="A547" s="79" t="s">
        <v>44026</v>
      </c>
      <c r="B547">
        <v>79</v>
      </c>
      <c r="C547">
        <v>79</v>
      </c>
      <c r="D547">
        <v>3</v>
      </c>
      <c r="E547">
        <v>5420</v>
      </c>
      <c r="F547" s="70">
        <v>44541</v>
      </c>
      <c r="G547" t="str">
        <f>IFERROR(IF((F547-F546)&gt;1,(LARGE(F547:$F547,1)-LARGE(F$544:$F547,2))-1,""),"")</f>
        <v/>
      </c>
    </row>
    <row r="548" spans="1:7">
      <c r="A548" s="83">
        <f>SUM(G551:G557)</f>
        <v>2</v>
      </c>
      <c r="B548">
        <v>79</v>
      </c>
      <c r="C548">
        <v>79</v>
      </c>
      <c r="D548">
        <v>1</v>
      </c>
      <c r="E548">
        <v>1000</v>
      </c>
      <c r="F548" s="70">
        <v>44543</v>
      </c>
      <c r="G548">
        <f>IFERROR(IF((F548-F547)&gt;1,(LARGE(F548:$F548,1)-LARGE(F$544:$F548,2))-1,""),"")</f>
        <v>1</v>
      </c>
    </row>
    <row r="549" spans="1:7">
      <c r="A549" s="79" t="s">
        <v>44029</v>
      </c>
      <c r="B549">
        <v>79</v>
      </c>
      <c r="C549">
        <v>79</v>
      </c>
      <c r="D549">
        <v>4</v>
      </c>
      <c r="E549">
        <v>48339</v>
      </c>
      <c r="F549" s="70">
        <v>44544</v>
      </c>
      <c r="G549" t="str">
        <f>IFERROR(IF((F549-F548)&gt;1,(LARGE(F549:$F549,1)-LARGE(F$544:$F549,2))-1,""),"")</f>
        <v/>
      </c>
    </row>
    <row r="550" spans="1:7">
      <c r="A550" s="77">
        <f>(SUM(E544:E557)/(A546+14)+SUM(G544:G557))</f>
        <v>10138.066666666668</v>
      </c>
      <c r="B550">
        <v>200</v>
      </c>
      <c r="C550">
        <v>200</v>
      </c>
      <c r="D550">
        <v>4</v>
      </c>
      <c r="E550">
        <v>6320</v>
      </c>
      <c r="F550" s="70">
        <v>44545</v>
      </c>
      <c r="G550" t="str">
        <f>IFERROR(IF((F550-F549)&gt;1,(LARGE(F550:$F550,1)-LARGE(F$544:$F550,2))-1,""),"")</f>
        <v/>
      </c>
    </row>
    <row r="551" spans="1:7">
      <c r="A551" s="77">
        <f>(SUM(E551:E557)/(A546+7)+SUM(G551:G557))</f>
        <v>10103.25</v>
      </c>
      <c r="B551">
        <v>200</v>
      </c>
      <c r="C551">
        <v>200</v>
      </c>
      <c r="D551">
        <v>2</v>
      </c>
      <c r="E551">
        <v>4000</v>
      </c>
      <c r="F551" s="70">
        <v>44546</v>
      </c>
      <c r="G551" t="str">
        <f>IFERROR(IF((F551-F550)&gt;1,(LARGE(F551:$F551,1)-LARGE(F$544:$F551,2))-1,""),"")</f>
        <v/>
      </c>
    </row>
    <row r="552" spans="1:7">
      <c r="A552" s="79" t="s">
        <v>44028</v>
      </c>
      <c r="B552">
        <v>200</v>
      </c>
      <c r="C552">
        <v>200</v>
      </c>
      <c r="D552">
        <v>1</v>
      </c>
      <c r="E552">
        <v>5000</v>
      </c>
      <c r="F552" s="70">
        <v>44547</v>
      </c>
      <c r="G552" t="str">
        <f>IFERROR(IF((F552-F551)&gt;1,(LARGE(F552:$F552,1)-LARGE(F$544:$F552,2))-1,""),"")</f>
        <v/>
      </c>
    </row>
    <row r="553" spans="1:7">
      <c r="A553" s="77">
        <f>(SUM(D554:D557)/(A546+4)+SUM(G554:G557))</f>
        <v>3.2</v>
      </c>
      <c r="B553">
        <v>190</v>
      </c>
      <c r="C553">
        <v>190</v>
      </c>
      <c r="D553">
        <v>1</v>
      </c>
      <c r="E553">
        <v>5000</v>
      </c>
      <c r="F553" s="70">
        <v>44549</v>
      </c>
      <c r="G553">
        <f>IFERROR(IF((F553-F552)&gt;1,(LARGE(F553:$F553,1)-LARGE(F$544:$F553,2))-1,""),"")</f>
        <v>1</v>
      </c>
    </row>
    <row r="554" spans="1:7">
      <c r="A554" s="85" t="s">
        <v>44027</v>
      </c>
      <c r="B554">
        <v>200</v>
      </c>
      <c r="C554">
        <v>200</v>
      </c>
      <c r="D554">
        <v>3</v>
      </c>
      <c r="E554">
        <v>46190</v>
      </c>
      <c r="F554" s="70">
        <v>44550</v>
      </c>
      <c r="G554" t="str">
        <f>IFERROR(IF((F554-F553)&gt;1,(LARGE(F554:$F554,1)-LARGE(F$544:$F554,2))-1,""),"")</f>
        <v/>
      </c>
    </row>
    <row r="555" spans="1:7">
      <c r="A555" s="86">
        <f>IF(A548+A546&gt;10,"Look Up",AVERAGE(A550,A551))</f>
        <v>10120.658333333333</v>
      </c>
      <c r="B555">
        <v>199.2</v>
      </c>
      <c r="C555">
        <v>199.2</v>
      </c>
      <c r="D555">
        <v>1</v>
      </c>
      <c r="E555">
        <v>3600</v>
      </c>
      <c r="F555" s="70">
        <v>44552</v>
      </c>
      <c r="G555">
        <f>IFERROR(IF((F555-F554)&gt;1,(LARGE(F555:$F555,1)-LARGE(F$544:$F555,2))-1,""),"")</f>
        <v>1</v>
      </c>
    </row>
    <row r="556" spans="1:7">
      <c r="A556" s="85" t="s">
        <v>44030</v>
      </c>
      <c r="B556">
        <v>199.2</v>
      </c>
      <c r="C556">
        <v>199.2</v>
      </c>
      <c r="D556">
        <v>4</v>
      </c>
      <c r="E556">
        <v>13000</v>
      </c>
      <c r="F556" s="70">
        <v>44553</v>
      </c>
      <c r="G556" t="str">
        <f>IFERROR(IF((F556-F555)&gt;1,(LARGE(F556:$F556,1)-LARGE(F$544:$F556,2))-1,""),"")</f>
        <v/>
      </c>
    </row>
    <row r="557" spans="1:7">
      <c r="A557" s="88"/>
      <c r="B557">
        <v>199.2</v>
      </c>
      <c r="C557">
        <v>199.2</v>
      </c>
      <c r="D557">
        <v>3</v>
      </c>
      <c r="E557">
        <v>4020</v>
      </c>
      <c r="F557" s="70">
        <v>44554</v>
      </c>
      <c r="G557" t="str">
        <f>IFERROR(IF((F557-F556)&gt;1,(LARGE(F557:$F557,1)-LARGE(F$544:$F557,2))-1,""),"")</f>
        <v/>
      </c>
    </row>
    <row r="558" spans="1:7">
      <c r="A558" s="65">
        <f>VLOOKUP(TradeSheet!A39,TypeIDs!B:C,2,FALSE)</f>
        <v>12612</v>
      </c>
      <c r="B558" t="s">
        <v>43998</v>
      </c>
      <c r="C558" t="s">
        <v>43999</v>
      </c>
      <c r="D558" t="s">
        <v>44000</v>
      </c>
      <c r="E558" t="s">
        <v>44001</v>
      </c>
      <c r="F558" t="s">
        <v>44009</v>
      </c>
      <c r="G558" t="s">
        <v>44008</v>
      </c>
    </row>
    <row r="559" spans="1:7">
      <c r="A559" s="65" t="str">
        <f>CONCATENATE(SwaggerURL,input038)</f>
        <v>https://esi.evetech.net/latest/markets/10000021/history/?datasource=tranquility&amp;type_id=12612</v>
      </c>
      <c r="B559">
        <v>39.97</v>
      </c>
      <c r="C559">
        <v>39.97</v>
      </c>
      <c r="D559">
        <v>7</v>
      </c>
      <c r="E559">
        <v>17335</v>
      </c>
      <c r="F559" s="70">
        <v>44541</v>
      </c>
      <c r="G559" t="str">
        <f>IFERROR(IF((F559-F558)&gt;1,(LARGE(F559:$F559,1)-LARGE(F$559:$F559,2))-1,""),"")</f>
        <v/>
      </c>
    </row>
    <row r="560" spans="1:7">
      <c r="A560" s="79" t="s">
        <v>44018</v>
      </c>
      <c r="B560">
        <v>39.97</v>
      </c>
      <c r="C560">
        <v>39.97</v>
      </c>
      <c r="D560">
        <v>1</v>
      </c>
      <c r="E560">
        <v>2000</v>
      </c>
      <c r="F560" s="70">
        <v>44542</v>
      </c>
      <c r="G560" t="str">
        <f>IFERROR(IF((F560-F559)&gt;1,(LARGE(F560:$F560,1)-LARGE(F$559:$F560,2))-1,""),"")</f>
        <v/>
      </c>
    </row>
    <row r="561" spans="1:7">
      <c r="A561" s="78">
        <f>MAX(0,(CurrentDate-2)-F572)</f>
        <v>1</v>
      </c>
      <c r="B561">
        <v>39.97</v>
      </c>
      <c r="C561">
        <v>39.97</v>
      </c>
      <c r="D561">
        <v>1</v>
      </c>
      <c r="E561">
        <v>2000</v>
      </c>
      <c r="F561" s="70">
        <v>44543</v>
      </c>
      <c r="G561" t="str">
        <f>IFERROR(IF((F561-F560)&gt;1,(LARGE(F561:$F561,1)-LARGE(F$559:$F561,2))-1,""),"")</f>
        <v/>
      </c>
    </row>
    <row r="562" spans="1:7">
      <c r="A562" s="79" t="s">
        <v>44026</v>
      </c>
      <c r="B562">
        <v>39.97</v>
      </c>
      <c r="C562">
        <v>39.97</v>
      </c>
      <c r="D562">
        <v>6</v>
      </c>
      <c r="E562">
        <v>21667</v>
      </c>
      <c r="F562" s="70">
        <v>44544</v>
      </c>
      <c r="G562" t="str">
        <f>IFERROR(IF((F562-F561)&gt;1,(LARGE(F562:$F562,1)-LARGE(F$559:$F562,2))-1,""),"")</f>
        <v/>
      </c>
    </row>
    <row r="563" spans="1:7">
      <c r="A563" s="83">
        <f>SUM(G566:G572)</f>
        <v>0</v>
      </c>
      <c r="B563">
        <v>39.97</v>
      </c>
      <c r="C563">
        <v>39.97</v>
      </c>
      <c r="D563">
        <v>4</v>
      </c>
      <c r="E563">
        <v>9499</v>
      </c>
      <c r="F563" s="70">
        <v>44545</v>
      </c>
      <c r="G563" t="str">
        <f>IFERROR(IF((F563-F562)&gt;1,(LARGE(F563:$F563,1)-LARGE(F$559:$F563,2))-1,""),"")</f>
        <v/>
      </c>
    </row>
    <row r="564" spans="1:7">
      <c r="A564" s="79" t="s">
        <v>44029</v>
      </c>
      <c r="B564">
        <v>39.99</v>
      </c>
      <c r="C564">
        <v>39.99</v>
      </c>
      <c r="D564">
        <v>4</v>
      </c>
      <c r="E564">
        <v>4690</v>
      </c>
      <c r="F564" s="70">
        <v>44546</v>
      </c>
      <c r="G564" t="str">
        <f>IFERROR(IF((F564-F563)&gt;1,(LARGE(F564:$F564,1)-LARGE(F$559:$F564,2))-1,""),"")</f>
        <v/>
      </c>
    </row>
    <row r="565" spans="1:7">
      <c r="A565" s="77">
        <f>(SUM(E559:E572)/(A561+14)+SUM(G559:G572))</f>
        <v>11284.866666666667</v>
      </c>
      <c r="B565">
        <v>39.99</v>
      </c>
      <c r="C565">
        <v>39.99</v>
      </c>
      <c r="D565">
        <v>1</v>
      </c>
      <c r="E565">
        <v>4000</v>
      </c>
      <c r="F565" s="70">
        <v>44547</v>
      </c>
      <c r="G565" t="str">
        <f>IFERROR(IF((F565-F564)&gt;1,(LARGE(F565:$F565,1)-LARGE(F$559:$F565,2))-1,""),"")</f>
        <v/>
      </c>
    </row>
    <row r="566" spans="1:7">
      <c r="A566" s="77">
        <f>(SUM(E566:E572)/(A561+7)+SUM(G566:G572))</f>
        <v>13510.25</v>
      </c>
      <c r="B566">
        <v>39.99</v>
      </c>
      <c r="C566">
        <v>39.99</v>
      </c>
      <c r="D566">
        <v>2</v>
      </c>
      <c r="E566">
        <v>4900</v>
      </c>
      <c r="F566" s="70">
        <v>44548</v>
      </c>
      <c r="G566" t="str">
        <f>IFERROR(IF((F566-F565)&gt;1,(LARGE(F566:$F566,1)-LARGE(F$559:$F566,2))-1,""),"")</f>
        <v/>
      </c>
    </row>
    <row r="567" spans="1:7">
      <c r="A567" s="79" t="s">
        <v>44028</v>
      </c>
      <c r="B567">
        <v>39.89</v>
      </c>
      <c r="C567">
        <v>39.89</v>
      </c>
      <c r="D567">
        <v>2</v>
      </c>
      <c r="E567">
        <v>5000</v>
      </c>
      <c r="F567" s="70">
        <v>44549</v>
      </c>
      <c r="G567" t="str">
        <f>IFERROR(IF((F567-F566)&gt;1,(LARGE(F567:$F567,1)-LARGE(F$559:$F567,2))-1,""),"")</f>
        <v/>
      </c>
    </row>
    <row r="568" spans="1:7">
      <c r="A568" s="77">
        <f>(SUM(D569:D572)/(A561+4)+SUM(G569:G572))</f>
        <v>2.8</v>
      </c>
      <c r="B568">
        <v>39.99</v>
      </c>
      <c r="C568">
        <v>39.99</v>
      </c>
      <c r="D568">
        <v>2</v>
      </c>
      <c r="E568">
        <v>54395</v>
      </c>
      <c r="F568" s="70">
        <v>44550</v>
      </c>
      <c r="G568" t="str">
        <f>IFERROR(IF((F568-F567)&gt;1,(LARGE(F568:$F568,1)-LARGE(F$559:$F568,2))-1,""),"")</f>
        <v/>
      </c>
    </row>
    <row r="569" spans="1:7">
      <c r="A569" s="85" t="s">
        <v>44027</v>
      </c>
      <c r="B569">
        <v>39.99</v>
      </c>
      <c r="C569">
        <v>39.99</v>
      </c>
      <c r="D569">
        <v>2</v>
      </c>
      <c r="E569">
        <v>8057</v>
      </c>
      <c r="F569" s="70">
        <v>44551</v>
      </c>
      <c r="G569" t="str">
        <f>IFERROR(IF((F569-F568)&gt;1,(LARGE(F569:$F569,1)-LARGE(F$559:$F569,2))-1,""),"")</f>
        <v/>
      </c>
    </row>
    <row r="570" spans="1:7">
      <c r="A570" s="86">
        <f>IF(A563+A561&gt;10,"Look Up",AVERAGE(A565,A566))</f>
        <v>12397.558333333334</v>
      </c>
      <c r="B570">
        <v>39.99</v>
      </c>
      <c r="C570">
        <v>39.99</v>
      </c>
      <c r="D570">
        <v>2</v>
      </c>
      <c r="E570">
        <v>6000</v>
      </c>
      <c r="F570" s="70">
        <v>44552</v>
      </c>
      <c r="G570" t="str">
        <f>IFERROR(IF((F570-F569)&gt;1,(LARGE(F570:$F570,1)-LARGE(F$559:$F570,2))-1,""),"")</f>
        <v/>
      </c>
    </row>
    <row r="571" spans="1:7">
      <c r="A571" s="85" t="s">
        <v>44030</v>
      </c>
      <c r="B571">
        <v>39.99</v>
      </c>
      <c r="C571">
        <v>39.99</v>
      </c>
      <c r="D571">
        <v>7</v>
      </c>
      <c r="E571">
        <v>25730</v>
      </c>
      <c r="F571" s="70">
        <v>44553</v>
      </c>
      <c r="G571" t="str">
        <f>IFERROR(IF((F571-F570)&gt;1,(LARGE(F571:$F571,1)-LARGE(F$559:$F571,2))-1,""),"")</f>
        <v/>
      </c>
    </row>
    <row r="572" spans="1:7">
      <c r="A572" s="88"/>
      <c r="B572">
        <v>39.99</v>
      </c>
      <c r="C572">
        <v>39.99</v>
      </c>
      <c r="D572">
        <v>3</v>
      </c>
      <c r="E572">
        <v>4000</v>
      </c>
      <c r="F572" s="70">
        <v>44554</v>
      </c>
      <c r="G572" t="str">
        <f>IFERROR(IF((F572-F571)&gt;1,(LARGE(F572:$F572,1)-LARGE(F$559:$F572,2))-1,""),"")</f>
        <v/>
      </c>
    </row>
    <row r="573" spans="1:7">
      <c r="A573" s="65">
        <f>VLOOKUP(TradeSheet!A40,TypeIDs!B:C,2,FALSE)</f>
        <v>12801</v>
      </c>
      <c r="B573" t="s">
        <v>43998</v>
      </c>
      <c r="C573" t="s">
        <v>43999</v>
      </c>
      <c r="D573" t="s">
        <v>44000</v>
      </c>
      <c r="E573" t="s">
        <v>44001</v>
      </c>
      <c r="F573" t="s">
        <v>44009</v>
      </c>
      <c r="G573" t="s">
        <v>44008</v>
      </c>
    </row>
    <row r="574" spans="1:7">
      <c r="A574" s="65" t="str">
        <f>CONCATENATE(SwaggerURL,input039)</f>
        <v>https://esi.evetech.net/latest/markets/10000021/history/?datasource=tranquility&amp;type_id=12801</v>
      </c>
      <c r="B574">
        <v>250</v>
      </c>
      <c r="C574">
        <v>250</v>
      </c>
      <c r="D574">
        <v>2</v>
      </c>
      <c r="E574">
        <v>5318</v>
      </c>
      <c r="F574" s="70">
        <v>44532</v>
      </c>
      <c r="G574" t="str">
        <f>IFERROR(IF((F574-F573)&gt;1,(LARGE(F574:$F574,1)-LARGE(F$574:$F574,2))-1,""),"")</f>
        <v/>
      </c>
    </row>
    <row r="575" spans="1:7">
      <c r="A575" s="79" t="s">
        <v>44018</v>
      </c>
      <c r="B575">
        <v>290</v>
      </c>
      <c r="C575">
        <v>290</v>
      </c>
      <c r="D575">
        <v>1</v>
      </c>
      <c r="E575">
        <v>1000</v>
      </c>
      <c r="F575" s="70">
        <v>44534</v>
      </c>
      <c r="G575">
        <f>IFERROR(IF((F575-F574)&gt;1,(LARGE(F575:$F575,1)-LARGE(F$574:$F575,2))-1,""),"")</f>
        <v>1</v>
      </c>
    </row>
    <row r="576" spans="1:7">
      <c r="A576" s="78">
        <f>MAX(0,(CurrentDate-2)-F587)</f>
        <v>0</v>
      </c>
      <c r="B576">
        <v>290</v>
      </c>
      <c r="C576">
        <v>290</v>
      </c>
      <c r="D576">
        <v>1</v>
      </c>
      <c r="E576">
        <v>1000</v>
      </c>
      <c r="F576" s="70">
        <v>44535</v>
      </c>
      <c r="G576" t="str">
        <f>IFERROR(IF((F576-F575)&gt;1,(LARGE(F576:$F576,1)-LARGE(F$574:$F576,2))-1,""),"")</f>
        <v/>
      </c>
    </row>
    <row r="577" spans="1:7">
      <c r="A577" s="79" t="s">
        <v>44026</v>
      </c>
      <c r="B577">
        <v>325</v>
      </c>
      <c r="C577">
        <v>325</v>
      </c>
      <c r="D577">
        <v>1</v>
      </c>
      <c r="E577">
        <v>2000</v>
      </c>
      <c r="F577" s="70">
        <v>44537</v>
      </c>
      <c r="G577">
        <f>IFERROR(IF((F577-F576)&gt;1,(LARGE(F577:$F577,1)-LARGE(F$574:$F577,2))-1,""),"")</f>
        <v>1</v>
      </c>
    </row>
    <row r="578" spans="1:7">
      <c r="A578" s="83">
        <f>SUM(G581:G587)</f>
        <v>4</v>
      </c>
      <c r="B578">
        <v>319.89999999999998</v>
      </c>
      <c r="C578">
        <v>319.89999999999998</v>
      </c>
      <c r="D578">
        <v>1</v>
      </c>
      <c r="E578">
        <v>300</v>
      </c>
      <c r="F578" s="70">
        <v>44538</v>
      </c>
      <c r="G578" t="str">
        <f>IFERROR(IF((F578-F577)&gt;1,(LARGE(F578:$F578,1)-LARGE(F$574:$F578,2))-1,""),"")</f>
        <v/>
      </c>
    </row>
    <row r="579" spans="1:7">
      <c r="A579" s="79" t="s">
        <v>44029</v>
      </c>
      <c r="B579">
        <v>319.89999999999998</v>
      </c>
      <c r="C579">
        <v>319.89999999999998</v>
      </c>
      <c r="D579">
        <v>4</v>
      </c>
      <c r="E579">
        <v>24000</v>
      </c>
      <c r="F579" s="70">
        <v>44539</v>
      </c>
      <c r="G579" t="str">
        <f>IFERROR(IF((F579-F578)&gt;1,(LARGE(F579:$F579,1)-LARGE(F$574:$F579,2))-1,""),"")</f>
        <v/>
      </c>
    </row>
    <row r="580" spans="1:7">
      <c r="A580" s="77">
        <f>(SUM(E574:E587)/(A576+14)+SUM(G574:G587))</f>
        <v>5620.0714285714284</v>
      </c>
      <c r="B580">
        <v>320</v>
      </c>
      <c r="C580">
        <v>320</v>
      </c>
      <c r="D580">
        <v>1</v>
      </c>
      <c r="E580">
        <v>1000</v>
      </c>
      <c r="F580" s="70">
        <v>44545</v>
      </c>
      <c r="G580">
        <f>IFERROR(IF((F580-F579)&gt;1,(LARGE(F580:$F580,1)-LARGE(F$574:$F580,2))-1,""),"")</f>
        <v>5</v>
      </c>
    </row>
    <row r="581" spans="1:7">
      <c r="A581" s="77">
        <f>(SUM(E581:E587)/(A576+7)+SUM(G581:G587))</f>
        <v>6276.7142857142853</v>
      </c>
      <c r="B581">
        <v>320</v>
      </c>
      <c r="C581">
        <v>320</v>
      </c>
      <c r="D581">
        <v>2</v>
      </c>
      <c r="E581">
        <v>2500</v>
      </c>
      <c r="F581" s="70">
        <v>44546</v>
      </c>
      <c r="G581" t="str">
        <f>IFERROR(IF((F581-F580)&gt;1,(LARGE(F581:$F581,1)-LARGE(F$574:$F581,2))-1,""),"")</f>
        <v/>
      </c>
    </row>
    <row r="582" spans="1:7">
      <c r="A582" s="79" t="s">
        <v>44028</v>
      </c>
      <c r="B582">
        <v>324</v>
      </c>
      <c r="C582">
        <v>324</v>
      </c>
      <c r="D582">
        <v>8</v>
      </c>
      <c r="E582">
        <v>21579</v>
      </c>
      <c r="F582" s="70">
        <v>44548</v>
      </c>
      <c r="G582">
        <f>IFERROR(IF((F582-F581)&gt;1,(LARGE(F582:$F582,1)-LARGE(F$574:$F582,2))-1,""),"")</f>
        <v>1</v>
      </c>
    </row>
    <row r="583" spans="1:7">
      <c r="A583" s="77">
        <f>(SUM(D584:D587)/(A576+4)+SUM(G584:G587))</f>
        <v>5</v>
      </c>
      <c r="B583">
        <v>310</v>
      </c>
      <c r="C583">
        <v>310</v>
      </c>
      <c r="D583">
        <v>1</v>
      </c>
      <c r="E583">
        <v>1000</v>
      </c>
      <c r="F583" s="70">
        <v>44549</v>
      </c>
      <c r="G583" t="str">
        <f>IFERROR(IF((F583-F582)&gt;1,(LARGE(F583:$F583,1)-LARGE(F$574:$F583,2))-1,""),"")</f>
        <v/>
      </c>
    </row>
    <row r="584" spans="1:7">
      <c r="A584" s="85" t="s">
        <v>44027</v>
      </c>
      <c r="B584">
        <v>300</v>
      </c>
      <c r="C584">
        <v>300</v>
      </c>
      <c r="D584">
        <v>2</v>
      </c>
      <c r="E584">
        <v>2000</v>
      </c>
      <c r="F584" s="70">
        <v>44550</v>
      </c>
      <c r="G584" t="str">
        <f>IFERROR(IF((F584-F583)&gt;1,(LARGE(F584:$F584,1)-LARGE(F$574:$F584,2))-1,""),"")</f>
        <v/>
      </c>
    </row>
    <row r="585" spans="1:7">
      <c r="A585" s="86">
        <f>IF(A578+A576&gt;10,"Look Up",AVERAGE(A580,A581))</f>
        <v>5948.3928571428569</v>
      </c>
      <c r="B585">
        <v>300</v>
      </c>
      <c r="C585">
        <v>300</v>
      </c>
      <c r="D585">
        <v>1</v>
      </c>
      <c r="E585">
        <v>6300</v>
      </c>
      <c r="F585" s="70">
        <v>44551</v>
      </c>
      <c r="G585" t="str">
        <f>IFERROR(IF((F585-F584)&gt;1,(LARGE(F585:$F585,1)-LARGE(F$574:$F585,2))-1,""),"")</f>
        <v/>
      </c>
    </row>
    <row r="586" spans="1:7">
      <c r="A586" s="85" t="s">
        <v>44030</v>
      </c>
      <c r="B586">
        <v>200</v>
      </c>
      <c r="C586">
        <v>200</v>
      </c>
      <c r="D586">
        <v>2</v>
      </c>
      <c r="E586">
        <v>8030</v>
      </c>
      <c r="F586" s="70">
        <v>44555</v>
      </c>
      <c r="G586">
        <f>IFERROR(IF((F586-F585)&gt;1,(LARGE(F586:$F586,1)-LARGE(F$574:$F586,2))-1,""),"")</f>
        <v>3</v>
      </c>
    </row>
    <row r="587" spans="1:7">
      <c r="A587" s="88"/>
      <c r="B587">
        <v>200</v>
      </c>
      <c r="C587">
        <v>200</v>
      </c>
      <c r="D587">
        <v>3</v>
      </c>
      <c r="E587">
        <v>2500</v>
      </c>
      <c r="F587" s="70">
        <v>44556</v>
      </c>
      <c r="G587" t="str">
        <f>IFERROR(IF((F587-F586)&gt;1,(LARGE(F587:$F587,1)-LARGE(F$574:$F587,2))-1,""),"")</f>
        <v/>
      </c>
    </row>
    <row r="588" spans="1:7">
      <c r="A588" s="65">
        <f>VLOOKUP(TradeSheet!A41,TypeIDs!B:C,2,FALSE)</f>
        <v>12805</v>
      </c>
      <c r="B588" t="s">
        <v>43998</v>
      </c>
      <c r="C588" t="s">
        <v>43999</v>
      </c>
      <c r="D588" t="s">
        <v>44000</v>
      </c>
      <c r="E588" t="s">
        <v>44001</v>
      </c>
      <c r="F588" t="s">
        <v>44009</v>
      </c>
      <c r="G588" t="s">
        <v>44008</v>
      </c>
    </row>
    <row r="589" spans="1:7">
      <c r="A589" s="65" t="str">
        <f>CONCATENATE(SwaggerURL,input040)</f>
        <v>https://esi.evetech.net/latest/markets/10000021/history/?datasource=tranquility&amp;type_id=12805</v>
      </c>
      <c r="B589">
        <v>243</v>
      </c>
      <c r="C589">
        <v>243</v>
      </c>
      <c r="D589">
        <v>1</v>
      </c>
      <c r="E589">
        <v>1000</v>
      </c>
      <c r="F589" s="70">
        <v>44534</v>
      </c>
      <c r="G589" t="str">
        <f>IFERROR(IF((F589-F588)&gt;1,(LARGE(F589:$F589,1)-LARGE(F$589:$F589,2))-1,""),"")</f>
        <v/>
      </c>
    </row>
    <row r="590" spans="1:7">
      <c r="A590" s="79" t="s">
        <v>44018</v>
      </c>
      <c r="B590">
        <v>243</v>
      </c>
      <c r="C590">
        <v>243</v>
      </c>
      <c r="D590">
        <v>1</v>
      </c>
      <c r="E590">
        <v>1000</v>
      </c>
      <c r="F590" s="70">
        <v>44535</v>
      </c>
      <c r="G590" t="str">
        <f>IFERROR(IF((F590-F589)&gt;1,(LARGE(F590:$F590,1)-LARGE(F$589:$F590,2))-1,""),"")</f>
        <v/>
      </c>
    </row>
    <row r="591" spans="1:7">
      <c r="A591" s="78">
        <f>MAX(0,(CurrentDate-2)-F602)</f>
        <v>1</v>
      </c>
      <c r="B591">
        <v>243</v>
      </c>
      <c r="C591">
        <v>243</v>
      </c>
      <c r="D591">
        <v>1</v>
      </c>
      <c r="E591">
        <v>1000</v>
      </c>
      <c r="F591" s="70">
        <v>44537</v>
      </c>
      <c r="G591">
        <f>IFERROR(IF((F591-F590)&gt;1,(LARGE(F591:$F591,1)-LARGE(F$589:$F591,2))-1,""),"")</f>
        <v>1</v>
      </c>
    </row>
    <row r="592" spans="1:7">
      <c r="A592" s="79" t="s">
        <v>44026</v>
      </c>
      <c r="B592">
        <v>243</v>
      </c>
      <c r="C592">
        <v>243</v>
      </c>
      <c r="D592">
        <v>1</v>
      </c>
      <c r="E592">
        <v>300</v>
      </c>
      <c r="F592" s="70">
        <v>44538</v>
      </c>
      <c r="G592" t="str">
        <f>IFERROR(IF((F592-F591)&gt;1,(LARGE(F592:$F592,1)-LARGE(F$589:$F592,2))-1,""),"")</f>
        <v/>
      </c>
    </row>
    <row r="593" spans="1:7">
      <c r="A593" s="83">
        <f>SUM(G596:G602)</f>
        <v>5</v>
      </c>
      <c r="B593">
        <v>243</v>
      </c>
      <c r="C593">
        <v>243</v>
      </c>
      <c r="D593">
        <v>3</v>
      </c>
      <c r="E593">
        <v>36000</v>
      </c>
      <c r="F593" s="70">
        <v>44539</v>
      </c>
      <c r="G593" t="str">
        <f>IFERROR(IF((F593-F592)&gt;1,(LARGE(F593:$F593,1)-LARGE(F$589:$F593,2))-1,""),"")</f>
        <v/>
      </c>
    </row>
    <row r="594" spans="1:7">
      <c r="A594" s="79" t="s">
        <v>44029</v>
      </c>
      <c r="B594">
        <v>243</v>
      </c>
      <c r="C594">
        <v>243</v>
      </c>
      <c r="D594">
        <v>1</v>
      </c>
      <c r="E594">
        <v>1076</v>
      </c>
      <c r="F594" s="70">
        <v>44540</v>
      </c>
      <c r="G594" t="str">
        <f>IFERROR(IF((F594-F593)&gt;1,(LARGE(F594:$F594,1)-LARGE(F$589:$F594,2))-1,""),"")</f>
        <v/>
      </c>
    </row>
    <row r="595" spans="1:7">
      <c r="A595" s="77">
        <f>(SUM(E589:E602)/(A591+14)+SUM(G589:G602))</f>
        <v>5032.333333333333</v>
      </c>
      <c r="B595">
        <v>243</v>
      </c>
      <c r="C595">
        <v>243</v>
      </c>
      <c r="D595">
        <v>1</v>
      </c>
      <c r="E595">
        <v>1500</v>
      </c>
      <c r="F595" s="70">
        <v>44542</v>
      </c>
      <c r="G595">
        <f>IFERROR(IF((F595-F594)&gt;1,(LARGE(F595:$F595,1)-LARGE(F$589:$F595,2))-1,""),"")</f>
        <v>1</v>
      </c>
    </row>
    <row r="596" spans="1:7">
      <c r="A596" s="77">
        <f>(SUM(E596:E602)/(A591+7)+SUM(G596:G602))</f>
        <v>4193</v>
      </c>
      <c r="B596">
        <v>243</v>
      </c>
      <c r="C596">
        <v>243</v>
      </c>
      <c r="D596">
        <v>1</v>
      </c>
      <c r="E596">
        <v>1000</v>
      </c>
      <c r="F596" s="70">
        <v>44545</v>
      </c>
      <c r="G596">
        <f>IFERROR(IF((F596-F595)&gt;1,(LARGE(F596:$F596,1)-LARGE(F$589:$F596,2))-1,""),"")</f>
        <v>2</v>
      </c>
    </row>
    <row r="597" spans="1:7">
      <c r="A597" s="79" t="s">
        <v>44028</v>
      </c>
      <c r="B597">
        <v>243</v>
      </c>
      <c r="C597">
        <v>243</v>
      </c>
      <c r="D597">
        <v>2</v>
      </c>
      <c r="E597">
        <v>3940</v>
      </c>
      <c r="F597" s="70">
        <v>44546</v>
      </c>
      <c r="G597" t="str">
        <f>IFERROR(IF((F597-F596)&gt;1,(LARGE(F597:$F597,1)-LARGE(F$589:$F597,2))-1,""),"")</f>
        <v/>
      </c>
    </row>
    <row r="598" spans="1:7">
      <c r="A598" s="77">
        <f>(SUM(D599:D602)/(A591+4)+SUM(G599:G602))</f>
        <v>6.6</v>
      </c>
      <c r="B598">
        <v>242.8</v>
      </c>
      <c r="C598">
        <v>242.8</v>
      </c>
      <c r="D598">
        <v>1</v>
      </c>
      <c r="E598">
        <v>240</v>
      </c>
      <c r="F598" s="70">
        <v>44547</v>
      </c>
      <c r="G598" t="str">
        <f>IFERROR(IF((F598-F597)&gt;1,(LARGE(F598:$F598,1)-LARGE(F$589:$F598,2))-1,""),"")</f>
        <v/>
      </c>
    </row>
    <row r="599" spans="1:7">
      <c r="A599" s="85" t="s">
        <v>44027</v>
      </c>
      <c r="B599">
        <v>243</v>
      </c>
      <c r="C599">
        <v>243</v>
      </c>
      <c r="D599">
        <v>9</v>
      </c>
      <c r="E599">
        <v>16624</v>
      </c>
      <c r="F599" s="70">
        <v>44548</v>
      </c>
      <c r="G599" t="str">
        <f>IFERROR(IF((F599-F598)&gt;1,(LARGE(F599:$F599,1)-LARGE(F$589:$F599,2))-1,""),"")</f>
        <v/>
      </c>
    </row>
    <row r="600" spans="1:7">
      <c r="A600" s="86">
        <f>IF(A593+A591&gt;10,"Look Up",AVERAGE(A595,A596))</f>
        <v>4612.6666666666661</v>
      </c>
      <c r="B600">
        <v>217.5</v>
      </c>
      <c r="C600">
        <v>215</v>
      </c>
      <c r="D600">
        <v>3</v>
      </c>
      <c r="E600">
        <v>2000</v>
      </c>
      <c r="F600" s="70">
        <v>44549</v>
      </c>
      <c r="G600" t="str">
        <f>IFERROR(IF((F600-F599)&gt;1,(LARGE(F600:$F600,1)-LARGE(F$589:$F600,2))-1,""),"")</f>
        <v/>
      </c>
    </row>
    <row r="601" spans="1:7">
      <c r="A601" s="85" t="s">
        <v>44030</v>
      </c>
      <c r="B601">
        <v>220</v>
      </c>
      <c r="C601">
        <v>220</v>
      </c>
      <c r="D601">
        <v>1</v>
      </c>
      <c r="E601">
        <v>1000</v>
      </c>
      <c r="F601" s="70">
        <v>44550</v>
      </c>
      <c r="G601" t="str">
        <f>IFERROR(IF((F601-F600)&gt;1,(LARGE(F601:$F601,1)-LARGE(F$589:$F601,2))-1,""),"")</f>
        <v/>
      </c>
    </row>
    <row r="602" spans="1:7">
      <c r="A602" s="88"/>
      <c r="B602">
        <v>150</v>
      </c>
      <c r="C602">
        <v>150</v>
      </c>
      <c r="D602">
        <v>5</v>
      </c>
      <c r="E602">
        <v>8700</v>
      </c>
      <c r="F602" s="70">
        <v>44554</v>
      </c>
      <c r="G602">
        <f>IFERROR(IF((F602-F601)&gt;1,(LARGE(F602:$F602,1)-LARGE(F$589:$F602,2))-1,""),"")</f>
        <v>3</v>
      </c>
    </row>
    <row r="603" spans="1:7">
      <c r="A603" s="65">
        <f>VLOOKUP(TradeSheet!A42,TypeIDs!B:C,2,FALSE)</f>
        <v>12618</v>
      </c>
      <c r="B603" t="s">
        <v>43998</v>
      </c>
      <c r="C603" t="s">
        <v>43999</v>
      </c>
      <c r="D603" t="s">
        <v>44000</v>
      </c>
      <c r="E603" t="s">
        <v>44001</v>
      </c>
      <c r="F603" t="s">
        <v>44009</v>
      </c>
      <c r="G603" t="s">
        <v>44008</v>
      </c>
    </row>
    <row r="604" spans="1:7">
      <c r="A604" s="65" t="str">
        <f>CONCATENATE(SwaggerURL,input041)</f>
        <v>https://esi.evetech.net/latest/markets/10000021/history/?datasource=tranquility&amp;type_id=12618</v>
      </c>
      <c r="B604">
        <v>75</v>
      </c>
      <c r="C604">
        <v>75</v>
      </c>
      <c r="D604">
        <v>1</v>
      </c>
      <c r="E604">
        <v>2000</v>
      </c>
      <c r="F604" s="70">
        <v>44529</v>
      </c>
      <c r="G604" t="str">
        <f>IFERROR(IF((F604-F603)&gt;1,(LARGE(F604:$F604,1)-LARGE(F$604:$F604,2))-1,""),"")</f>
        <v/>
      </c>
    </row>
    <row r="605" spans="1:7">
      <c r="A605" s="79" t="s">
        <v>44018</v>
      </c>
      <c r="B605">
        <v>105</v>
      </c>
      <c r="C605">
        <v>105</v>
      </c>
      <c r="D605">
        <v>1</v>
      </c>
      <c r="E605">
        <v>1000</v>
      </c>
      <c r="F605" s="70">
        <v>44532</v>
      </c>
      <c r="G605">
        <f>IFERROR(IF((F605-F604)&gt;1,(LARGE(F605:$F605,1)-LARGE(F$604:$F605,2))-1,""),"")</f>
        <v>2</v>
      </c>
    </row>
    <row r="606" spans="1:7">
      <c r="A606" s="78">
        <f>MAX(0,(CurrentDate-2)-F617)</f>
        <v>2</v>
      </c>
      <c r="B606">
        <v>115.1</v>
      </c>
      <c r="C606">
        <v>115.1</v>
      </c>
      <c r="D606">
        <v>3</v>
      </c>
      <c r="E606">
        <v>3800</v>
      </c>
      <c r="F606" s="70">
        <v>44533</v>
      </c>
      <c r="G606" t="str">
        <f>IFERROR(IF((F606-F605)&gt;1,(LARGE(F606:$F606,1)-LARGE(F$604:$F606,2))-1,""),"")</f>
        <v/>
      </c>
    </row>
    <row r="607" spans="1:7">
      <c r="A607" s="79" t="s">
        <v>44026</v>
      </c>
      <c r="B607">
        <v>130</v>
      </c>
      <c r="C607">
        <v>130</v>
      </c>
      <c r="D607">
        <v>7</v>
      </c>
      <c r="E607">
        <v>8156</v>
      </c>
      <c r="F607" s="70">
        <v>44534</v>
      </c>
      <c r="G607" t="str">
        <f>IFERROR(IF((F607-F606)&gt;1,(LARGE(F607:$F607,1)-LARGE(F$604:$F607,2))-1,""),"")</f>
        <v/>
      </c>
    </row>
    <row r="608" spans="1:7">
      <c r="A608" s="83">
        <f>SUM(G611:G617)</f>
        <v>4</v>
      </c>
      <c r="B608">
        <v>130</v>
      </c>
      <c r="C608">
        <v>130</v>
      </c>
      <c r="D608">
        <v>1</v>
      </c>
      <c r="E608">
        <v>1080</v>
      </c>
      <c r="F608" s="70">
        <v>44535</v>
      </c>
      <c r="G608" t="str">
        <f>IFERROR(IF((F608-F607)&gt;1,(LARGE(F608:$F608,1)-LARGE(F$604:$F608,2))-1,""),"")</f>
        <v/>
      </c>
    </row>
    <row r="609" spans="1:7">
      <c r="A609" s="79" t="s">
        <v>44029</v>
      </c>
      <c r="B609">
        <v>130</v>
      </c>
      <c r="C609">
        <v>130</v>
      </c>
      <c r="D609">
        <v>2</v>
      </c>
      <c r="E609">
        <v>1000</v>
      </c>
      <c r="F609" s="70">
        <v>44541</v>
      </c>
      <c r="G609">
        <f>IFERROR(IF((F609-F608)&gt;1,(LARGE(F609:$F609,1)-LARGE(F$604:$F609,2))-1,""),"")</f>
        <v>5</v>
      </c>
    </row>
    <row r="610" spans="1:7">
      <c r="A610" s="77">
        <f>(SUM(E604:E617)/(A606+14)+SUM(G604:G617))</f>
        <v>2817.4375</v>
      </c>
      <c r="B610">
        <v>133.6</v>
      </c>
      <c r="C610">
        <v>133.6</v>
      </c>
      <c r="D610">
        <v>3</v>
      </c>
      <c r="E610">
        <v>1724</v>
      </c>
      <c r="F610" s="70">
        <v>44542</v>
      </c>
      <c r="G610" t="str">
        <f>IFERROR(IF((F610-F609)&gt;1,(LARGE(F610:$F610,1)-LARGE(F$604:$F610,2))-1,""),"")</f>
        <v/>
      </c>
    </row>
    <row r="611" spans="1:7">
      <c r="A611" s="77">
        <f>(SUM(E611:E617)/(A606+7)+SUM(G611:G617))</f>
        <v>2908.7777777777778</v>
      </c>
      <c r="B611">
        <v>133.6</v>
      </c>
      <c r="C611">
        <v>133.6</v>
      </c>
      <c r="D611">
        <v>1</v>
      </c>
      <c r="E611">
        <v>935</v>
      </c>
      <c r="F611" s="70">
        <v>44545</v>
      </c>
      <c r="G611">
        <f>IFERROR(IF((F611-F610)&gt;1,(LARGE(F611:$F611,1)-LARGE(F$604:$F611,2))-1,""),"")</f>
        <v>2</v>
      </c>
    </row>
    <row r="612" spans="1:7">
      <c r="A612" s="79" t="s">
        <v>44028</v>
      </c>
      <c r="B612">
        <v>133.6</v>
      </c>
      <c r="C612">
        <v>133.6</v>
      </c>
      <c r="D612">
        <v>1</v>
      </c>
      <c r="E612">
        <v>878</v>
      </c>
      <c r="F612" s="70">
        <v>44546</v>
      </c>
      <c r="G612" t="str">
        <f>IFERROR(IF((F612-F611)&gt;1,(LARGE(F612:$F612,1)-LARGE(F$604:$F612,2))-1,""),"")</f>
        <v/>
      </c>
    </row>
    <row r="613" spans="1:7">
      <c r="A613" s="77">
        <f>(SUM(D614:D617)/(A606+4)+SUM(G614:G617))</f>
        <v>2.333333333333333</v>
      </c>
      <c r="B613">
        <v>130</v>
      </c>
      <c r="C613">
        <v>130</v>
      </c>
      <c r="D613">
        <v>1</v>
      </c>
      <c r="E613">
        <v>10000</v>
      </c>
      <c r="F613" s="70">
        <v>44548</v>
      </c>
      <c r="G613">
        <f>IFERROR(IF((F613-F612)&gt;1,(LARGE(F613:$F613,1)-LARGE(F$604:$F613,2))-1,""),"")</f>
        <v>1</v>
      </c>
    </row>
    <row r="614" spans="1:7">
      <c r="A614" s="85" t="s">
        <v>44027</v>
      </c>
      <c r="B614">
        <v>129</v>
      </c>
      <c r="C614">
        <v>129</v>
      </c>
      <c r="D614">
        <v>3</v>
      </c>
      <c r="E614">
        <v>2400</v>
      </c>
      <c r="F614" s="70">
        <v>44549</v>
      </c>
      <c r="G614" t="str">
        <f>IFERROR(IF((F614-F613)&gt;1,(LARGE(F614:$F614,1)-LARGE(F$604:$F614,2))-1,""),"")</f>
        <v/>
      </c>
    </row>
    <row r="615" spans="1:7">
      <c r="A615" s="86">
        <f>IF(A608+A606&gt;10,"Look Up",AVERAGE(A610,A611))</f>
        <v>2863.1076388888887</v>
      </c>
      <c r="B615">
        <v>128</v>
      </c>
      <c r="C615">
        <v>128</v>
      </c>
      <c r="D615">
        <v>3</v>
      </c>
      <c r="E615">
        <v>6800</v>
      </c>
      <c r="F615" s="70">
        <v>44550</v>
      </c>
      <c r="G615" t="str">
        <f>IFERROR(IF((F615-F614)&gt;1,(LARGE(F615:$F615,1)-LARGE(F$604:$F615,2))-1,""),"")</f>
        <v/>
      </c>
    </row>
    <row r="616" spans="1:7">
      <c r="A616" s="85" t="s">
        <v>44030</v>
      </c>
      <c r="B616">
        <v>128</v>
      </c>
      <c r="C616">
        <v>128</v>
      </c>
      <c r="D616">
        <v>1</v>
      </c>
      <c r="E616">
        <v>500</v>
      </c>
      <c r="F616" s="70">
        <v>44551</v>
      </c>
      <c r="G616" t="str">
        <f>IFERROR(IF((F616-F615)&gt;1,(LARGE(F616:$F616,1)-LARGE(F$604:$F616,2))-1,""),"")</f>
        <v/>
      </c>
    </row>
    <row r="617" spans="1:7">
      <c r="A617" s="88"/>
      <c r="B617">
        <v>128</v>
      </c>
      <c r="C617">
        <v>128</v>
      </c>
      <c r="D617">
        <v>1</v>
      </c>
      <c r="E617">
        <v>4630</v>
      </c>
      <c r="F617" s="70">
        <v>44553</v>
      </c>
      <c r="G617">
        <f>IFERROR(IF((F617-F616)&gt;1,(LARGE(F617:$F617,1)-LARGE(F$604:$F617,2))-1,""),"")</f>
        <v>1</v>
      </c>
    </row>
    <row r="618" spans="1:7">
      <c r="A618" s="65">
        <f>VLOOKUP(TradeSheet!A43,TypeIDs!B:C,2,FALSE)</f>
        <v>21740</v>
      </c>
      <c r="B618" t="s">
        <v>43998</v>
      </c>
      <c r="C618" t="s">
        <v>43999</v>
      </c>
      <c r="D618" t="s">
        <v>44000</v>
      </c>
      <c r="E618" t="s">
        <v>44001</v>
      </c>
      <c r="F618" t="s">
        <v>44009</v>
      </c>
      <c r="G618" t="s">
        <v>44008</v>
      </c>
    </row>
    <row r="619" spans="1:7">
      <c r="A619" s="65" t="str">
        <f>CONCATENATE(SwaggerURL,input042)</f>
        <v>https://esi.evetech.net/latest/markets/10000021/history/?datasource=tranquility&amp;type_id=21740</v>
      </c>
      <c r="B619">
        <v>1329</v>
      </c>
      <c r="C619">
        <v>1329</v>
      </c>
      <c r="D619">
        <v>1</v>
      </c>
      <c r="E619">
        <v>5000</v>
      </c>
      <c r="F619" s="70">
        <v>44519</v>
      </c>
      <c r="G619" t="str">
        <f>IFERROR(IF((F619-F618)&gt;1,(LARGE(F619:$F619,1)-LARGE(F$619:$F619,2))-1,""),"")</f>
        <v/>
      </c>
    </row>
    <row r="620" spans="1:7">
      <c r="A620" s="79" t="s">
        <v>44018</v>
      </c>
      <c r="B620">
        <v>1199</v>
      </c>
      <c r="C620">
        <v>1199</v>
      </c>
      <c r="D620">
        <v>3</v>
      </c>
      <c r="E620">
        <v>5500</v>
      </c>
      <c r="F620" s="70">
        <v>44527</v>
      </c>
      <c r="G620">
        <f>IFERROR(IF((F620-F619)&gt;1,(LARGE(F620:$F620,1)-LARGE(F$619:$F620,2))-1,""),"")</f>
        <v>7</v>
      </c>
    </row>
    <row r="621" spans="1:7">
      <c r="A621" s="78">
        <f>MAX(0,(CurrentDate-2)-F632)</f>
        <v>9</v>
      </c>
      <c r="B621">
        <v>1199</v>
      </c>
      <c r="C621">
        <v>1199</v>
      </c>
      <c r="D621">
        <v>1</v>
      </c>
      <c r="E621">
        <v>10000</v>
      </c>
      <c r="F621" s="70">
        <v>44529</v>
      </c>
      <c r="G621">
        <f>IFERROR(IF((F621-F620)&gt;1,(LARGE(F621:$F621,1)-LARGE(F$619:$F621,2))-1,""),"")</f>
        <v>1</v>
      </c>
    </row>
    <row r="622" spans="1:7">
      <c r="A622" s="79" t="s">
        <v>44026</v>
      </c>
      <c r="B622">
        <v>1199</v>
      </c>
      <c r="C622">
        <v>1199</v>
      </c>
      <c r="D622">
        <v>1</v>
      </c>
      <c r="E622">
        <v>5000</v>
      </c>
      <c r="F622" s="70">
        <v>44530</v>
      </c>
      <c r="G622" t="str">
        <f>IFERROR(IF((F622-F621)&gt;1,(LARGE(F622:$F622,1)-LARGE(F$619:$F622,2))-1,""),"")</f>
        <v/>
      </c>
    </row>
    <row r="623" spans="1:7">
      <c r="A623" s="83">
        <f>SUM(G626:G632)</f>
        <v>4</v>
      </c>
      <c r="B623">
        <v>1300</v>
      </c>
      <c r="C623">
        <v>1300</v>
      </c>
      <c r="D623">
        <v>3</v>
      </c>
      <c r="E623">
        <v>3300</v>
      </c>
      <c r="F623" s="70">
        <v>44532</v>
      </c>
      <c r="G623">
        <f>IFERROR(IF((F623-F622)&gt;1,(LARGE(F623:$F623,1)-LARGE(F$619:$F623,2))-1,""),"")</f>
        <v>1</v>
      </c>
    </row>
    <row r="624" spans="1:7">
      <c r="A624" s="79" t="s">
        <v>44029</v>
      </c>
      <c r="B624">
        <v>1299</v>
      </c>
      <c r="C624">
        <v>1299</v>
      </c>
      <c r="D624">
        <v>4</v>
      </c>
      <c r="E624">
        <v>11500</v>
      </c>
      <c r="F624" s="70">
        <v>44534</v>
      </c>
      <c r="G624">
        <f>IFERROR(IF((F624-F623)&gt;1,(LARGE(F624:$F624,1)-LARGE(F$619:$F624,2))-1,""),"")</f>
        <v>1</v>
      </c>
    </row>
    <row r="625" spans="1:7">
      <c r="A625" s="77">
        <f>(SUM(E619:E632)/(A621+14)+SUM(G619:G632))</f>
        <v>11038.782608695652</v>
      </c>
      <c r="B625">
        <v>1299</v>
      </c>
      <c r="C625">
        <v>1299</v>
      </c>
      <c r="D625">
        <v>1</v>
      </c>
      <c r="E625">
        <v>15000</v>
      </c>
      <c r="F625" s="70">
        <v>44535</v>
      </c>
      <c r="G625" t="str">
        <f>IFERROR(IF((F625-F624)&gt;1,(LARGE(F625:$F625,1)-LARGE(F$619:$F625,2))-1,""),"")</f>
        <v/>
      </c>
    </row>
    <row r="626" spans="1:7">
      <c r="A626" s="77">
        <f>(SUM(E626:E632)/(A621+7)+SUM(G626:G632))</f>
        <v>12395.875</v>
      </c>
      <c r="B626">
        <v>1299</v>
      </c>
      <c r="C626">
        <v>1299</v>
      </c>
      <c r="D626">
        <v>3</v>
      </c>
      <c r="E626">
        <v>7000</v>
      </c>
      <c r="F626" s="70">
        <v>44536</v>
      </c>
      <c r="G626" t="str">
        <f>IFERROR(IF((F626-F625)&gt;1,(LARGE(F626:$F626,1)-LARGE(F$619:$F626,2))-1,""),"")</f>
        <v/>
      </c>
    </row>
    <row r="627" spans="1:7">
      <c r="A627" s="79" t="s">
        <v>44028</v>
      </c>
      <c r="B627">
        <v>1299</v>
      </c>
      <c r="C627">
        <v>1299</v>
      </c>
      <c r="D627">
        <v>3</v>
      </c>
      <c r="E627">
        <v>6075</v>
      </c>
      <c r="F627" s="70">
        <v>44538</v>
      </c>
      <c r="G627">
        <f>IFERROR(IF((F627-F626)&gt;1,(LARGE(F627:$F627,1)-LARGE(F$619:$F627,2))-1,""),"")</f>
        <v>1</v>
      </c>
    </row>
    <row r="628" spans="1:7">
      <c r="A628" s="77">
        <f>(SUM(D629:D632)/(A621+4)+SUM(G629:G632))</f>
        <v>3.9230769230769234</v>
      </c>
      <c r="B628">
        <v>1299</v>
      </c>
      <c r="C628">
        <v>1299</v>
      </c>
      <c r="D628">
        <v>3</v>
      </c>
      <c r="E628">
        <v>17485</v>
      </c>
      <c r="F628" s="70">
        <v>44539</v>
      </c>
      <c r="G628" t="str">
        <f>IFERROR(IF((F628-F627)&gt;1,(LARGE(F628:$F628,1)-LARGE(F$619:$F628,2))-1,""),"")</f>
        <v/>
      </c>
    </row>
    <row r="629" spans="1:7">
      <c r="A629" s="85" t="s">
        <v>44027</v>
      </c>
      <c r="B629">
        <v>1299</v>
      </c>
      <c r="C629">
        <v>1299</v>
      </c>
      <c r="D629">
        <v>3</v>
      </c>
      <c r="E629">
        <v>12515</v>
      </c>
      <c r="F629" s="70">
        <v>44540</v>
      </c>
      <c r="G629" t="str">
        <f>IFERROR(IF((F629-F628)&gt;1,(LARGE(F629:$F629,1)-LARGE(F$619:$F629,2))-1,""),"")</f>
        <v/>
      </c>
    </row>
    <row r="630" spans="1:7">
      <c r="A630" s="86" t="str">
        <f>IF(A623+A621&gt;10,"Look Up",AVERAGE(A625,A626))</f>
        <v>Look Up</v>
      </c>
      <c r="B630">
        <v>1200</v>
      </c>
      <c r="C630">
        <v>1200</v>
      </c>
      <c r="D630">
        <v>3</v>
      </c>
      <c r="E630">
        <v>2830</v>
      </c>
      <c r="F630" s="70">
        <v>44542</v>
      </c>
      <c r="G630">
        <f>IFERROR(IF((F630-F629)&gt;1,(LARGE(F630:$F630,1)-LARGE(F$619:$F630,2))-1,""),"")</f>
        <v>1</v>
      </c>
    </row>
    <row r="631" spans="1:7">
      <c r="A631" s="85" t="s">
        <v>44030</v>
      </c>
      <c r="B631">
        <v>1300</v>
      </c>
      <c r="C631">
        <v>1300</v>
      </c>
      <c r="D631">
        <v>2</v>
      </c>
      <c r="E631">
        <v>37365</v>
      </c>
      <c r="F631" s="70">
        <v>44544</v>
      </c>
      <c r="G631">
        <f>IFERROR(IF((F631-F630)&gt;1,(LARGE(F631:$F631,1)-LARGE(F$619:$F631,2))-1,""),"")</f>
        <v>1</v>
      </c>
    </row>
    <row r="632" spans="1:7">
      <c r="A632" s="88"/>
      <c r="B632">
        <v>1330</v>
      </c>
      <c r="C632">
        <v>1330</v>
      </c>
      <c r="D632">
        <v>4</v>
      </c>
      <c r="E632">
        <v>115000</v>
      </c>
      <c r="F632" s="70">
        <v>44546</v>
      </c>
      <c r="G632">
        <f>IFERROR(IF((F632-F631)&gt;1,(LARGE(F632:$F632,1)-LARGE(F$619:$F632,2))-1,""),"")</f>
        <v>1</v>
      </c>
    </row>
    <row r="633" spans="1:7">
      <c r="A633" s="65">
        <f>VLOOKUP(TradeSheet!A44,TypeIDs!B:C,2,FALSE)</f>
        <v>23025</v>
      </c>
      <c r="B633" t="s">
        <v>43998</v>
      </c>
      <c r="C633" t="s">
        <v>43999</v>
      </c>
      <c r="D633" t="s">
        <v>44000</v>
      </c>
      <c r="E633" t="s">
        <v>44001</v>
      </c>
      <c r="F633" t="s">
        <v>44009</v>
      </c>
      <c r="G633" t="s">
        <v>44008</v>
      </c>
    </row>
    <row r="634" spans="1:7">
      <c r="A634" s="65" t="str">
        <f>CONCATENATE(SwaggerURL,input043)</f>
        <v>https://esi.evetech.net/latest/markets/10000021/history/?datasource=tranquility&amp;type_id=23025</v>
      </c>
      <c r="B634">
        <v>676</v>
      </c>
      <c r="C634">
        <v>676</v>
      </c>
      <c r="D634">
        <v>4</v>
      </c>
      <c r="E634">
        <v>3516</v>
      </c>
      <c r="F634" s="70">
        <v>44540</v>
      </c>
      <c r="G634" t="str">
        <f>IFERROR(IF((F634-F633)&gt;1,(LARGE(F634:$F634,1)-LARGE(F$634:$F634,2))-1,""),"")</f>
        <v/>
      </c>
    </row>
    <row r="635" spans="1:7">
      <c r="A635" s="79" t="s">
        <v>44018</v>
      </c>
      <c r="B635">
        <v>676.8</v>
      </c>
      <c r="C635">
        <v>676.8</v>
      </c>
      <c r="D635">
        <v>8</v>
      </c>
      <c r="E635">
        <v>7920</v>
      </c>
      <c r="F635" s="70">
        <v>44541</v>
      </c>
      <c r="G635" t="str">
        <f>IFERROR(IF((F635-F634)&gt;1,(LARGE(F635:$F635,1)-LARGE(F$634:$F635,2))-1,""),"")</f>
        <v/>
      </c>
    </row>
    <row r="636" spans="1:7">
      <c r="A636" s="78">
        <f>MAX(0,(CurrentDate-2)-F647)</f>
        <v>1</v>
      </c>
      <c r="B636">
        <v>676.8</v>
      </c>
      <c r="C636">
        <v>676.8</v>
      </c>
      <c r="D636">
        <v>1</v>
      </c>
      <c r="E636">
        <v>100</v>
      </c>
      <c r="F636" s="70">
        <v>44542</v>
      </c>
      <c r="G636" t="str">
        <f>IFERROR(IF((F636-F635)&gt;1,(LARGE(F636:$F636,1)-LARGE(F$634:$F636,2))-1,""),"")</f>
        <v/>
      </c>
    </row>
    <row r="637" spans="1:7">
      <c r="A637" s="79" t="s">
        <v>44026</v>
      </c>
      <c r="B637">
        <v>676.8</v>
      </c>
      <c r="C637">
        <v>676.8</v>
      </c>
      <c r="D637">
        <v>3</v>
      </c>
      <c r="E637">
        <v>4645</v>
      </c>
      <c r="F637" s="70">
        <v>44544</v>
      </c>
      <c r="G637">
        <f>IFERROR(IF((F637-F636)&gt;1,(LARGE(F637:$F637,1)-LARGE(F$634:$F637,2))-1,""),"")</f>
        <v>1</v>
      </c>
    </row>
    <row r="638" spans="1:7">
      <c r="A638" s="83">
        <f>SUM(G641:G647)</f>
        <v>0</v>
      </c>
      <c r="B638">
        <v>676.8</v>
      </c>
      <c r="C638">
        <v>676.8</v>
      </c>
      <c r="D638">
        <v>3</v>
      </c>
      <c r="E638">
        <v>3800</v>
      </c>
      <c r="F638" s="70">
        <v>44545</v>
      </c>
      <c r="G638" t="str">
        <f>IFERROR(IF((F638-F637)&gt;1,(LARGE(F638:$F638,1)-LARGE(F$634:$F638,2))-1,""),"")</f>
        <v/>
      </c>
    </row>
    <row r="639" spans="1:7">
      <c r="A639" s="79" t="s">
        <v>44029</v>
      </c>
      <c r="B639">
        <v>676.8</v>
      </c>
      <c r="C639">
        <v>676.8</v>
      </c>
      <c r="D639">
        <v>7</v>
      </c>
      <c r="E639">
        <v>7820</v>
      </c>
      <c r="F639" s="70">
        <v>44546</v>
      </c>
      <c r="G639" t="str">
        <f>IFERROR(IF((F639-F638)&gt;1,(LARGE(F639:$F639,1)-LARGE(F$634:$F639,2))-1,""),"")</f>
        <v/>
      </c>
    </row>
    <row r="640" spans="1:7">
      <c r="A640" s="77">
        <f>(SUM(E634:E647)/(A636+14)+SUM(G634:G647))</f>
        <v>7592.2666666666664</v>
      </c>
      <c r="B640">
        <v>675.1</v>
      </c>
      <c r="C640">
        <v>675.1</v>
      </c>
      <c r="D640">
        <v>3</v>
      </c>
      <c r="E640">
        <v>3563</v>
      </c>
      <c r="F640" s="70">
        <v>44547</v>
      </c>
      <c r="G640" t="str">
        <f>IFERROR(IF((F640-F639)&gt;1,(LARGE(F640:$F640,1)-LARGE(F$634:$F640,2))-1,""),"")</f>
        <v/>
      </c>
    </row>
    <row r="641" spans="1:7">
      <c r="A641" s="77">
        <f>(SUM(E641:E647)/(A636+7)+SUM(G641:G647))</f>
        <v>10313.125</v>
      </c>
      <c r="B641">
        <v>676.8</v>
      </c>
      <c r="C641">
        <v>676.8</v>
      </c>
      <c r="D641">
        <v>9</v>
      </c>
      <c r="E641">
        <v>17451</v>
      </c>
      <c r="F641" s="70">
        <v>44548</v>
      </c>
      <c r="G641" t="str">
        <f>IFERROR(IF((F641-F640)&gt;1,(LARGE(F641:$F641,1)-LARGE(F$634:$F641,2))-1,""),"")</f>
        <v/>
      </c>
    </row>
    <row r="642" spans="1:7">
      <c r="A642" s="79" t="s">
        <v>44028</v>
      </c>
      <c r="B642">
        <v>920</v>
      </c>
      <c r="C642">
        <v>920</v>
      </c>
      <c r="D642">
        <v>6</v>
      </c>
      <c r="E642">
        <v>37960</v>
      </c>
      <c r="F642" s="70">
        <v>44549</v>
      </c>
      <c r="G642" t="str">
        <f>IFERROR(IF((F642-F641)&gt;1,(LARGE(F642:$F642,1)-LARGE(F$634:$F642,2))-1,""),"")</f>
        <v/>
      </c>
    </row>
    <row r="643" spans="1:7">
      <c r="A643" s="77">
        <f>(SUM(D644:D647)/(A636+4)+SUM(G644:G647))</f>
        <v>2.2000000000000002</v>
      </c>
      <c r="B643">
        <v>676.8</v>
      </c>
      <c r="C643">
        <v>676.8</v>
      </c>
      <c r="D643">
        <v>9</v>
      </c>
      <c r="E643">
        <v>12700</v>
      </c>
      <c r="F643" s="70">
        <v>44550</v>
      </c>
      <c r="G643" t="str">
        <f>IFERROR(IF((F643-F642)&gt;1,(LARGE(F643:$F643,1)-LARGE(F$634:$F643,2))-1,""),"")</f>
        <v/>
      </c>
    </row>
    <row r="644" spans="1:7">
      <c r="A644" s="85" t="s">
        <v>44027</v>
      </c>
      <c r="B644">
        <v>676.8</v>
      </c>
      <c r="C644">
        <v>676.8</v>
      </c>
      <c r="D644">
        <v>1</v>
      </c>
      <c r="E644">
        <v>5000</v>
      </c>
      <c r="F644" s="70">
        <v>44551</v>
      </c>
      <c r="G644" t="str">
        <f>IFERROR(IF((F644-F643)&gt;1,(LARGE(F644:$F644,1)-LARGE(F$634:$F644,2))-1,""),"")</f>
        <v/>
      </c>
    </row>
    <row r="645" spans="1:7">
      <c r="A645" s="86">
        <f>IF(A638+A636&gt;10,"Look Up",AVERAGE(A640,A641))</f>
        <v>8952.6958333333332</v>
      </c>
      <c r="B645">
        <v>676.8</v>
      </c>
      <c r="C645">
        <v>676.8</v>
      </c>
      <c r="D645">
        <v>2</v>
      </c>
      <c r="E645">
        <v>1720</v>
      </c>
      <c r="F645" s="70">
        <v>44552</v>
      </c>
      <c r="G645" t="str">
        <f>IFERROR(IF((F645-F644)&gt;1,(LARGE(F645:$F645,1)-LARGE(F$634:$F645,2))-1,""),"")</f>
        <v/>
      </c>
    </row>
    <row r="646" spans="1:7">
      <c r="A646" s="85" t="s">
        <v>44030</v>
      </c>
      <c r="B646">
        <v>600</v>
      </c>
      <c r="C646">
        <v>600</v>
      </c>
      <c r="D646">
        <v>1</v>
      </c>
      <c r="E646">
        <v>774</v>
      </c>
      <c r="F646" s="70">
        <v>44553</v>
      </c>
      <c r="G646" t="str">
        <f>IFERROR(IF((F646-F645)&gt;1,(LARGE(F646:$F646,1)-LARGE(F$634:$F646,2))-1,""),"")</f>
        <v/>
      </c>
    </row>
    <row r="647" spans="1:7">
      <c r="A647" s="88"/>
      <c r="B647">
        <v>600</v>
      </c>
      <c r="C647">
        <v>600</v>
      </c>
      <c r="D647">
        <v>7</v>
      </c>
      <c r="E647">
        <v>6900</v>
      </c>
      <c r="F647" s="70">
        <v>44554</v>
      </c>
      <c r="G647" t="str">
        <f>IFERROR(IF((F647-F646)&gt;1,(LARGE(F647:$F647,1)-LARGE(F$634:$F647,2))-1,""),"")</f>
        <v/>
      </c>
    </row>
    <row r="648" spans="1:7">
      <c r="A648" s="65">
        <f>VLOOKUP(TradeSheet!A45,TypeIDs!B:C,2,FALSE)</f>
        <v>23035</v>
      </c>
      <c r="B648" t="s">
        <v>43998</v>
      </c>
      <c r="C648" t="s">
        <v>43999</v>
      </c>
      <c r="D648" t="s">
        <v>44000</v>
      </c>
      <c r="E648" t="s">
        <v>44001</v>
      </c>
      <c r="F648" t="s">
        <v>44009</v>
      </c>
      <c r="G648" t="s">
        <v>44008</v>
      </c>
    </row>
    <row r="649" spans="1:7">
      <c r="A649" s="65" t="str">
        <f>CONCATENATE(SwaggerURL,input044)</f>
        <v>https://esi.evetech.net/latest/markets/10000021/history/?datasource=tranquility&amp;type_id=23035</v>
      </c>
      <c r="B649">
        <v>800</v>
      </c>
      <c r="C649">
        <v>800</v>
      </c>
      <c r="D649">
        <v>1</v>
      </c>
      <c r="E649">
        <v>1500</v>
      </c>
      <c r="F649" s="70">
        <v>44509</v>
      </c>
      <c r="G649" t="str">
        <f>IFERROR(IF((F649-F648)&gt;1,(LARGE(F649:$F649,1)-LARGE(F$649:$F649,2))-1,""),"")</f>
        <v/>
      </c>
    </row>
    <row r="650" spans="1:7">
      <c r="A650" s="79" t="s">
        <v>44018</v>
      </c>
      <c r="B650">
        <v>800</v>
      </c>
      <c r="C650">
        <v>800</v>
      </c>
      <c r="D650">
        <v>8</v>
      </c>
      <c r="E650">
        <v>7720</v>
      </c>
      <c r="F650" s="70">
        <v>44511</v>
      </c>
      <c r="G650">
        <f>IFERROR(IF((F650-F649)&gt;1,(LARGE(F650:$F650,1)-LARGE(F$649:$F650,2))-1,""),"")</f>
        <v>1</v>
      </c>
    </row>
    <row r="651" spans="1:7">
      <c r="A651" s="78">
        <f>MAX(0,(CurrentDate-2)-F662)</f>
        <v>1</v>
      </c>
      <c r="B651">
        <v>800</v>
      </c>
      <c r="C651">
        <v>800</v>
      </c>
      <c r="D651">
        <v>1</v>
      </c>
      <c r="E651">
        <v>500</v>
      </c>
      <c r="F651" s="70">
        <v>44512</v>
      </c>
      <c r="G651" t="str">
        <f>IFERROR(IF((F651-F650)&gt;1,(LARGE(F651:$F651,1)-LARGE(F$649:$F651,2))-1,""),"")</f>
        <v/>
      </c>
    </row>
    <row r="652" spans="1:7">
      <c r="A652" s="79" t="s">
        <v>44026</v>
      </c>
      <c r="B652">
        <v>800</v>
      </c>
      <c r="C652">
        <v>800</v>
      </c>
      <c r="D652">
        <v>1</v>
      </c>
      <c r="E652">
        <v>1500</v>
      </c>
      <c r="F652" s="70">
        <v>44513</v>
      </c>
      <c r="G652" t="str">
        <f>IFERROR(IF((F652-F651)&gt;1,(LARGE(F652:$F652,1)-LARGE(F$649:$F652,2))-1,""),"")</f>
        <v/>
      </c>
    </row>
    <row r="653" spans="1:7">
      <c r="A653" s="83">
        <f>SUM(G656:G662)</f>
        <v>25</v>
      </c>
      <c r="B653">
        <v>725</v>
      </c>
      <c r="C653">
        <v>725</v>
      </c>
      <c r="D653">
        <v>1</v>
      </c>
      <c r="E653">
        <v>1000</v>
      </c>
      <c r="F653" s="70">
        <v>44516</v>
      </c>
      <c r="G653">
        <f>IFERROR(IF((F653-F652)&gt;1,(LARGE(F653:$F653,1)-LARGE(F$649:$F653,2))-1,""),"")</f>
        <v>2</v>
      </c>
    </row>
    <row r="654" spans="1:7">
      <c r="A654" s="79" t="s">
        <v>44029</v>
      </c>
      <c r="B654">
        <v>799</v>
      </c>
      <c r="C654">
        <v>799</v>
      </c>
      <c r="D654">
        <v>2</v>
      </c>
      <c r="E654">
        <v>2500</v>
      </c>
      <c r="F654" s="70">
        <v>44521</v>
      </c>
      <c r="G654">
        <f>IFERROR(IF((F654-F653)&gt;1,(LARGE(F654:$F654,1)-LARGE(F$649:$F654,2))-1,""),"")</f>
        <v>4</v>
      </c>
    </row>
    <row r="655" spans="1:7">
      <c r="A655" s="77">
        <f>(SUM(E649:E662)/(A651+14)+SUM(G649:G662))</f>
        <v>3180.7333333333331</v>
      </c>
      <c r="B655">
        <v>799</v>
      </c>
      <c r="C655">
        <v>799</v>
      </c>
      <c r="D655">
        <v>1</v>
      </c>
      <c r="E655">
        <v>3836</v>
      </c>
      <c r="F655" s="70">
        <v>44522</v>
      </c>
      <c r="G655" t="str">
        <f>IFERROR(IF((F655-F654)&gt;1,(LARGE(F655:$F655,1)-LARGE(F$649:$F655,2))-1,""),"")</f>
        <v/>
      </c>
    </row>
    <row r="656" spans="1:7">
      <c r="A656" s="77">
        <f>(SUM(E656:E662)/(A651+7)+SUM(G656:G662))</f>
        <v>3609.375</v>
      </c>
      <c r="B656">
        <v>800</v>
      </c>
      <c r="C656">
        <v>800</v>
      </c>
      <c r="D656">
        <v>1</v>
      </c>
      <c r="E656">
        <v>1200</v>
      </c>
      <c r="F656" s="70">
        <v>44525</v>
      </c>
      <c r="G656">
        <f>IFERROR(IF((F656-F655)&gt;1,(LARGE(F656:$F656,1)-LARGE(F$649:$F656,2))-1,""),"")</f>
        <v>2</v>
      </c>
    </row>
    <row r="657" spans="1:7">
      <c r="A657" s="79" t="s">
        <v>44028</v>
      </c>
      <c r="B657">
        <v>800</v>
      </c>
      <c r="C657">
        <v>800</v>
      </c>
      <c r="D657">
        <v>6</v>
      </c>
      <c r="E657">
        <v>6140</v>
      </c>
      <c r="F657" s="70">
        <v>44528</v>
      </c>
      <c r="G657">
        <f>IFERROR(IF((F657-F656)&gt;1,(LARGE(F657:$F657,1)-LARGE(F$649:$F657,2))-1,""),"")</f>
        <v>2</v>
      </c>
    </row>
    <row r="658" spans="1:7">
      <c r="A658" s="77">
        <f>(SUM(D659:D662)/(A651+4)+SUM(G659:G662))</f>
        <v>20</v>
      </c>
      <c r="B658">
        <v>800</v>
      </c>
      <c r="C658">
        <v>800</v>
      </c>
      <c r="D658">
        <v>2</v>
      </c>
      <c r="E658">
        <v>3500</v>
      </c>
      <c r="F658" s="70">
        <v>44532</v>
      </c>
      <c r="G658">
        <f>IFERROR(IF((F658-F657)&gt;1,(LARGE(F658:$F658,1)-LARGE(F$649:$F658,2))-1,""),"")</f>
        <v>3</v>
      </c>
    </row>
    <row r="659" spans="1:7">
      <c r="A659" s="85" t="s">
        <v>44027</v>
      </c>
      <c r="B659">
        <v>800</v>
      </c>
      <c r="C659">
        <v>800</v>
      </c>
      <c r="D659">
        <v>1</v>
      </c>
      <c r="E659">
        <v>8000</v>
      </c>
      <c r="F659" s="70">
        <v>44542</v>
      </c>
      <c r="G659">
        <f>IFERROR(IF((F659-F658)&gt;1,(LARGE(F659:$F659,1)-LARGE(F$649:$F659,2))-1,""),"")</f>
        <v>9</v>
      </c>
    </row>
    <row r="660" spans="1:7">
      <c r="A660" s="86" t="str">
        <f>IF(A653+A651&gt;10,"Look Up",AVERAGE(A655,A656))</f>
        <v>Look Up</v>
      </c>
      <c r="B660">
        <v>800</v>
      </c>
      <c r="C660">
        <v>800</v>
      </c>
      <c r="D660">
        <v>1</v>
      </c>
      <c r="E660">
        <v>1240</v>
      </c>
      <c r="F660" s="70">
        <v>44544</v>
      </c>
      <c r="G660">
        <f>IFERROR(IF((F660-F659)&gt;1,(LARGE(F660:$F660,1)-LARGE(F$649:$F660,2))-1,""),"")</f>
        <v>1</v>
      </c>
    </row>
    <row r="661" spans="1:7">
      <c r="A661" s="85" t="s">
        <v>44030</v>
      </c>
      <c r="B661">
        <v>800</v>
      </c>
      <c r="C661">
        <v>800</v>
      </c>
      <c r="D661">
        <v>3</v>
      </c>
      <c r="E661">
        <v>2430</v>
      </c>
      <c r="F661" s="70">
        <v>44546</v>
      </c>
      <c r="G661">
        <f>IFERROR(IF((F661-F660)&gt;1,(LARGE(F661:$F661,1)-LARGE(F$649:$F661,2))-1,""),"")</f>
        <v>1</v>
      </c>
    </row>
    <row r="662" spans="1:7">
      <c r="A662" s="88"/>
      <c r="B662">
        <v>600</v>
      </c>
      <c r="C662">
        <v>600</v>
      </c>
      <c r="D662">
        <v>5</v>
      </c>
      <c r="E662">
        <v>6165</v>
      </c>
      <c r="F662" s="70">
        <v>44554</v>
      </c>
      <c r="G662">
        <f>IFERROR(IF((F662-F661)&gt;1,(LARGE(F662:$F662,1)-LARGE(F$649:$F662,2))-1,""),"")</f>
        <v>7</v>
      </c>
    </row>
    <row r="663" spans="1:7">
      <c r="A663" s="65">
        <f>VLOOKUP(TradeSheet!A46,TypeIDs!B:C,2,FALSE)</f>
        <v>23039</v>
      </c>
      <c r="B663" t="s">
        <v>43998</v>
      </c>
      <c r="C663" t="s">
        <v>43999</v>
      </c>
      <c r="D663" t="s">
        <v>44000</v>
      </c>
      <c r="E663" t="s">
        <v>44001</v>
      </c>
      <c r="F663" t="s">
        <v>44009</v>
      </c>
      <c r="G663" t="s">
        <v>44008</v>
      </c>
    </row>
    <row r="664" spans="1:7">
      <c r="A664" s="65" t="str">
        <f>CONCATENATE(SwaggerURL,input045)</f>
        <v>https://esi.evetech.net/latest/markets/10000021/history/?datasource=tranquility&amp;type_id=23039</v>
      </c>
      <c r="B664">
        <v>889.9</v>
      </c>
      <c r="C664">
        <v>889.9</v>
      </c>
      <c r="D664">
        <v>1</v>
      </c>
      <c r="E664">
        <v>1000</v>
      </c>
      <c r="F664" s="70">
        <v>44534</v>
      </c>
      <c r="G664" t="str">
        <f>IFERROR(IF((F664-F663)&gt;1,(LARGE(F664:$F664,1)-LARGE(F$664:$F664,2))-1,""),"")</f>
        <v/>
      </c>
    </row>
    <row r="665" spans="1:7">
      <c r="A665" s="79" t="s">
        <v>44018</v>
      </c>
      <c r="B665">
        <v>889.9</v>
      </c>
      <c r="C665">
        <v>889.9</v>
      </c>
      <c r="D665">
        <v>1</v>
      </c>
      <c r="E665">
        <v>1000</v>
      </c>
      <c r="F665" s="70">
        <v>44535</v>
      </c>
      <c r="G665" t="str">
        <f>IFERROR(IF((F665-F664)&gt;1,(LARGE(F665:$F665,1)-LARGE(F$664:$F665,2))-1,""),"")</f>
        <v/>
      </c>
    </row>
    <row r="666" spans="1:7">
      <c r="A666" s="78">
        <f>MAX(0,(CurrentDate-2)-F677)</f>
        <v>1</v>
      </c>
      <c r="B666">
        <v>889.9</v>
      </c>
      <c r="C666">
        <v>889.9</v>
      </c>
      <c r="D666">
        <v>1</v>
      </c>
      <c r="E666">
        <v>600</v>
      </c>
      <c r="F666" s="70">
        <v>44536</v>
      </c>
      <c r="G666" t="str">
        <f>IFERROR(IF((F666-F665)&gt;1,(LARGE(F666:$F666,1)-LARGE(F$664:$F666,2))-1,""),"")</f>
        <v/>
      </c>
    </row>
    <row r="667" spans="1:7">
      <c r="A667" s="79" t="s">
        <v>44026</v>
      </c>
      <c r="B667">
        <v>890</v>
      </c>
      <c r="C667">
        <v>890</v>
      </c>
      <c r="D667">
        <v>2</v>
      </c>
      <c r="E667">
        <v>3760</v>
      </c>
      <c r="F667" s="70">
        <v>44537</v>
      </c>
      <c r="G667" t="str">
        <f>IFERROR(IF((F667-F666)&gt;1,(LARGE(F667:$F667,1)-LARGE(F$664:$F667,2))-1,""),"")</f>
        <v/>
      </c>
    </row>
    <row r="668" spans="1:7">
      <c r="A668" s="83">
        <f>SUM(G671:G677)</f>
        <v>5</v>
      </c>
      <c r="B668">
        <v>890</v>
      </c>
      <c r="C668">
        <v>890</v>
      </c>
      <c r="D668">
        <v>3</v>
      </c>
      <c r="E668">
        <v>12000</v>
      </c>
      <c r="F668" s="70">
        <v>44539</v>
      </c>
      <c r="G668">
        <f>IFERROR(IF((F668-F667)&gt;1,(LARGE(F668:$F668,1)-LARGE(F$664:$F668,2))-1,""),"")</f>
        <v>1</v>
      </c>
    </row>
    <row r="669" spans="1:7">
      <c r="A669" s="79" t="s">
        <v>44029</v>
      </c>
      <c r="B669">
        <v>900</v>
      </c>
      <c r="C669">
        <v>900</v>
      </c>
      <c r="D669">
        <v>4</v>
      </c>
      <c r="E669">
        <v>3160</v>
      </c>
      <c r="F669" s="70">
        <v>44540</v>
      </c>
      <c r="G669" t="str">
        <f>IFERROR(IF((F669-F668)&gt;1,(LARGE(F669:$F669,1)-LARGE(F$664:$F669,2))-1,""),"")</f>
        <v/>
      </c>
    </row>
    <row r="670" spans="1:7">
      <c r="A670" s="77">
        <f>(SUM(E664:E677)/(A666+14)+SUM(G664:G677))</f>
        <v>3590.4666666666667</v>
      </c>
      <c r="B670">
        <v>891</v>
      </c>
      <c r="C670">
        <v>891</v>
      </c>
      <c r="D670">
        <v>4</v>
      </c>
      <c r="E670">
        <v>9150</v>
      </c>
      <c r="F670" s="70">
        <v>44542</v>
      </c>
      <c r="G670">
        <f>IFERROR(IF((F670-F669)&gt;1,(LARGE(F670:$F670,1)-LARGE(F$664:$F670,2))-1,""),"")</f>
        <v>1</v>
      </c>
    </row>
    <row r="671" spans="1:7">
      <c r="A671" s="77">
        <f>(SUM(E671:E677)/(A666+7)+SUM(G671:G677))</f>
        <v>2890.25</v>
      </c>
      <c r="B671">
        <v>891</v>
      </c>
      <c r="C671">
        <v>891</v>
      </c>
      <c r="D671">
        <v>1</v>
      </c>
      <c r="E671">
        <v>1000</v>
      </c>
      <c r="F671" s="70">
        <v>44544</v>
      </c>
      <c r="G671">
        <f>IFERROR(IF((F671-F670)&gt;1,(LARGE(F671:$F671,1)-LARGE(F$664:$F671,2))-1,""),"")</f>
        <v>1</v>
      </c>
    </row>
    <row r="672" spans="1:7">
      <c r="A672" s="79" t="s">
        <v>44028</v>
      </c>
      <c r="B672">
        <v>891</v>
      </c>
      <c r="C672">
        <v>891</v>
      </c>
      <c r="D672">
        <v>1</v>
      </c>
      <c r="E672">
        <v>1000</v>
      </c>
      <c r="F672" s="70">
        <v>44545</v>
      </c>
      <c r="G672" t="str">
        <f>IFERROR(IF((F672-F671)&gt;1,(LARGE(F672:$F672,1)-LARGE(F$664:$F672,2))-1,""),"")</f>
        <v/>
      </c>
    </row>
    <row r="673" spans="1:7">
      <c r="A673" s="77">
        <f>(SUM(D674:D677)/(A666+4)+SUM(G674:G677))</f>
        <v>4.4000000000000004</v>
      </c>
      <c r="B673">
        <v>891</v>
      </c>
      <c r="C673">
        <v>891</v>
      </c>
      <c r="D673">
        <v>7</v>
      </c>
      <c r="E673">
        <v>5582</v>
      </c>
      <c r="F673" s="70">
        <v>44548</v>
      </c>
      <c r="G673">
        <f>IFERROR(IF((F673-F672)&gt;1,(LARGE(F673:$F673,1)-LARGE(F$664:$F673,2))-1,""),"")</f>
        <v>2</v>
      </c>
    </row>
    <row r="674" spans="1:7">
      <c r="A674" s="85" t="s">
        <v>44027</v>
      </c>
      <c r="B674">
        <v>899.5</v>
      </c>
      <c r="C674">
        <v>899.5</v>
      </c>
      <c r="D674">
        <v>2</v>
      </c>
      <c r="E674">
        <v>5000</v>
      </c>
      <c r="F674" s="70">
        <v>44549</v>
      </c>
      <c r="G674" t="str">
        <f>IFERROR(IF((F674-F673)&gt;1,(LARGE(F674:$F674,1)-LARGE(F$664:$F674,2))-1,""),"")</f>
        <v/>
      </c>
    </row>
    <row r="675" spans="1:7">
      <c r="A675" s="86">
        <f>IF(A668+A666&gt;10,"Look Up",AVERAGE(A670,A671))</f>
        <v>3240.3583333333336</v>
      </c>
      <c r="B675">
        <v>900</v>
      </c>
      <c r="C675">
        <v>900</v>
      </c>
      <c r="D675">
        <v>4</v>
      </c>
      <c r="E675">
        <v>2500</v>
      </c>
      <c r="F675" s="70">
        <v>44550</v>
      </c>
      <c r="G675" t="str">
        <f>IFERROR(IF((F675-F674)&gt;1,(LARGE(F675:$F675,1)-LARGE(F$664:$F675,2))-1,""),"")</f>
        <v/>
      </c>
    </row>
    <row r="676" spans="1:7">
      <c r="A676" s="85" t="s">
        <v>44030</v>
      </c>
      <c r="B676">
        <v>900</v>
      </c>
      <c r="C676">
        <v>900</v>
      </c>
      <c r="D676">
        <v>1</v>
      </c>
      <c r="E676">
        <v>2000</v>
      </c>
      <c r="F676" s="70">
        <v>44551</v>
      </c>
      <c r="G676" t="str">
        <f>IFERROR(IF((F676-F675)&gt;1,(LARGE(F676:$F676,1)-LARGE(F$664:$F676,2))-1,""),"")</f>
        <v/>
      </c>
    </row>
    <row r="677" spans="1:7">
      <c r="A677" s="88"/>
      <c r="B677">
        <v>900</v>
      </c>
      <c r="C677">
        <v>900</v>
      </c>
      <c r="D677">
        <v>5</v>
      </c>
      <c r="E677">
        <v>6000</v>
      </c>
      <c r="F677" s="70">
        <v>44554</v>
      </c>
      <c r="G677">
        <f>IFERROR(IF((F677-F676)&gt;1,(LARGE(F677:$F677,1)-LARGE(F$664:$F677,2))-1,""),"")</f>
        <v>2</v>
      </c>
    </row>
    <row r="678" spans="1:7">
      <c r="A678" s="65">
        <f>VLOOKUP(TradeSheet!A48,TypeIDs!B:C,2,FALSE)</f>
        <v>23031</v>
      </c>
      <c r="B678" t="s">
        <v>43998</v>
      </c>
      <c r="C678" t="s">
        <v>43999</v>
      </c>
      <c r="D678" t="s">
        <v>44000</v>
      </c>
      <c r="E678" t="s">
        <v>44001</v>
      </c>
      <c r="F678" t="s">
        <v>44009</v>
      </c>
      <c r="G678" t="s">
        <v>44008</v>
      </c>
    </row>
    <row r="679" spans="1:7">
      <c r="A679" s="65" t="str">
        <f>CONCATENATE(SwaggerURL,input046)</f>
        <v>https://esi.evetech.net/latest/markets/10000021/history/?datasource=tranquility&amp;type_id=23031</v>
      </c>
      <c r="B679">
        <v>949.8</v>
      </c>
      <c r="C679">
        <v>949.8</v>
      </c>
      <c r="D679">
        <v>1</v>
      </c>
      <c r="E679">
        <v>1000</v>
      </c>
      <c r="F679" s="70">
        <v>44535</v>
      </c>
      <c r="G679" t="str">
        <f>IFERROR(IF((F679-F678)&gt;1,(LARGE(F679:$F679,1)-LARGE(F$679:$F679,2))-1,""),"")</f>
        <v/>
      </c>
    </row>
    <row r="680" spans="1:7">
      <c r="A680" s="79" t="s">
        <v>44018</v>
      </c>
      <c r="B680">
        <v>949.8</v>
      </c>
      <c r="C680">
        <v>949.8</v>
      </c>
      <c r="D680">
        <v>1</v>
      </c>
      <c r="E680">
        <v>1500</v>
      </c>
      <c r="F680" s="70">
        <v>44536</v>
      </c>
      <c r="G680" t="str">
        <f>IFERROR(IF((F680-F679)&gt;1,(LARGE(F680:$F680,1)-LARGE(F$679:$F680,2))-1,""),"")</f>
        <v/>
      </c>
    </row>
    <row r="681" spans="1:7">
      <c r="A681" s="78">
        <f>MAX(0,(CurrentDate-2)-F692)</f>
        <v>1</v>
      </c>
      <c r="B681">
        <v>949.8</v>
      </c>
      <c r="C681">
        <v>949.8</v>
      </c>
      <c r="D681">
        <v>2</v>
      </c>
      <c r="E681">
        <v>914</v>
      </c>
      <c r="F681" s="70">
        <v>44537</v>
      </c>
      <c r="G681" t="str">
        <f>IFERROR(IF((F681-F680)&gt;1,(LARGE(F681:$F681,1)-LARGE(F$679:$F681,2))-1,""),"")</f>
        <v/>
      </c>
    </row>
    <row r="682" spans="1:7">
      <c r="A682" s="79" t="s">
        <v>44026</v>
      </c>
      <c r="B682">
        <v>949.6</v>
      </c>
      <c r="C682">
        <v>949.6</v>
      </c>
      <c r="D682">
        <v>2</v>
      </c>
      <c r="E682">
        <v>33378</v>
      </c>
      <c r="F682" s="70">
        <v>44539</v>
      </c>
      <c r="G682">
        <f>IFERROR(IF((F682-F681)&gt;1,(LARGE(F682:$F682,1)-LARGE(F$679:$F682,2))-1,""),"")</f>
        <v>1</v>
      </c>
    </row>
    <row r="683" spans="1:7">
      <c r="A683" s="83">
        <f>SUM(G686:G692)</f>
        <v>3</v>
      </c>
      <c r="B683">
        <v>949.6</v>
      </c>
      <c r="C683">
        <v>949.6</v>
      </c>
      <c r="D683">
        <v>2</v>
      </c>
      <c r="E683">
        <v>2629</v>
      </c>
      <c r="F683" s="70">
        <v>44540</v>
      </c>
      <c r="G683" t="str">
        <f>IFERROR(IF((F683-F682)&gt;1,(LARGE(F683:$F683,1)-LARGE(F$679:$F683,2))-1,""),"")</f>
        <v/>
      </c>
    </row>
    <row r="684" spans="1:7">
      <c r="A684" s="79" t="s">
        <v>44029</v>
      </c>
      <c r="B684">
        <v>949.6</v>
      </c>
      <c r="C684">
        <v>949.6</v>
      </c>
      <c r="D684">
        <v>3</v>
      </c>
      <c r="E684">
        <v>8500</v>
      </c>
      <c r="F684" s="70">
        <v>44542</v>
      </c>
      <c r="G684">
        <f>IFERROR(IF((F684-F683)&gt;1,(LARGE(F684:$F684,1)-LARGE(F$679:$F684,2))-1,""),"")</f>
        <v>1</v>
      </c>
    </row>
    <row r="685" spans="1:7">
      <c r="A685" s="77">
        <f>(SUM(E679:E692)/(A681+14)+SUM(G679:G692))</f>
        <v>5514.8</v>
      </c>
      <c r="B685">
        <v>949.6</v>
      </c>
      <c r="C685">
        <v>949.6</v>
      </c>
      <c r="D685">
        <v>1</v>
      </c>
      <c r="E685">
        <v>1000</v>
      </c>
      <c r="F685" s="70">
        <v>44544</v>
      </c>
      <c r="G685">
        <f>IFERROR(IF((F685-F684)&gt;1,(LARGE(F685:$F685,1)-LARGE(F$679:$F685,2))-1,""),"")</f>
        <v>1</v>
      </c>
    </row>
    <row r="686" spans="1:7">
      <c r="A686" s="77">
        <f>(SUM(E686:E692)/(A681+7)+SUM(G686:G692))</f>
        <v>4216.875</v>
      </c>
      <c r="B686">
        <v>949.6</v>
      </c>
      <c r="C686">
        <v>949.6</v>
      </c>
      <c r="D686">
        <v>1</v>
      </c>
      <c r="E686">
        <v>1000</v>
      </c>
      <c r="F686" s="70">
        <v>44545</v>
      </c>
      <c r="G686" t="str">
        <f>IFERROR(IF((F686-F685)&gt;1,(LARGE(F686:$F686,1)-LARGE(F$679:$F686,2))-1,""),"")</f>
        <v/>
      </c>
    </row>
    <row r="687" spans="1:7">
      <c r="A687" s="79" t="s">
        <v>44028</v>
      </c>
      <c r="B687">
        <v>949.6</v>
      </c>
      <c r="C687">
        <v>949.6</v>
      </c>
      <c r="D687">
        <v>3</v>
      </c>
      <c r="E687">
        <v>4425</v>
      </c>
      <c r="F687" s="70">
        <v>44546</v>
      </c>
      <c r="G687" t="str">
        <f>IFERROR(IF((F687-F686)&gt;1,(LARGE(F687:$F687,1)-LARGE(F$679:$F687,2))-1,""),"")</f>
        <v/>
      </c>
    </row>
    <row r="688" spans="1:7">
      <c r="A688" s="77">
        <f>(SUM(D689:D692)/(A681+4)+SUM(G689:G692))</f>
        <v>6.2</v>
      </c>
      <c r="B688">
        <v>949.4</v>
      </c>
      <c r="C688">
        <v>949.4</v>
      </c>
      <c r="D688">
        <v>11</v>
      </c>
      <c r="E688">
        <v>8351</v>
      </c>
      <c r="F688" s="70">
        <v>44548</v>
      </c>
      <c r="G688">
        <f>IFERROR(IF((F688-F687)&gt;1,(LARGE(F688:$F688,1)-LARGE(F$679:$F688,2))-1,""),"")</f>
        <v>1</v>
      </c>
    </row>
    <row r="689" spans="1:7">
      <c r="A689" s="85" t="s">
        <v>44027</v>
      </c>
      <c r="B689">
        <v>949.5</v>
      </c>
      <c r="C689">
        <v>949.5</v>
      </c>
      <c r="D689">
        <v>5</v>
      </c>
      <c r="E689">
        <v>6500</v>
      </c>
      <c r="F689" s="70">
        <v>44549</v>
      </c>
      <c r="G689" t="str">
        <f>IFERROR(IF((F689-F688)&gt;1,(LARGE(F689:$F689,1)-LARGE(F$679:$F689,2))-1,""),"")</f>
        <v/>
      </c>
    </row>
    <row r="690" spans="1:7">
      <c r="A690" s="86">
        <f>IF(A683+A681&gt;10,"Look Up",AVERAGE(A685,A686))</f>
        <v>4865.8374999999996</v>
      </c>
      <c r="B690">
        <v>949.5</v>
      </c>
      <c r="C690">
        <v>949.5</v>
      </c>
      <c r="D690">
        <v>3</v>
      </c>
      <c r="E690">
        <v>1300</v>
      </c>
      <c r="F690" s="70">
        <v>44550</v>
      </c>
      <c r="G690" t="str">
        <f>IFERROR(IF((F690-F689)&gt;1,(LARGE(F690:$F690,1)-LARGE(F$679:$F690,2))-1,""),"")</f>
        <v/>
      </c>
    </row>
    <row r="691" spans="1:7">
      <c r="A691" s="85" t="s">
        <v>44030</v>
      </c>
      <c r="B691">
        <v>949.5</v>
      </c>
      <c r="C691">
        <v>949.5</v>
      </c>
      <c r="D691">
        <v>1</v>
      </c>
      <c r="E691">
        <v>2000</v>
      </c>
      <c r="F691" s="70">
        <v>44551</v>
      </c>
      <c r="G691" t="str">
        <f>IFERROR(IF((F691-F690)&gt;1,(LARGE(F691:$F691,1)-LARGE(F$679:$F691,2))-1,""),"")</f>
        <v/>
      </c>
    </row>
    <row r="692" spans="1:7">
      <c r="A692" s="88"/>
      <c r="B692">
        <v>800</v>
      </c>
      <c r="C692">
        <v>800</v>
      </c>
      <c r="D692">
        <v>12</v>
      </c>
      <c r="E692">
        <v>10135</v>
      </c>
      <c r="F692" s="70">
        <v>44554</v>
      </c>
      <c r="G692">
        <f>IFERROR(IF((F692-F691)&gt;1,(LARGE(F692:$F692,1)-LARGE(F$679:$F692,2))-1,""),"")</f>
        <v>2</v>
      </c>
    </row>
    <row r="693" spans="1:7">
      <c r="A693" s="65">
        <f>VLOOKUP(TradeSheet!A48,TypeIDs!B:C,2,FALSE)</f>
        <v>23031</v>
      </c>
      <c r="B693" t="s">
        <v>43998</v>
      </c>
      <c r="C693" t="s">
        <v>43999</v>
      </c>
      <c r="D693" t="s">
        <v>44000</v>
      </c>
      <c r="E693" t="s">
        <v>44001</v>
      </c>
      <c r="F693" t="s">
        <v>44009</v>
      </c>
      <c r="G693" t="s">
        <v>44008</v>
      </c>
    </row>
    <row r="694" spans="1:7">
      <c r="A694" s="65" t="str">
        <f>CONCATENATE(SwaggerURL,input047)</f>
        <v>https://esi.evetech.net/latest/markets/10000021/history/?datasource=tranquility&amp;type_id=23031</v>
      </c>
      <c r="B694">
        <v>949.8</v>
      </c>
      <c r="C694">
        <v>949.8</v>
      </c>
      <c r="D694">
        <v>1</v>
      </c>
      <c r="E694">
        <v>1000</v>
      </c>
      <c r="F694" s="70">
        <v>44535</v>
      </c>
      <c r="G694" t="str">
        <f>IFERROR(IF((F694-F693)&gt;1,(LARGE(F694:$F694,1)-LARGE(F$694:$F694,2))-1,""),"")</f>
        <v/>
      </c>
    </row>
    <row r="695" spans="1:7">
      <c r="A695" s="79" t="s">
        <v>44018</v>
      </c>
      <c r="B695">
        <v>949.8</v>
      </c>
      <c r="C695">
        <v>949.8</v>
      </c>
      <c r="D695">
        <v>1</v>
      </c>
      <c r="E695">
        <v>1500</v>
      </c>
      <c r="F695" s="70">
        <v>44536</v>
      </c>
      <c r="G695" t="str">
        <f>IFERROR(IF((F695-F694)&gt;1,(LARGE(F695:$F695,1)-LARGE(F$694:$F695,2))-1,""),"")</f>
        <v/>
      </c>
    </row>
    <row r="696" spans="1:7">
      <c r="A696" s="78">
        <f>MAX(0,(CurrentDate-2)-F707)</f>
        <v>1</v>
      </c>
      <c r="B696">
        <v>949.8</v>
      </c>
      <c r="C696">
        <v>949.8</v>
      </c>
      <c r="D696">
        <v>2</v>
      </c>
      <c r="E696">
        <v>914</v>
      </c>
      <c r="F696" s="70">
        <v>44537</v>
      </c>
      <c r="G696" t="str">
        <f>IFERROR(IF((F696-F695)&gt;1,(LARGE(F696:$F696,1)-LARGE(F$694:$F696,2))-1,""),"")</f>
        <v/>
      </c>
    </row>
    <row r="697" spans="1:7">
      <c r="A697" s="79" t="s">
        <v>44026</v>
      </c>
      <c r="B697">
        <v>949.6</v>
      </c>
      <c r="C697">
        <v>949.6</v>
      </c>
      <c r="D697">
        <v>2</v>
      </c>
      <c r="E697">
        <v>33378</v>
      </c>
      <c r="F697" s="70">
        <v>44539</v>
      </c>
      <c r="G697">
        <f>IFERROR(IF((F697-F696)&gt;1,(LARGE(F697:$F697,1)-LARGE(F$694:$F697,2))-1,""),"")</f>
        <v>1</v>
      </c>
    </row>
    <row r="698" spans="1:7">
      <c r="A698" s="83">
        <f>SUM(G701:G707)</f>
        <v>3</v>
      </c>
      <c r="B698">
        <v>949.6</v>
      </c>
      <c r="C698">
        <v>949.6</v>
      </c>
      <c r="D698">
        <v>2</v>
      </c>
      <c r="E698">
        <v>2629</v>
      </c>
      <c r="F698" s="70">
        <v>44540</v>
      </c>
      <c r="G698" t="str">
        <f>IFERROR(IF((F698-F697)&gt;1,(LARGE(F698:$F698,1)-LARGE(F$694:$F698,2))-1,""),"")</f>
        <v/>
      </c>
    </row>
    <row r="699" spans="1:7">
      <c r="A699" s="79" t="s">
        <v>44029</v>
      </c>
      <c r="B699">
        <v>949.6</v>
      </c>
      <c r="C699">
        <v>949.6</v>
      </c>
      <c r="D699">
        <v>3</v>
      </c>
      <c r="E699">
        <v>8500</v>
      </c>
      <c r="F699" s="70">
        <v>44542</v>
      </c>
      <c r="G699">
        <f>IFERROR(IF((F699-F698)&gt;1,(LARGE(F699:$F699,1)-LARGE(F$694:$F699,2))-1,""),"")</f>
        <v>1</v>
      </c>
    </row>
    <row r="700" spans="1:7">
      <c r="A700" s="77">
        <f>(SUM(E694:E707)/(A696+14)+SUM(G694:G707))</f>
        <v>5514.8</v>
      </c>
      <c r="B700">
        <v>949.6</v>
      </c>
      <c r="C700">
        <v>949.6</v>
      </c>
      <c r="D700">
        <v>1</v>
      </c>
      <c r="E700">
        <v>1000</v>
      </c>
      <c r="F700" s="70">
        <v>44544</v>
      </c>
      <c r="G700">
        <f>IFERROR(IF((F700-F699)&gt;1,(LARGE(F700:$F700,1)-LARGE(F$694:$F700,2))-1,""),"")</f>
        <v>1</v>
      </c>
    </row>
    <row r="701" spans="1:7">
      <c r="A701" s="77">
        <f>(SUM(E701:E707)/(A696+7)+SUM(G701:G707))</f>
        <v>4216.875</v>
      </c>
      <c r="B701">
        <v>949.6</v>
      </c>
      <c r="C701">
        <v>949.6</v>
      </c>
      <c r="D701">
        <v>1</v>
      </c>
      <c r="E701">
        <v>1000</v>
      </c>
      <c r="F701" s="70">
        <v>44545</v>
      </c>
      <c r="G701" t="str">
        <f>IFERROR(IF((F701-F700)&gt;1,(LARGE(F701:$F701,1)-LARGE(F$694:$F701,2))-1,""),"")</f>
        <v/>
      </c>
    </row>
    <row r="702" spans="1:7">
      <c r="A702" s="79" t="s">
        <v>44028</v>
      </c>
      <c r="B702">
        <v>949.6</v>
      </c>
      <c r="C702">
        <v>949.6</v>
      </c>
      <c r="D702">
        <v>3</v>
      </c>
      <c r="E702">
        <v>4425</v>
      </c>
      <c r="F702" s="70">
        <v>44546</v>
      </c>
      <c r="G702" t="str">
        <f>IFERROR(IF((F702-F701)&gt;1,(LARGE(F702:$F702,1)-LARGE(F$694:$F702,2))-1,""),"")</f>
        <v/>
      </c>
    </row>
    <row r="703" spans="1:7">
      <c r="A703" s="77">
        <f>(SUM(D704:D707)/(A696+4)+SUM(G704:G707))</f>
        <v>6.2</v>
      </c>
      <c r="B703">
        <v>949.4</v>
      </c>
      <c r="C703">
        <v>949.4</v>
      </c>
      <c r="D703">
        <v>11</v>
      </c>
      <c r="E703">
        <v>8351</v>
      </c>
      <c r="F703" s="70">
        <v>44548</v>
      </c>
      <c r="G703">
        <f>IFERROR(IF((F703-F702)&gt;1,(LARGE(F703:$F703,1)-LARGE(F$694:$F703,2))-1,""),"")</f>
        <v>1</v>
      </c>
    </row>
    <row r="704" spans="1:7">
      <c r="A704" s="85" t="s">
        <v>44027</v>
      </c>
      <c r="B704">
        <v>949.5</v>
      </c>
      <c r="C704">
        <v>949.5</v>
      </c>
      <c r="D704">
        <v>5</v>
      </c>
      <c r="E704">
        <v>6500</v>
      </c>
      <c r="F704" s="70">
        <v>44549</v>
      </c>
      <c r="G704" t="str">
        <f>IFERROR(IF((F704-F703)&gt;1,(LARGE(F704:$F704,1)-LARGE(F$694:$F704,2))-1,""),"")</f>
        <v/>
      </c>
    </row>
    <row r="705" spans="1:7">
      <c r="A705" s="86">
        <f>IF(A698+A696&gt;10,"Look Up",AVERAGE(A700,A701))</f>
        <v>4865.8374999999996</v>
      </c>
      <c r="B705">
        <v>949.5</v>
      </c>
      <c r="C705">
        <v>949.5</v>
      </c>
      <c r="D705">
        <v>3</v>
      </c>
      <c r="E705">
        <v>1300</v>
      </c>
      <c r="F705" s="70">
        <v>44550</v>
      </c>
      <c r="G705" t="str">
        <f>IFERROR(IF((F705-F704)&gt;1,(LARGE(F705:$F705,1)-LARGE(F$694:$F705,2))-1,""),"")</f>
        <v/>
      </c>
    </row>
    <row r="706" spans="1:7">
      <c r="A706" s="85" t="s">
        <v>44030</v>
      </c>
      <c r="B706">
        <v>949.5</v>
      </c>
      <c r="C706">
        <v>949.5</v>
      </c>
      <c r="D706">
        <v>1</v>
      </c>
      <c r="E706">
        <v>2000</v>
      </c>
      <c r="F706" s="70">
        <v>44551</v>
      </c>
      <c r="G706" t="str">
        <f>IFERROR(IF((F706-F705)&gt;1,(LARGE(F706:$F706,1)-LARGE(F$694:$F706,2))-1,""),"")</f>
        <v/>
      </c>
    </row>
    <row r="707" spans="1:7">
      <c r="A707" s="88"/>
      <c r="B707">
        <v>800</v>
      </c>
      <c r="C707">
        <v>800</v>
      </c>
      <c r="D707">
        <v>12</v>
      </c>
      <c r="E707">
        <v>10135</v>
      </c>
      <c r="F707" s="70">
        <v>44554</v>
      </c>
      <c r="G707">
        <f>IFERROR(IF((F707-F706)&gt;1,(LARGE(F707:$F707,1)-LARGE(F$694:$F707,2))-1,""),"")</f>
        <v>2</v>
      </c>
    </row>
    <row r="708" spans="1:7">
      <c r="A708" s="65">
        <f>VLOOKUP(TradeSheet!A49,TypeIDs!B:C,2,FALSE)</f>
        <v>23037</v>
      </c>
      <c r="B708" t="s">
        <v>43998</v>
      </c>
      <c r="C708" t="s">
        <v>43999</v>
      </c>
      <c r="D708" t="s">
        <v>44000</v>
      </c>
      <c r="E708" t="s">
        <v>44001</v>
      </c>
      <c r="F708" t="s">
        <v>44009</v>
      </c>
      <c r="G708" t="s">
        <v>44008</v>
      </c>
    </row>
    <row r="709" spans="1:7">
      <c r="A709" s="65" t="str">
        <f>CONCATENATE(SwaggerURL,input048)</f>
        <v>https://esi.evetech.net/latest/markets/10000021/history/?datasource=tranquility&amp;type_id=23037</v>
      </c>
      <c r="B709">
        <v>940</v>
      </c>
      <c r="C709">
        <v>940</v>
      </c>
      <c r="D709">
        <v>1</v>
      </c>
      <c r="E709">
        <v>1000</v>
      </c>
      <c r="F709" s="70">
        <v>44531</v>
      </c>
      <c r="G709" t="str">
        <f>IFERROR(IF((F709-F708)&gt;1,(LARGE(F709:$F709,1)-LARGE(F$709:$F709,2))-1,""),"")</f>
        <v/>
      </c>
    </row>
    <row r="710" spans="1:7">
      <c r="A710" s="79" t="s">
        <v>44018</v>
      </c>
      <c r="B710">
        <v>940</v>
      </c>
      <c r="C710">
        <v>940</v>
      </c>
      <c r="D710">
        <v>1</v>
      </c>
      <c r="E710">
        <v>1000</v>
      </c>
      <c r="F710" s="70">
        <v>44534</v>
      </c>
      <c r="G710">
        <f>IFERROR(IF((F710-F709)&gt;1,(LARGE(F710:$F710,1)-LARGE(F$709:$F710,2))-1,""),"")</f>
        <v>2</v>
      </c>
    </row>
    <row r="711" spans="1:7">
      <c r="A711" s="78">
        <f>MAX(0,(CurrentDate-2)-F722)</f>
        <v>4</v>
      </c>
      <c r="B711">
        <v>940</v>
      </c>
      <c r="C711">
        <v>940</v>
      </c>
      <c r="D711">
        <v>1</v>
      </c>
      <c r="E711">
        <v>1000</v>
      </c>
      <c r="F711" s="70">
        <v>44535</v>
      </c>
      <c r="G711" t="str">
        <f>IFERROR(IF((F711-F710)&gt;1,(LARGE(F711:$F711,1)-LARGE(F$709:$F711,2))-1,""),"")</f>
        <v/>
      </c>
    </row>
    <row r="712" spans="1:7">
      <c r="A712" s="79" t="s">
        <v>44026</v>
      </c>
      <c r="B712">
        <v>940</v>
      </c>
      <c r="C712">
        <v>940</v>
      </c>
      <c r="D712">
        <v>2</v>
      </c>
      <c r="E712">
        <v>6000</v>
      </c>
      <c r="F712" s="70">
        <v>44537</v>
      </c>
      <c r="G712">
        <f>IFERROR(IF((F712-F711)&gt;1,(LARGE(F712:$F712,1)-LARGE(F$709:$F712,2))-1,""),"")</f>
        <v>1</v>
      </c>
    </row>
    <row r="713" spans="1:7">
      <c r="A713" s="83">
        <f>SUM(G716:G722)</f>
        <v>2</v>
      </c>
      <c r="B713">
        <v>940</v>
      </c>
      <c r="C713">
        <v>940</v>
      </c>
      <c r="D713">
        <v>3</v>
      </c>
      <c r="E713">
        <v>36000</v>
      </c>
      <c r="F713" s="70">
        <v>44539</v>
      </c>
      <c r="G713">
        <f>IFERROR(IF((F713-F712)&gt;1,(LARGE(F713:$F713,1)-LARGE(F$709:$F713,2))-1,""),"")</f>
        <v>1</v>
      </c>
    </row>
    <row r="714" spans="1:7">
      <c r="A714" s="79" t="s">
        <v>44029</v>
      </c>
      <c r="B714">
        <v>940</v>
      </c>
      <c r="C714">
        <v>940</v>
      </c>
      <c r="D714">
        <v>2</v>
      </c>
      <c r="E714">
        <v>1844</v>
      </c>
      <c r="F714" s="70">
        <v>44540</v>
      </c>
      <c r="G714" t="str">
        <f>IFERROR(IF((F714-F713)&gt;1,(LARGE(F714:$F714,1)-LARGE(F$709:$F714,2))-1,""),"")</f>
        <v/>
      </c>
    </row>
    <row r="715" spans="1:7">
      <c r="A715" s="77">
        <f>(SUM(E709:E722)/(A711+14)+SUM(G709:G722))</f>
        <v>3870.8333333333335</v>
      </c>
      <c r="B715">
        <v>940</v>
      </c>
      <c r="C715">
        <v>940</v>
      </c>
      <c r="D715">
        <v>5</v>
      </c>
      <c r="E715">
        <v>5000</v>
      </c>
      <c r="F715" s="70">
        <v>44542</v>
      </c>
      <c r="G715">
        <f>IFERROR(IF((F715-F714)&gt;1,(LARGE(F715:$F715,1)-LARGE(F$709:$F715,2))-1,""),"")</f>
        <v>1</v>
      </c>
    </row>
    <row r="716" spans="1:7">
      <c r="A716" s="77">
        <f>(SUM(E716:E722)/(A711+7)+SUM(G716:G722))</f>
        <v>1611.5454545454545</v>
      </c>
      <c r="B716">
        <v>940</v>
      </c>
      <c r="C716">
        <v>940</v>
      </c>
      <c r="D716">
        <v>1</v>
      </c>
      <c r="E716">
        <v>1000</v>
      </c>
      <c r="F716" s="70">
        <v>44544</v>
      </c>
      <c r="G716">
        <f>IFERROR(IF((F716-F715)&gt;1,(LARGE(F716:$F716,1)-LARGE(F$709:$F716,2))-1,""),"")</f>
        <v>1</v>
      </c>
    </row>
    <row r="717" spans="1:7">
      <c r="A717" s="79" t="s">
        <v>44028</v>
      </c>
      <c r="B717">
        <v>940</v>
      </c>
      <c r="C717">
        <v>940</v>
      </c>
      <c r="D717">
        <v>1</v>
      </c>
      <c r="E717">
        <v>1000</v>
      </c>
      <c r="F717" s="70">
        <v>44545</v>
      </c>
      <c r="G717" t="str">
        <f>IFERROR(IF((F717-F716)&gt;1,(LARGE(F717:$F717,1)-LARGE(F$709:$F717,2))-1,""),"")</f>
        <v/>
      </c>
    </row>
    <row r="718" spans="1:7">
      <c r="A718" s="77">
        <f>(SUM(D719:D722)/(A711+4)+SUM(G719:G722))</f>
        <v>2.375</v>
      </c>
      <c r="B718">
        <v>940</v>
      </c>
      <c r="C718">
        <v>940</v>
      </c>
      <c r="D718">
        <v>1</v>
      </c>
      <c r="E718">
        <v>1000</v>
      </c>
      <c r="F718" s="70">
        <v>44546</v>
      </c>
      <c r="G718" t="str">
        <f>IFERROR(IF((F718-F717)&gt;1,(LARGE(F718:$F718,1)-LARGE(F$709:$F718,2))-1,""),"")</f>
        <v/>
      </c>
    </row>
    <row r="719" spans="1:7">
      <c r="A719" s="85" t="s">
        <v>44027</v>
      </c>
      <c r="B719">
        <v>940</v>
      </c>
      <c r="C719">
        <v>940</v>
      </c>
      <c r="D719">
        <v>7</v>
      </c>
      <c r="E719">
        <v>7705</v>
      </c>
      <c r="F719" s="70">
        <v>44548</v>
      </c>
      <c r="G719">
        <f>IFERROR(IF((F719-F718)&gt;1,(LARGE(F719:$F719,1)-LARGE(F$709:$F719,2))-1,""),"")</f>
        <v>1</v>
      </c>
    </row>
    <row r="720" spans="1:7">
      <c r="A720" s="86">
        <f>IF(A713+A711&gt;10,"Look Up",AVERAGE(A715,A716))</f>
        <v>2741.189393939394</v>
      </c>
      <c r="B720">
        <v>939.5</v>
      </c>
      <c r="C720">
        <v>939.5</v>
      </c>
      <c r="D720">
        <v>1</v>
      </c>
      <c r="E720">
        <v>4000</v>
      </c>
      <c r="F720" s="70">
        <v>44549</v>
      </c>
      <c r="G720" t="str">
        <f>IFERROR(IF((F720-F719)&gt;1,(LARGE(F720:$F720,1)-LARGE(F$709:$F720,2))-1,""),"")</f>
        <v/>
      </c>
    </row>
    <row r="721" spans="1:7">
      <c r="A721" s="85" t="s">
        <v>44030</v>
      </c>
      <c r="B721">
        <v>939.5</v>
      </c>
      <c r="C721">
        <v>939.5</v>
      </c>
      <c r="D721">
        <v>1</v>
      </c>
      <c r="E721">
        <v>1000</v>
      </c>
      <c r="F721" s="70">
        <v>44550</v>
      </c>
      <c r="G721" t="str">
        <f>IFERROR(IF((F721-F720)&gt;1,(LARGE(F721:$F721,1)-LARGE(F$709:$F721,2))-1,""),"")</f>
        <v/>
      </c>
    </row>
    <row r="722" spans="1:7">
      <c r="A722" s="88"/>
      <c r="B722">
        <v>940</v>
      </c>
      <c r="C722">
        <v>940</v>
      </c>
      <c r="D722">
        <v>2</v>
      </c>
      <c r="E722">
        <v>2000</v>
      </c>
      <c r="F722" s="70">
        <v>44551</v>
      </c>
      <c r="G722" t="str">
        <f>IFERROR(IF((F722-F721)&gt;1,(LARGE(F722:$F722,1)-LARGE(F$709:$F722,2))-1,""),"")</f>
        <v/>
      </c>
    </row>
    <row r="723" spans="1:7">
      <c r="A723" s="65">
        <f>VLOOKUP(TradeSheet!A50,TypeIDs!B:C,2,FALSE)</f>
        <v>22977</v>
      </c>
      <c r="B723" t="s">
        <v>43998</v>
      </c>
      <c r="C723" t="s">
        <v>43999</v>
      </c>
      <c r="D723" t="s">
        <v>44000</v>
      </c>
      <c r="E723" t="s">
        <v>44001</v>
      </c>
      <c r="F723" t="s">
        <v>44009</v>
      </c>
      <c r="G723" t="s">
        <v>44008</v>
      </c>
    </row>
    <row r="724" spans="1:7">
      <c r="A724" s="65" t="str">
        <f>CONCATENATE(SwaggerURL,input049)</f>
        <v>https://esi.evetech.net/latest/markets/10000021/history/?datasource=tranquility&amp;type_id=22977</v>
      </c>
      <c r="B724">
        <v>858</v>
      </c>
      <c r="C724">
        <v>858</v>
      </c>
      <c r="D724">
        <v>2</v>
      </c>
      <c r="E724">
        <v>3000</v>
      </c>
      <c r="F724" s="70">
        <v>44470</v>
      </c>
      <c r="G724" t="str">
        <f>IFERROR(IF((F724-F723)&gt;1,(LARGE(F724:$F724,1)-LARGE(F$724:$F724,2))-1,""),"")</f>
        <v/>
      </c>
    </row>
    <row r="725" spans="1:7">
      <c r="A725" s="79" t="s">
        <v>44018</v>
      </c>
      <c r="B725">
        <v>858</v>
      </c>
      <c r="C725">
        <v>858</v>
      </c>
      <c r="D725">
        <v>1</v>
      </c>
      <c r="E725">
        <v>1000</v>
      </c>
      <c r="F725" s="70">
        <v>44478</v>
      </c>
      <c r="G725">
        <f>IFERROR(IF((F725-F724)&gt;1,(LARGE(F725:$F725,1)-LARGE(F$724:$F725,2))-1,""),"")</f>
        <v>7</v>
      </c>
    </row>
    <row r="726" spans="1:7">
      <c r="A726" s="78">
        <f>MAX(0,(CurrentDate-2)-F737)</f>
        <v>8</v>
      </c>
      <c r="B726">
        <v>856.5</v>
      </c>
      <c r="C726">
        <v>855</v>
      </c>
      <c r="D726">
        <v>3</v>
      </c>
      <c r="E726">
        <v>1600</v>
      </c>
      <c r="F726" s="70">
        <v>44486</v>
      </c>
      <c r="G726">
        <f>IFERROR(IF((F726-F725)&gt;1,(LARGE(F726:$F726,1)-LARGE(F$724:$F726,2))-1,""),"")</f>
        <v>7</v>
      </c>
    </row>
    <row r="727" spans="1:7">
      <c r="A727" s="79" t="s">
        <v>44026</v>
      </c>
      <c r="B727">
        <v>858</v>
      </c>
      <c r="C727">
        <v>858</v>
      </c>
      <c r="D727">
        <v>1</v>
      </c>
      <c r="E727">
        <v>1500</v>
      </c>
      <c r="F727" s="70">
        <v>44487</v>
      </c>
      <c r="G727" t="str">
        <f>IFERROR(IF((F727-F726)&gt;1,(LARGE(F727:$F727,1)-LARGE(F$724:$F727,2))-1,""),"")</f>
        <v/>
      </c>
    </row>
    <row r="728" spans="1:7">
      <c r="A728" s="83">
        <f>SUM(G731:G737)</f>
        <v>37</v>
      </c>
      <c r="B728">
        <v>858</v>
      </c>
      <c r="C728">
        <v>858</v>
      </c>
      <c r="D728">
        <v>1</v>
      </c>
      <c r="E728">
        <v>1000</v>
      </c>
      <c r="F728" s="70">
        <v>44494</v>
      </c>
      <c r="G728">
        <f>IFERROR(IF((F728-F727)&gt;1,(LARGE(F728:$F728,1)-LARGE(F$724:$F728,2))-1,""),"")</f>
        <v>6</v>
      </c>
    </row>
    <row r="729" spans="1:7">
      <c r="A729" s="79" t="s">
        <v>44029</v>
      </c>
      <c r="B729">
        <v>858</v>
      </c>
      <c r="C729">
        <v>858</v>
      </c>
      <c r="D729">
        <v>1</v>
      </c>
      <c r="E729">
        <v>2000</v>
      </c>
      <c r="F729" s="70">
        <v>44498</v>
      </c>
      <c r="G729">
        <f>IFERROR(IF((F729-F728)&gt;1,(LARGE(F729:$F729,1)-LARGE(F$724:$F729,2))-1,""),"")</f>
        <v>3</v>
      </c>
    </row>
    <row r="730" spans="1:7">
      <c r="A730" s="77">
        <f>(SUM(E724:E737)/(A726+14)+SUM(G724:G737))</f>
        <v>1938.8181818181818</v>
      </c>
      <c r="B730">
        <v>858</v>
      </c>
      <c r="C730">
        <v>858</v>
      </c>
      <c r="D730">
        <v>4</v>
      </c>
      <c r="E730">
        <v>4398</v>
      </c>
      <c r="F730" s="70">
        <v>44503</v>
      </c>
      <c r="G730">
        <f>IFERROR(IF((F730-F729)&gt;1,(LARGE(F730:$F730,1)-LARGE(F$724:$F730,2))-1,""),"")</f>
        <v>4</v>
      </c>
    </row>
    <row r="731" spans="1:7">
      <c r="A731" s="77">
        <f>(SUM(E731:E737)/(A726+7)+SUM(G731:G737))</f>
        <v>1820.2</v>
      </c>
      <c r="B731">
        <v>858</v>
      </c>
      <c r="C731">
        <v>858</v>
      </c>
      <c r="D731">
        <v>1</v>
      </c>
      <c r="E731">
        <v>2300</v>
      </c>
      <c r="F731" s="70">
        <v>44505</v>
      </c>
      <c r="G731">
        <f>IFERROR(IF((F731-F730)&gt;1,(LARGE(F731:$F731,1)-LARGE(F$724:$F731,2))-1,""),"")</f>
        <v>1</v>
      </c>
    </row>
    <row r="732" spans="1:7">
      <c r="A732" s="79" t="s">
        <v>44028</v>
      </c>
      <c r="B732">
        <v>858</v>
      </c>
      <c r="C732">
        <v>858</v>
      </c>
      <c r="D732">
        <v>1</v>
      </c>
      <c r="E732">
        <v>1000</v>
      </c>
      <c r="F732" s="70">
        <v>44508</v>
      </c>
      <c r="G732">
        <f>IFERROR(IF((F732-F731)&gt;1,(LARGE(F732:$F732,1)-LARGE(F$724:$F732,2))-1,""),"")</f>
        <v>2</v>
      </c>
    </row>
    <row r="733" spans="1:7">
      <c r="A733" s="77">
        <f>(SUM(D734:D737)/(A726+4)+SUM(G734:G737))</f>
        <v>33.416666666666664</v>
      </c>
      <c r="B733">
        <v>858</v>
      </c>
      <c r="C733">
        <v>858</v>
      </c>
      <c r="D733">
        <v>1</v>
      </c>
      <c r="E733">
        <v>5000</v>
      </c>
      <c r="F733" s="70">
        <v>44510</v>
      </c>
      <c r="G733">
        <f>IFERROR(IF((F733-F732)&gt;1,(LARGE(F733:$F733,1)-LARGE(F$724:$F733,2))-1,""),"")</f>
        <v>1</v>
      </c>
    </row>
    <row r="734" spans="1:7">
      <c r="A734" s="85" t="s">
        <v>44027</v>
      </c>
      <c r="B734">
        <v>858</v>
      </c>
      <c r="C734">
        <v>858</v>
      </c>
      <c r="D734">
        <v>1</v>
      </c>
      <c r="E734">
        <v>5000</v>
      </c>
      <c r="F734" s="70">
        <v>44512</v>
      </c>
      <c r="G734">
        <f>IFERROR(IF((F734-F733)&gt;1,(LARGE(F734:$F734,1)-LARGE(F$724:$F734,2))-1,""),"")</f>
        <v>1</v>
      </c>
    </row>
    <row r="735" spans="1:7">
      <c r="A735" s="86" t="str">
        <f>IF(A728+A726&gt;10,"Look Up",AVERAGE(A730,A731))</f>
        <v>Look Up</v>
      </c>
      <c r="B735">
        <v>858</v>
      </c>
      <c r="C735">
        <v>858</v>
      </c>
      <c r="D735">
        <v>1</v>
      </c>
      <c r="E735">
        <v>10000</v>
      </c>
      <c r="F735" s="70">
        <v>44513</v>
      </c>
      <c r="G735" t="str">
        <f>IFERROR(IF((F735-F734)&gt;1,(LARGE(F735:$F735,1)-LARGE(F$724:$F735,2))-1,""),"")</f>
        <v/>
      </c>
    </row>
    <row r="736" spans="1:7">
      <c r="A736" s="85" t="s">
        <v>44030</v>
      </c>
      <c r="B736">
        <v>858.1</v>
      </c>
      <c r="C736">
        <v>858.1</v>
      </c>
      <c r="D736">
        <v>2</v>
      </c>
      <c r="E736">
        <v>1448</v>
      </c>
      <c r="F736" s="70">
        <v>44532</v>
      </c>
      <c r="G736">
        <f>IFERROR(IF((F736-F735)&gt;1,(LARGE(F736:$F736,1)-LARGE(F$724:$F736,2))-1,""),"")</f>
        <v>18</v>
      </c>
    </row>
    <row r="737" spans="1:7">
      <c r="A737" s="88"/>
      <c r="B737">
        <v>845</v>
      </c>
      <c r="C737">
        <v>845</v>
      </c>
      <c r="D737">
        <v>1</v>
      </c>
      <c r="E737">
        <v>2000</v>
      </c>
      <c r="F737" s="70">
        <v>44547</v>
      </c>
      <c r="G737">
        <f>IFERROR(IF((F737-F736)&gt;1,(LARGE(F737:$F737,1)-LARGE(F$724:$F737,2))-1,""),"")</f>
        <v>14</v>
      </c>
    </row>
    <row r="738" spans="1:7">
      <c r="A738" s="65">
        <f>VLOOKUP(TradeSheet!A51,TypeIDs!B:C,2,FALSE)</f>
        <v>23009</v>
      </c>
      <c r="B738" t="s">
        <v>43998</v>
      </c>
      <c r="C738" t="s">
        <v>43999</v>
      </c>
      <c r="D738" t="s">
        <v>44000</v>
      </c>
      <c r="E738" t="s">
        <v>44001</v>
      </c>
      <c r="F738" t="s">
        <v>44009</v>
      </c>
      <c r="G738" t="s">
        <v>44008</v>
      </c>
    </row>
    <row r="739" spans="1:7">
      <c r="A739" s="65" t="str">
        <f>CONCATENATE(SwaggerURL,input050)</f>
        <v>https://esi.evetech.net/latest/markets/10000021/history/?datasource=tranquility&amp;type_id=23009</v>
      </c>
      <c r="B739">
        <v>510</v>
      </c>
      <c r="C739">
        <v>510</v>
      </c>
      <c r="D739">
        <v>2</v>
      </c>
      <c r="E739">
        <v>8000</v>
      </c>
      <c r="F739" s="70">
        <v>44533</v>
      </c>
      <c r="G739" t="str">
        <f>IFERROR(IF((F739-F738)&gt;1,(LARGE(F739:$F739,1)-LARGE(F$739:$F739,2))-1,""),"")</f>
        <v/>
      </c>
    </row>
    <row r="740" spans="1:7">
      <c r="A740" s="79" t="s">
        <v>44018</v>
      </c>
      <c r="B740">
        <v>510</v>
      </c>
      <c r="C740">
        <v>510</v>
      </c>
      <c r="D740">
        <v>4</v>
      </c>
      <c r="E740">
        <v>5365</v>
      </c>
      <c r="F740" s="70">
        <v>44534</v>
      </c>
      <c r="G740" t="str">
        <f>IFERROR(IF((F740-F739)&gt;1,(LARGE(F740:$F740,1)-LARGE(F$739:$F740,2))-1,""),"")</f>
        <v/>
      </c>
    </row>
    <row r="741" spans="1:7">
      <c r="A741" s="78">
        <f>MAX(0,(CurrentDate-2)-F752)</f>
        <v>1</v>
      </c>
      <c r="B741">
        <v>510</v>
      </c>
      <c r="C741">
        <v>510</v>
      </c>
      <c r="D741">
        <v>5</v>
      </c>
      <c r="E741">
        <v>7310</v>
      </c>
      <c r="F741" s="70">
        <v>44535</v>
      </c>
      <c r="G741" t="str">
        <f>IFERROR(IF((F741-F740)&gt;1,(LARGE(F741:$F741,1)-LARGE(F$739:$F741,2))-1,""),"")</f>
        <v/>
      </c>
    </row>
    <row r="742" spans="1:7">
      <c r="A742" s="79" t="s">
        <v>44026</v>
      </c>
      <c r="B742">
        <v>510</v>
      </c>
      <c r="C742">
        <v>510</v>
      </c>
      <c r="D742">
        <v>2</v>
      </c>
      <c r="E742">
        <v>11500</v>
      </c>
      <c r="F742" s="70">
        <v>44536</v>
      </c>
      <c r="G742" t="str">
        <f>IFERROR(IF((F742-F741)&gt;1,(LARGE(F742:$F742,1)-LARGE(F$739:$F742,2))-1,""),"")</f>
        <v/>
      </c>
    </row>
    <row r="743" spans="1:7">
      <c r="A743" s="83">
        <f>SUM(G746:G752)</f>
        <v>2</v>
      </c>
      <c r="B743">
        <v>510</v>
      </c>
      <c r="C743">
        <v>510</v>
      </c>
      <c r="D743">
        <v>2</v>
      </c>
      <c r="E743">
        <v>4579</v>
      </c>
      <c r="F743" s="70">
        <v>44541</v>
      </c>
      <c r="G743">
        <f>IFERROR(IF((F743-F742)&gt;1,(LARGE(F743:$F743,1)-LARGE(F$739:$F743,2))-1,""),"")</f>
        <v>4</v>
      </c>
    </row>
    <row r="744" spans="1:7">
      <c r="A744" s="79" t="s">
        <v>44029</v>
      </c>
      <c r="B744">
        <v>500</v>
      </c>
      <c r="C744">
        <v>500</v>
      </c>
      <c r="D744">
        <v>3</v>
      </c>
      <c r="E744">
        <v>2888</v>
      </c>
      <c r="F744" s="70">
        <v>44544</v>
      </c>
      <c r="G744">
        <f>IFERROR(IF((F744-F743)&gt;1,(LARGE(F744:$F744,1)-LARGE(F$739:$F744,2))-1,""),"")</f>
        <v>2</v>
      </c>
    </row>
    <row r="745" spans="1:7">
      <c r="A745" s="77">
        <f>(SUM(E739:E752)/(A741+14)+SUM(G739:G752))</f>
        <v>4507.4666666666662</v>
      </c>
      <c r="B745">
        <v>576</v>
      </c>
      <c r="C745">
        <v>576</v>
      </c>
      <c r="D745">
        <v>7</v>
      </c>
      <c r="E745">
        <v>4058</v>
      </c>
      <c r="F745" s="70">
        <v>44545</v>
      </c>
      <c r="G745" t="str">
        <f>IFERROR(IF((F745-F744)&gt;1,(LARGE(F745:$F745,1)-LARGE(F$739:$F745,2))-1,""),"")</f>
        <v/>
      </c>
    </row>
    <row r="746" spans="1:7">
      <c r="A746" s="77">
        <f>(SUM(E746:E752)/(A741+7)+SUM(G746:G752))</f>
        <v>2976</v>
      </c>
      <c r="B746">
        <v>576</v>
      </c>
      <c r="C746">
        <v>576</v>
      </c>
      <c r="D746">
        <v>2</v>
      </c>
      <c r="E746">
        <v>3784</v>
      </c>
      <c r="F746" s="70">
        <v>44546</v>
      </c>
      <c r="G746" t="str">
        <f>IFERROR(IF((F746-F745)&gt;1,(LARGE(F746:$F746,1)-LARGE(F$739:$F746,2))-1,""),"")</f>
        <v/>
      </c>
    </row>
    <row r="747" spans="1:7">
      <c r="A747" s="79" t="s">
        <v>44028</v>
      </c>
      <c r="B747">
        <v>576</v>
      </c>
      <c r="C747">
        <v>576</v>
      </c>
      <c r="D747">
        <v>2</v>
      </c>
      <c r="E747">
        <v>7160</v>
      </c>
      <c r="F747" s="70">
        <v>44548</v>
      </c>
      <c r="G747">
        <f>IFERROR(IF((F747-F746)&gt;1,(LARGE(F747:$F747,1)-LARGE(F$739:$F747,2))-1,""),"")</f>
        <v>1</v>
      </c>
    </row>
    <row r="748" spans="1:7">
      <c r="A748" s="77">
        <f>(SUM(D749:D752)/(A741+4)+SUM(G749:G752))</f>
        <v>2.2000000000000002</v>
      </c>
      <c r="B748">
        <v>575.9</v>
      </c>
      <c r="C748">
        <v>575.9</v>
      </c>
      <c r="D748">
        <v>2</v>
      </c>
      <c r="E748">
        <v>2200</v>
      </c>
      <c r="F748" s="70">
        <v>44549</v>
      </c>
      <c r="G748" t="str">
        <f>IFERROR(IF((F748-F747)&gt;1,(LARGE(F748:$F748,1)-LARGE(F$739:$F748,2))-1,""),"")</f>
        <v/>
      </c>
    </row>
    <row r="749" spans="1:7">
      <c r="A749" s="85" t="s">
        <v>44027</v>
      </c>
      <c r="B749">
        <v>575.9</v>
      </c>
      <c r="C749">
        <v>575.9</v>
      </c>
      <c r="D749">
        <v>2</v>
      </c>
      <c r="E749">
        <v>1782</v>
      </c>
      <c r="F749" s="70">
        <v>44550</v>
      </c>
      <c r="G749" t="str">
        <f>IFERROR(IF((F749-F748)&gt;1,(LARGE(F749:$F749,1)-LARGE(F$739:$F749,2))-1,""),"")</f>
        <v/>
      </c>
    </row>
    <row r="750" spans="1:7">
      <c r="A750" s="86">
        <f>IF(A743+A741&gt;10,"Look Up",AVERAGE(A745,A746))</f>
        <v>3741.7333333333331</v>
      </c>
      <c r="B750">
        <v>575.9</v>
      </c>
      <c r="C750">
        <v>575.9</v>
      </c>
      <c r="D750">
        <v>2</v>
      </c>
      <c r="E750">
        <v>5600</v>
      </c>
      <c r="F750" s="70">
        <v>44552</v>
      </c>
      <c r="G750">
        <f>IFERROR(IF((F750-F749)&gt;1,(LARGE(F750:$F750,1)-LARGE(F$739:$F750,2))-1,""),"")</f>
        <v>1</v>
      </c>
    </row>
    <row r="751" spans="1:7">
      <c r="A751" s="85" t="s">
        <v>44030</v>
      </c>
      <c r="B751">
        <v>575.9</v>
      </c>
      <c r="C751">
        <v>575.9</v>
      </c>
      <c r="D751">
        <v>1</v>
      </c>
      <c r="E751">
        <v>1766</v>
      </c>
      <c r="F751" s="70">
        <v>44553</v>
      </c>
      <c r="G751" t="str">
        <f>IFERROR(IF((F751-F750)&gt;1,(LARGE(F751:$F751,1)-LARGE(F$739:$F751,2))-1,""),"")</f>
        <v/>
      </c>
    </row>
    <row r="752" spans="1:7">
      <c r="A752" s="88"/>
      <c r="B752">
        <v>549</v>
      </c>
      <c r="C752">
        <v>549</v>
      </c>
      <c r="D752">
        <v>1</v>
      </c>
      <c r="E752">
        <v>1500</v>
      </c>
      <c r="F752" s="70">
        <v>44554</v>
      </c>
      <c r="G752" t="str">
        <f>IFERROR(IF((F752-F751)&gt;1,(LARGE(F752:$F752,1)-LARGE(F$739:$F752,2))-1,""),"")</f>
        <v/>
      </c>
    </row>
    <row r="753" spans="1:7">
      <c r="A753" s="65">
        <f>VLOOKUP(TradeSheet!A52,TypeIDs!B:C,2,FALSE)</f>
        <v>24535</v>
      </c>
      <c r="B753" t="s">
        <v>43998</v>
      </c>
      <c r="C753" t="s">
        <v>43999</v>
      </c>
      <c r="D753" t="s">
        <v>44000</v>
      </c>
      <c r="E753" t="s">
        <v>44001</v>
      </c>
      <c r="F753" t="s">
        <v>44009</v>
      </c>
      <c r="G753" t="s">
        <v>44008</v>
      </c>
    </row>
    <row r="754" spans="1:7">
      <c r="A754" s="65" t="str">
        <f>CONCATENATE(SwaggerURL,input051)</f>
        <v>https://esi.evetech.net/latest/markets/10000021/history/?datasource=tranquility&amp;type_id=24535</v>
      </c>
      <c r="B754">
        <v>995</v>
      </c>
      <c r="C754">
        <v>995</v>
      </c>
      <c r="D754">
        <v>1</v>
      </c>
      <c r="E754">
        <v>40000</v>
      </c>
      <c r="F754" s="70">
        <v>44537</v>
      </c>
      <c r="G754" t="str">
        <f>IFERROR(IF((F754-F753)&gt;1,(LARGE(F754:$F754,1)-LARGE(F$754:$F754,2))-1,""),"")</f>
        <v/>
      </c>
    </row>
    <row r="755" spans="1:7">
      <c r="A755" s="79" t="s">
        <v>44018</v>
      </c>
      <c r="B755">
        <v>994</v>
      </c>
      <c r="C755">
        <v>994</v>
      </c>
      <c r="D755">
        <v>1</v>
      </c>
      <c r="E755">
        <v>2000</v>
      </c>
      <c r="F755" s="70">
        <v>44538</v>
      </c>
      <c r="G755" t="str">
        <f>IFERROR(IF((F755-F754)&gt;1,(LARGE(F755:$F755,1)-LARGE(F$754:$F755,2))-1,""),"")</f>
        <v/>
      </c>
    </row>
    <row r="756" spans="1:7">
      <c r="A756" s="78">
        <f>MAX(0,(CurrentDate-2)-F767)</f>
        <v>1</v>
      </c>
      <c r="B756">
        <v>993</v>
      </c>
      <c r="C756">
        <v>993</v>
      </c>
      <c r="D756">
        <v>3</v>
      </c>
      <c r="E756">
        <v>16588</v>
      </c>
      <c r="F756" s="70">
        <v>44539</v>
      </c>
      <c r="G756" t="str">
        <f>IFERROR(IF((F756-F755)&gt;1,(LARGE(F756:$F756,1)-LARGE(F$754:$F756,2))-1,""),"")</f>
        <v/>
      </c>
    </row>
    <row r="757" spans="1:7">
      <c r="A757" s="79" t="s">
        <v>44026</v>
      </c>
      <c r="B757">
        <v>980</v>
      </c>
      <c r="C757">
        <v>980</v>
      </c>
      <c r="D757">
        <v>1</v>
      </c>
      <c r="E757">
        <v>40000</v>
      </c>
      <c r="F757" s="70">
        <v>44540</v>
      </c>
      <c r="G757" t="str">
        <f>IFERROR(IF((F757-F756)&gt;1,(LARGE(F757:$F757,1)-LARGE(F$754:$F757,2))-1,""),"")</f>
        <v/>
      </c>
    </row>
    <row r="758" spans="1:7">
      <c r="A758" s="83">
        <f>SUM(G761:G767)</f>
        <v>4</v>
      </c>
      <c r="B758">
        <v>980.7</v>
      </c>
      <c r="C758">
        <v>980.7</v>
      </c>
      <c r="D758">
        <v>1</v>
      </c>
      <c r="E758">
        <v>22362</v>
      </c>
      <c r="F758" s="70">
        <v>44541</v>
      </c>
      <c r="G758" t="str">
        <f>IFERROR(IF((F758-F757)&gt;1,(LARGE(F758:$F758,1)-LARGE(F$754:$F758,2))-1,""),"")</f>
        <v/>
      </c>
    </row>
    <row r="759" spans="1:7">
      <c r="A759" s="79" t="s">
        <v>44029</v>
      </c>
      <c r="B759">
        <v>980.7</v>
      </c>
      <c r="C759">
        <v>980.7</v>
      </c>
      <c r="D759">
        <v>10</v>
      </c>
      <c r="E759">
        <v>52021</v>
      </c>
      <c r="F759" s="70">
        <v>44542</v>
      </c>
      <c r="G759" t="str">
        <f>IFERROR(IF((F759-F758)&gt;1,(LARGE(F759:$F759,1)-LARGE(F$754:$F759,2))-1,""),"")</f>
        <v/>
      </c>
    </row>
    <row r="760" spans="1:7">
      <c r="A760" s="77">
        <f>(SUM(E754:E767)/(A756+14)+SUM(G754:G767))</f>
        <v>23138.533333333333</v>
      </c>
      <c r="B760">
        <v>992.5</v>
      </c>
      <c r="C760">
        <v>992.5</v>
      </c>
      <c r="D760">
        <v>1</v>
      </c>
      <c r="E760">
        <v>10000</v>
      </c>
      <c r="F760" s="70">
        <v>44543</v>
      </c>
      <c r="G760" t="str">
        <f>IFERROR(IF((F760-F759)&gt;1,(LARGE(F760:$F760,1)-LARGE(F$754:$F760,2))-1,""),"")</f>
        <v/>
      </c>
    </row>
    <row r="761" spans="1:7">
      <c r="A761" s="77">
        <f>(SUM(E761:E767)/(A756+7)+SUM(G761:G767))</f>
        <v>20509.875</v>
      </c>
      <c r="B761">
        <v>969.9</v>
      </c>
      <c r="C761">
        <v>969.9</v>
      </c>
      <c r="D761">
        <v>5</v>
      </c>
      <c r="E761">
        <v>36000</v>
      </c>
      <c r="F761" s="70">
        <v>44544</v>
      </c>
      <c r="G761" t="str">
        <f>IFERROR(IF((F761-F760)&gt;1,(LARGE(F761:$F761,1)-LARGE(F$754:$F761,2))-1,""),"")</f>
        <v/>
      </c>
    </row>
    <row r="762" spans="1:7">
      <c r="A762" s="79" t="s">
        <v>44028</v>
      </c>
      <c r="B762">
        <v>968.8</v>
      </c>
      <c r="C762">
        <v>965</v>
      </c>
      <c r="D762">
        <v>8</v>
      </c>
      <c r="E762">
        <v>55000</v>
      </c>
      <c r="F762" s="70">
        <v>44545</v>
      </c>
      <c r="G762" t="str">
        <f>IFERROR(IF((F762-F761)&gt;1,(LARGE(F762:$F762,1)-LARGE(F$754:$F762,2))-1,""),"")</f>
        <v/>
      </c>
    </row>
    <row r="763" spans="1:7">
      <c r="A763" s="77">
        <f>(SUM(D764:D767)/(A756+4)+SUM(G764:G767))</f>
        <v>5.4</v>
      </c>
      <c r="B763">
        <v>965</v>
      </c>
      <c r="C763">
        <v>965</v>
      </c>
      <c r="D763">
        <v>1</v>
      </c>
      <c r="E763">
        <v>294</v>
      </c>
      <c r="F763" s="70">
        <v>44547</v>
      </c>
      <c r="G763">
        <f>IFERROR(IF((F763-F762)&gt;1,(LARGE(F763:$F763,1)-LARGE(F$754:$F763,2))-1,""),"")</f>
        <v>1</v>
      </c>
    </row>
    <row r="764" spans="1:7">
      <c r="A764" s="85" t="s">
        <v>44027</v>
      </c>
      <c r="B764">
        <v>960</v>
      </c>
      <c r="C764">
        <v>960</v>
      </c>
      <c r="D764">
        <v>3</v>
      </c>
      <c r="E764">
        <v>4000</v>
      </c>
      <c r="F764" s="70">
        <v>44548</v>
      </c>
      <c r="G764" t="str">
        <f>IFERROR(IF((F764-F763)&gt;1,(LARGE(F764:$F764,1)-LARGE(F$754:$F764,2))-1,""),"")</f>
        <v/>
      </c>
    </row>
    <row r="765" spans="1:7">
      <c r="A765" s="86">
        <f>IF(A758+A756&gt;10,"Look Up",AVERAGE(A760,A761))</f>
        <v>21824.204166666666</v>
      </c>
      <c r="B765">
        <v>974.8</v>
      </c>
      <c r="C765">
        <v>974.8</v>
      </c>
      <c r="D765">
        <v>3</v>
      </c>
      <c r="E765">
        <v>20000</v>
      </c>
      <c r="F765" s="70">
        <v>44549</v>
      </c>
      <c r="G765" t="str">
        <f>IFERROR(IF((F765-F764)&gt;1,(LARGE(F765:$F765,1)-LARGE(F$754:$F765,2))-1,""),"")</f>
        <v/>
      </c>
    </row>
    <row r="766" spans="1:7">
      <c r="A766" s="85" t="s">
        <v>44030</v>
      </c>
      <c r="B766">
        <v>969.9</v>
      </c>
      <c r="C766">
        <v>969.9</v>
      </c>
      <c r="D766">
        <v>4</v>
      </c>
      <c r="E766">
        <v>19753</v>
      </c>
      <c r="F766" s="70">
        <v>44553</v>
      </c>
      <c r="G766">
        <f>IFERROR(IF((F766-F765)&gt;1,(LARGE(F766:$F766,1)-LARGE(F$754:$F766,2))-1,""),"")</f>
        <v>3</v>
      </c>
    </row>
    <row r="767" spans="1:7">
      <c r="A767" s="88"/>
      <c r="B767">
        <v>970</v>
      </c>
      <c r="C767">
        <v>970</v>
      </c>
      <c r="D767">
        <v>2</v>
      </c>
      <c r="E767">
        <v>29000</v>
      </c>
      <c r="F767" s="70">
        <v>44554</v>
      </c>
      <c r="G767" t="str">
        <f>IFERROR(IF((F767-F766)&gt;1,(LARGE(F767:$F767,1)-LARGE(F$754:$F767,2))-1,""),"")</f>
        <v/>
      </c>
    </row>
    <row r="768" spans="1:7">
      <c r="A768" s="65">
        <f>VLOOKUP(TradeSheet!A53,TypeIDs!B:C,2,FALSE)</f>
        <v>24539</v>
      </c>
      <c r="B768" t="s">
        <v>43998</v>
      </c>
      <c r="C768" t="s">
        <v>43999</v>
      </c>
      <c r="D768" t="s">
        <v>44000</v>
      </c>
      <c r="E768" t="s">
        <v>44001</v>
      </c>
      <c r="F768" t="s">
        <v>44009</v>
      </c>
      <c r="G768" t="s">
        <v>44008</v>
      </c>
    </row>
    <row r="769" spans="1:7">
      <c r="A769" s="65" t="str">
        <f>CONCATENATE(SwaggerURL,input052)</f>
        <v>https://esi.evetech.net/latest/markets/10000021/history/?datasource=tranquility&amp;type_id=24539</v>
      </c>
      <c r="B769">
        <v>892</v>
      </c>
      <c r="C769">
        <v>892</v>
      </c>
      <c r="D769">
        <v>1</v>
      </c>
      <c r="E769">
        <v>1000</v>
      </c>
      <c r="F769" s="70">
        <v>44529</v>
      </c>
      <c r="G769" t="str">
        <f>IFERROR(IF((F769-F768)&gt;1,(LARGE(F769:$F769,1)-LARGE(F$769:$F769,2))-1,""),"")</f>
        <v/>
      </c>
    </row>
    <row r="770" spans="1:7">
      <c r="A770" s="79" t="s">
        <v>44018</v>
      </c>
      <c r="B770">
        <v>892</v>
      </c>
      <c r="C770">
        <v>892</v>
      </c>
      <c r="D770">
        <v>1</v>
      </c>
      <c r="E770">
        <v>2000</v>
      </c>
      <c r="F770" s="70">
        <v>44530</v>
      </c>
      <c r="G770" t="str">
        <f>IFERROR(IF((F770-F769)&gt;1,(LARGE(F770:$F770,1)-LARGE(F$769:$F770,2))-1,""),"")</f>
        <v/>
      </c>
    </row>
    <row r="771" spans="1:7">
      <c r="A771" s="78">
        <f>MAX(0,(CurrentDate-2)-F782)</f>
        <v>1</v>
      </c>
      <c r="B771">
        <v>892</v>
      </c>
      <c r="C771">
        <v>892</v>
      </c>
      <c r="D771">
        <v>2</v>
      </c>
      <c r="E771">
        <v>500</v>
      </c>
      <c r="F771" s="70">
        <v>44535</v>
      </c>
      <c r="G771">
        <f>IFERROR(IF((F771-F770)&gt;1,(LARGE(F771:$F771,1)-LARGE(F$769:$F771,2))-1,""),"")</f>
        <v>4</v>
      </c>
    </row>
    <row r="772" spans="1:7">
      <c r="A772" s="79" t="s">
        <v>44026</v>
      </c>
      <c r="B772">
        <v>892</v>
      </c>
      <c r="C772">
        <v>892</v>
      </c>
      <c r="D772">
        <v>1</v>
      </c>
      <c r="E772">
        <v>1000</v>
      </c>
      <c r="F772" s="70">
        <v>44538</v>
      </c>
      <c r="G772">
        <f>IFERROR(IF((F772-F771)&gt;1,(LARGE(F772:$F772,1)-LARGE(F$769:$F772,2))-1,""),"")</f>
        <v>2</v>
      </c>
    </row>
    <row r="773" spans="1:7">
      <c r="A773" s="83">
        <f>SUM(G776:G782)</f>
        <v>5</v>
      </c>
      <c r="B773">
        <v>892.1</v>
      </c>
      <c r="C773">
        <v>892.1</v>
      </c>
      <c r="D773">
        <v>1</v>
      </c>
      <c r="E773">
        <v>2500</v>
      </c>
      <c r="F773" s="70">
        <v>44539</v>
      </c>
      <c r="G773" t="str">
        <f>IFERROR(IF((F773-F772)&gt;1,(LARGE(F773:$F773,1)-LARGE(F$769:$F773,2))-1,""),"")</f>
        <v/>
      </c>
    </row>
    <row r="774" spans="1:7">
      <c r="A774" s="79" t="s">
        <v>44029</v>
      </c>
      <c r="B774">
        <v>892</v>
      </c>
      <c r="C774">
        <v>892</v>
      </c>
      <c r="D774">
        <v>1</v>
      </c>
      <c r="E774">
        <v>5000</v>
      </c>
      <c r="F774" s="70">
        <v>44540</v>
      </c>
      <c r="G774" t="str">
        <f>IFERROR(IF((F774-F773)&gt;1,(LARGE(F774:$F774,1)-LARGE(F$769:$F774,2))-1,""),"")</f>
        <v/>
      </c>
    </row>
    <row r="775" spans="1:7">
      <c r="A775" s="77">
        <f>(SUM(E769:E782)/(A771+14)+SUM(G769:G782))</f>
        <v>8974.5333333333328</v>
      </c>
      <c r="B775">
        <v>892</v>
      </c>
      <c r="C775">
        <v>892</v>
      </c>
      <c r="D775">
        <v>1</v>
      </c>
      <c r="E775">
        <v>4500</v>
      </c>
      <c r="F775" s="70">
        <v>44542</v>
      </c>
      <c r="G775">
        <f>IFERROR(IF((F775-F774)&gt;1,(LARGE(F775:$F775,1)-LARGE(F$769:$F775,2))-1,""),"")</f>
        <v>1</v>
      </c>
    </row>
    <row r="776" spans="1:7">
      <c r="A776" s="77">
        <f>(SUM(E776:E782)/(A771+7)+SUM(G776:G782))</f>
        <v>14747.25</v>
      </c>
      <c r="B776">
        <v>892.1</v>
      </c>
      <c r="C776">
        <v>892.1</v>
      </c>
      <c r="D776">
        <v>2</v>
      </c>
      <c r="E776">
        <v>30000</v>
      </c>
      <c r="F776" s="70">
        <v>44543</v>
      </c>
      <c r="G776" t="str">
        <f>IFERROR(IF((F776-F775)&gt;1,(LARGE(F776:$F776,1)-LARGE(F$769:$F776,2))-1,""),"")</f>
        <v/>
      </c>
    </row>
    <row r="777" spans="1:7">
      <c r="A777" s="79" t="s">
        <v>44028</v>
      </c>
      <c r="B777">
        <v>893</v>
      </c>
      <c r="C777">
        <v>892.5</v>
      </c>
      <c r="D777">
        <v>8</v>
      </c>
      <c r="E777">
        <v>29938</v>
      </c>
      <c r="F777" s="70">
        <v>44544</v>
      </c>
      <c r="G777" t="str">
        <f>IFERROR(IF((F777-F776)&gt;1,(LARGE(F777:$F777,1)-LARGE(F$769:$F777,2))-1,""),"")</f>
        <v/>
      </c>
    </row>
    <row r="778" spans="1:7">
      <c r="A778" s="77">
        <f>(SUM(D779:D782)/(A771+4)+SUM(G779:G782))</f>
        <v>6</v>
      </c>
      <c r="B778">
        <v>892.5</v>
      </c>
      <c r="C778">
        <v>892.5</v>
      </c>
      <c r="D778">
        <v>1</v>
      </c>
      <c r="E778">
        <v>12000</v>
      </c>
      <c r="F778" s="70">
        <v>44545</v>
      </c>
      <c r="G778" t="str">
        <f>IFERROR(IF((F778-F777)&gt;1,(LARGE(F778:$F778,1)-LARGE(F$769:$F778,2))-1,""),"")</f>
        <v/>
      </c>
    </row>
    <row r="779" spans="1:7">
      <c r="A779" s="85" t="s">
        <v>44027</v>
      </c>
      <c r="B779">
        <v>892.5</v>
      </c>
      <c r="C779">
        <v>892.5</v>
      </c>
      <c r="D779">
        <v>1</v>
      </c>
      <c r="E779">
        <v>30000</v>
      </c>
      <c r="F779" s="70">
        <v>44551</v>
      </c>
      <c r="G779">
        <f>IFERROR(IF((F779-F778)&gt;1,(LARGE(F779:$F779,1)-LARGE(F$769:$F779,2))-1,""),"")</f>
        <v>5</v>
      </c>
    </row>
    <row r="780" spans="1:7">
      <c r="A780" s="86">
        <f>IF(A773+A771&gt;10,"Look Up",AVERAGE(A775,A776))</f>
        <v>11860.891666666666</v>
      </c>
      <c r="B780">
        <v>892.5</v>
      </c>
      <c r="C780">
        <v>892.5</v>
      </c>
      <c r="D780">
        <v>1</v>
      </c>
      <c r="E780">
        <v>2000</v>
      </c>
      <c r="F780" s="70">
        <v>44552</v>
      </c>
      <c r="G780" t="str">
        <f>IFERROR(IF((F780-F779)&gt;1,(LARGE(F780:$F780,1)-LARGE(F$769:$F780,2))-1,""),"")</f>
        <v/>
      </c>
    </row>
    <row r="781" spans="1:7">
      <c r="A781" s="85" t="s">
        <v>44030</v>
      </c>
      <c r="B781">
        <v>892.5</v>
      </c>
      <c r="C781">
        <v>892.5</v>
      </c>
      <c r="D781">
        <v>1</v>
      </c>
      <c r="E781">
        <v>5000</v>
      </c>
      <c r="F781" s="70">
        <v>44553</v>
      </c>
      <c r="G781" t="str">
        <f>IFERROR(IF((F781-F780)&gt;1,(LARGE(F781:$F781,1)-LARGE(F$769:$F781,2))-1,""),"")</f>
        <v/>
      </c>
    </row>
    <row r="782" spans="1:7">
      <c r="A782" s="88"/>
      <c r="B782">
        <v>892.5</v>
      </c>
      <c r="C782">
        <v>892.5</v>
      </c>
      <c r="D782">
        <v>2</v>
      </c>
      <c r="E782">
        <v>9000</v>
      </c>
      <c r="F782" s="70">
        <v>44554</v>
      </c>
      <c r="G782" t="str">
        <f>IFERROR(IF((F782-F781)&gt;1,(LARGE(F782:$F782,1)-LARGE(F$769:$F782,2))-1,""),"")</f>
        <v/>
      </c>
    </row>
    <row r="783" spans="1:7">
      <c r="A783" s="65">
        <f>VLOOKUP(TradeSheet!A54,TypeIDs!B:C,2,FALSE)</f>
        <v>27377</v>
      </c>
      <c r="B783" t="s">
        <v>43998</v>
      </c>
      <c r="C783" t="s">
        <v>43999</v>
      </c>
      <c r="D783" t="s">
        <v>44000</v>
      </c>
      <c r="E783" t="s">
        <v>44001</v>
      </c>
      <c r="F783" t="s">
        <v>44009</v>
      </c>
      <c r="G783" t="s">
        <v>44008</v>
      </c>
    </row>
    <row r="784" spans="1:7">
      <c r="A784" s="65" t="str">
        <f>CONCATENATE(SwaggerURL,input053)</f>
        <v>https://esi.evetech.net/latest/markets/10000021/history/?datasource=tranquility&amp;type_id=27377</v>
      </c>
      <c r="B784">
        <v>2000</v>
      </c>
      <c r="C784">
        <v>2000</v>
      </c>
      <c r="D784">
        <v>3</v>
      </c>
      <c r="E784">
        <v>7500</v>
      </c>
      <c r="F784" s="70">
        <v>44539</v>
      </c>
      <c r="G784" t="str">
        <f>IFERROR(IF((F784-F783)&gt;1,(LARGE(F784:$F784,1)-LARGE(F$784:$F784,2))-1,""),"")</f>
        <v/>
      </c>
    </row>
    <row r="785" spans="1:7">
      <c r="A785" s="79" t="s">
        <v>44018</v>
      </c>
      <c r="B785">
        <v>2183</v>
      </c>
      <c r="C785">
        <v>2183</v>
      </c>
      <c r="D785">
        <v>1</v>
      </c>
      <c r="E785">
        <v>1900</v>
      </c>
      <c r="F785" s="70">
        <v>44540</v>
      </c>
      <c r="G785" t="str">
        <f>IFERROR(IF((F785-F784)&gt;1,(LARGE(F785:$F785,1)-LARGE(F$784:$F785,2))-1,""),"")</f>
        <v/>
      </c>
    </row>
    <row r="786" spans="1:7">
      <c r="A786" s="78">
        <f>MAX(0,(CurrentDate-2)-F797)</f>
        <v>1</v>
      </c>
      <c r="B786">
        <v>2183</v>
      </c>
      <c r="C786">
        <v>2183</v>
      </c>
      <c r="D786">
        <v>2</v>
      </c>
      <c r="E786">
        <v>8000</v>
      </c>
      <c r="F786" s="70">
        <v>44542</v>
      </c>
      <c r="G786">
        <f>IFERROR(IF((F786-F785)&gt;1,(LARGE(F786:$F786,1)-LARGE(F$784:$F786,2))-1,""),"")</f>
        <v>1</v>
      </c>
    </row>
    <row r="787" spans="1:7">
      <c r="A787" s="79" t="s">
        <v>44026</v>
      </c>
      <c r="B787">
        <v>2201</v>
      </c>
      <c r="C787">
        <v>2201</v>
      </c>
      <c r="D787">
        <v>1</v>
      </c>
      <c r="E787">
        <v>2700</v>
      </c>
      <c r="F787" s="70">
        <v>44543</v>
      </c>
      <c r="G787" t="str">
        <f>IFERROR(IF((F787-F786)&gt;1,(LARGE(F787:$F787,1)-LARGE(F$784:$F787,2))-1,""),"")</f>
        <v/>
      </c>
    </row>
    <row r="788" spans="1:7">
      <c r="A788" s="83">
        <f>SUM(G791:G797)</f>
        <v>0</v>
      </c>
      <c r="B788">
        <v>2201</v>
      </c>
      <c r="C788">
        <v>2201</v>
      </c>
      <c r="D788">
        <v>5</v>
      </c>
      <c r="E788">
        <v>9900</v>
      </c>
      <c r="F788" s="70">
        <v>44544</v>
      </c>
      <c r="G788" t="str">
        <f>IFERROR(IF((F788-F787)&gt;1,(LARGE(F788:$F788,1)-LARGE(F$784:$F788,2))-1,""),"")</f>
        <v/>
      </c>
    </row>
    <row r="789" spans="1:7">
      <c r="A789" s="79" t="s">
        <v>44029</v>
      </c>
      <c r="B789">
        <v>2201</v>
      </c>
      <c r="C789">
        <v>2201</v>
      </c>
      <c r="D789">
        <v>1</v>
      </c>
      <c r="E789">
        <v>2700</v>
      </c>
      <c r="F789" s="70">
        <v>44545</v>
      </c>
      <c r="G789" t="str">
        <f>IFERROR(IF((F789-F788)&gt;1,(LARGE(F789:$F789,1)-LARGE(F$784:$F789,2))-1,""),"")</f>
        <v/>
      </c>
    </row>
    <row r="790" spans="1:7">
      <c r="A790" s="77">
        <f>(SUM(E784:E797)/(A786+14)+SUM(G784:G797))</f>
        <v>4448.1333333333332</v>
      </c>
      <c r="B790">
        <v>2201</v>
      </c>
      <c r="C790">
        <v>2201</v>
      </c>
      <c r="D790">
        <v>1</v>
      </c>
      <c r="E790">
        <v>192</v>
      </c>
      <c r="F790" s="70">
        <v>44547</v>
      </c>
      <c r="G790">
        <f>IFERROR(IF((F790-F789)&gt;1,(LARGE(F790:$F790,1)-LARGE(F$784:$F790,2))-1,""),"")</f>
        <v>1</v>
      </c>
    </row>
    <row r="791" spans="1:7">
      <c r="A791" s="77">
        <f>(SUM(E791:E797)/(A786+7)+SUM(G791:G797))</f>
        <v>4225</v>
      </c>
      <c r="B791">
        <v>2201</v>
      </c>
      <c r="C791">
        <v>2201</v>
      </c>
      <c r="D791">
        <v>7</v>
      </c>
      <c r="E791">
        <v>12700</v>
      </c>
      <c r="F791" s="70">
        <v>44548</v>
      </c>
      <c r="G791" t="str">
        <f>IFERROR(IF((F791-F790)&gt;1,(LARGE(F791:$F791,1)-LARGE(F$784:$F791,2))-1,""),"")</f>
        <v/>
      </c>
    </row>
    <row r="792" spans="1:7">
      <c r="A792" s="79" t="s">
        <v>44028</v>
      </c>
      <c r="B792">
        <v>2201</v>
      </c>
      <c r="C792">
        <v>2201</v>
      </c>
      <c r="D792">
        <v>1</v>
      </c>
      <c r="E792">
        <v>2700</v>
      </c>
      <c r="F792" s="70">
        <v>44549</v>
      </c>
      <c r="G792" t="str">
        <f>IFERROR(IF((F792-F791)&gt;1,(LARGE(F792:$F792,1)-LARGE(F$784:$F792,2))-1,""),"")</f>
        <v/>
      </c>
    </row>
    <row r="793" spans="1:7">
      <c r="A793" s="77">
        <f>(SUM(D794:D797)/(A786+4)+SUM(G794:G797))</f>
        <v>1</v>
      </c>
      <c r="B793">
        <v>2201</v>
      </c>
      <c r="C793">
        <v>2201</v>
      </c>
      <c r="D793">
        <v>1</v>
      </c>
      <c r="E793">
        <v>1500</v>
      </c>
      <c r="F793" s="70">
        <v>44550</v>
      </c>
      <c r="G793" t="str">
        <f>IFERROR(IF((F793-F792)&gt;1,(LARGE(F793:$F793,1)-LARGE(F$784:$F793,2))-1,""),"")</f>
        <v/>
      </c>
    </row>
    <row r="794" spans="1:7">
      <c r="A794" s="85" t="s">
        <v>44027</v>
      </c>
      <c r="B794">
        <v>2201</v>
      </c>
      <c r="C794">
        <v>2201</v>
      </c>
      <c r="D794">
        <v>1</v>
      </c>
      <c r="E794">
        <v>2700</v>
      </c>
      <c r="F794" s="70">
        <v>44551</v>
      </c>
      <c r="G794" t="str">
        <f>IFERROR(IF((F794-F793)&gt;1,(LARGE(F794:$F794,1)-LARGE(F$784:$F794,2))-1,""),"")</f>
        <v/>
      </c>
    </row>
    <row r="795" spans="1:7">
      <c r="A795" s="86">
        <f>IF(A788+A786&gt;10,"Look Up",AVERAGE(A790,A791))</f>
        <v>4336.5666666666666</v>
      </c>
      <c r="B795">
        <v>2201</v>
      </c>
      <c r="C795">
        <v>2201</v>
      </c>
      <c r="D795">
        <v>1</v>
      </c>
      <c r="E795">
        <v>2700</v>
      </c>
      <c r="F795" s="70">
        <v>44552</v>
      </c>
      <c r="G795" t="str">
        <f>IFERROR(IF((F795-F794)&gt;1,(LARGE(F795:$F795,1)-LARGE(F$784:$F795,2))-1,""),"")</f>
        <v/>
      </c>
    </row>
    <row r="796" spans="1:7">
      <c r="A796" s="85" t="s">
        <v>44030</v>
      </c>
      <c r="B796">
        <v>2201</v>
      </c>
      <c r="C796">
        <v>2201</v>
      </c>
      <c r="D796">
        <v>1</v>
      </c>
      <c r="E796">
        <v>1500</v>
      </c>
      <c r="F796" s="70">
        <v>44553</v>
      </c>
      <c r="G796" t="str">
        <f>IFERROR(IF((F796-F795)&gt;1,(LARGE(F796:$F796,1)-LARGE(F$784:$F796,2))-1,""),"")</f>
        <v/>
      </c>
    </row>
    <row r="797" spans="1:7">
      <c r="A797" s="88"/>
      <c r="B797">
        <v>2202</v>
      </c>
      <c r="C797">
        <v>2202</v>
      </c>
      <c r="D797">
        <v>2</v>
      </c>
      <c r="E797">
        <v>10000</v>
      </c>
      <c r="F797" s="70">
        <v>44554</v>
      </c>
      <c r="G797" t="str">
        <f>IFERROR(IF((F797-F796)&gt;1,(LARGE(F797:$F797,1)-LARGE(F$784:$F797,2))-1,""),"")</f>
        <v/>
      </c>
    </row>
    <row r="798" spans="1:7">
      <c r="A798" s="65">
        <f>VLOOKUP(TradeSheet!A55,TypeIDs!B:C,2,FALSE)</f>
        <v>24486</v>
      </c>
      <c r="B798" t="s">
        <v>43998</v>
      </c>
      <c r="C798" t="s">
        <v>43999</v>
      </c>
      <c r="D798" t="s">
        <v>44000</v>
      </c>
      <c r="E798" t="s">
        <v>44001</v>
      </c>
      <c r="F798" t="s">
        <v>44009</v>
      </c>
      <c r="G798" t="s">
        <v>44008</v>
      </c>
    </row>
    <row r="799" spans="1:7">
      <c r="A799" s="65" t="str">
        <f>CONCATENATE(SwaggerURL,input054)</f>
        <v>https://esi.evetech.net/latest/markets/10000021/history/?datasource=tranquility&amp;type_id=24486</v>
      </c>
      <c r="B799">
        <v>399.9</v>
      </c>
      <c r="C799">
        <v>399.9</v>
      </c>
      <c r="D799">
        <v>1</v>
      </c>
      <c r="E799">
        <v>7500</v>
      </c>
      <c r="F799" s="70">
        <v>44527</v>
      </c>
      <c r="G799" t="str">
        <f>IFERROR(IF((F799-F798)&gt;1,(LARGE(F799:$F799,1)-LARGE(F$799:$F799,2))-1,""),"")</f>
        <v/>
      </c>
    </row>
    <row r="800" spans="1:7">
      <c r="A800" s="79" t="s">
        <v>44018</v>
      </c>
      <c r="B800">
        <v>400</v>
      </c>
      <c r="C800">
        <v>400</v>
      </c>
      <c r="D800">
        <v>1</v>
      </c>
      <c r="E800">
        <v>3000</v>
      </c>
      <c r="F800" s="70">
        <v>44528</v>
      </c>
      <c r="G800" t="str">
        <f>IFERROR(IF((F800-F799)&gt;1,(LARGE(F800:$F800,1)-LARGE(F$799:$F800,2))-1,""),"")</f>
        <v/>
      </c>
    </row>
    <row r="801" spans="1:7">
      <c r="A801" s="78">
        <f>MAX(0,(CurrentDate-2)-F812)</f>
        <v>2</v>
      </c>
      <c r="B801">
        <v>399</v>
      </c>
      <c r="C801">
        <v>399</v>
      </c>
      <c r="D801">
        <v>5</v>
      </c>
      <c r="E801">
        <v>7500</v>
      </c>
      <c r="F801" s="70">
        <v>44529</v>
      </c>
      <c r="G801" t="str">
        <f>IFERROR(IF((F801-F800)&gt;1,(LARGE(F801:$F801,1)-LARGE(F$799:$F801,2))-1,""),"")</f>
        <v/>
      </c>
    </row>
    <row r="802" spans="1:7">
      <c r="A802" s="79" t="s">
        <v>44026</v>
      </c>
      <c r="B802">
        <v>390</v>
      </c>
      <c r="C802">
        <v>390</v>
      </c>
      <c r="D802">
        <v>2</v>
      </c>
      <c r="E802">
        <v>6820</v>
      </c>
      <c r="F802" s="70">
        <v>44530</v>
      </c>
      <c r="G802" t="str">
        <f>IFERROR(IF((F802-F801)&gt;1,(LARGE(F802:$F802,1)-LARGE(F$799:$F802,2))-1,""),"")</f>
        <v/>
      </c>
    </row>
    <row r="803" spans="1:7">
      <c r="A803" s="83">
        <f>SUM(G806:G812)</f>
        <v>4</v>
      </c>
      <c r="B803">
        <v>175</v>
      </c>
      <c r="C803">
        <v>175</v>
      </c>
      <c r="D803">
        <v>2</v>
      </c>
      <c r="E803">
        <v>15500</v>
      </c>
      <c r="F803" s="70">
        <v>44533</v>
      </c>
      <c r="G803">
        <f>IFERROR(IF((F803-F802)&gt;1,(LARGE(F803:$F803,1)-LARGE(F$799:$F803,2))-1,""),"")</f>
        <v>2</v>
      </c>
    </row>
    <row r="804" spans="1:7">
      <c r="A804" s="79" t="s">
        <v>44029</v>
      </c>
      <c r="B804">
        <v>189.9</v>
      </c>
      <c r="C804">
        <v>189.9</v>
      </c>
      <c r="D804">
        <v>1</v>
      </c>
      <c r="E804">
        <v>1000</v>
      </c>
      <c r="F804" s="70">
        <v>44539</v>
      </c>
      <c r="G804">
        <f>IFERROR(IF((F804-F803)&gt;1,(LARGE(F804:$F804,1)-LARGE(F$799:$F804,2))-1,""),"")</f>
        <v>5</v>
      </c>
    </row>
    <row r="805" spans="1:7">
      <c r="A805" s="77">
        <f>(SUM(E799:E812)/(A801+14)+SUM(G799:G812))</f>
        <v>5403.8125</v>
      </c>
      <c r="B805">
        <v>190</v>
      </c>
      <c r="C805">
        <v>190</v>
      </c>
      <c r="D805">
        <v>2</v>
      </c>
      <c r="E805">
        <v>9500</v>
      </c>
      <c r="F805" s="70">
        <v>44542</v>
      </c>
      <c r="G805">
        <f>IFERROR(IF((F805-F804)&gt;1,(LARGE(F805:$F805,1)-LARGE(F$799:$F805,2))-1,""),"")</f>
        <v>2</v>
      </c>
    </row>
    <row r="806" spans="1:7">
      <c r="A806" s="77">
        <f>(SUM(E806:E812)/(A801+7)+SUM(G806:G812))</f>
        <v>3941</v>
      </c>
      <c r="B806">
        <v>190</v>
      </c>
      <c r="C806">
        <v>190</v>
      </c>
      <c r="D806">
        <v>1</v>
      </c>
      <c r="E806">
        <v>1000</v>
      </c>
      <c r="F806" s="70">
        <v>44543</v>
      </c>
      <c r="G806" t="str">
        <f>IFERROR(IF((F806-F805)&gt;1,(LARGE(F806:$F806,1)-LARGE(F$799:$F806,2))-1,""),"")</f>
        <v/>
      </c>
    </row>
    <row r="807" spans="1:7">
      <c r="A807" s="79" t="s">
        <v>44028</v>
      </c>
      <c r="B807">
        <v>190</v>
      </c>
      <c r="C807">
        <v>190</v>
      </c>
      <c r="D807">
        <v>1</v>
      </c>
      <c r="E807">
        <v>2000</v>
      </c>
      <c r="F807" s="70">
        <v>44545</v>
      </c>
      <c r="G807">
        <f>IFERROR(IF((F807-F806)&gt;1,(LARGE(F807:$F807,1)-LARGE(F$799:$F807,2))-1,""),"")</f>
        <v>1</v>
      </c>
    </row>
    <row r="808" spans="1:7">
      <c r="A808" s="77">
        <f>(SUM(D809:D812)/(A801+4)+SUM(G809:G812))</f>
        <v>4</v>
      </c>
      <c r="B808">
        <v>190</v>
      </c>
      <c r="C808">
        <v>190</v>
      </c>
      <c r="D808">
        <v>1</v>
      </c>
      <c r="E808">
        <v>20000</v>
      </c>
      <c r="F808" s="70">
        <v>44546</v>
      </c>
      <c r="G808" t="str">
        <f>IFERROR(IF((F808-F807)&gt;1,(LARGE(F808:$F808,1)-LARGE(F$799:$F808,2))-1,""),"")</f>
        <v/>
      </c>
    </row>
    <row r="809" spans="1:7">
      <c r="A809" s="85" t="s">
        <v>44027</v>
      </c>
      <c r="B809">
        <v>190</v>
      </c>
      <c r="C809">
        <v>190</v>
      </c>
      <c r="D809">
        <v>2</v>
      </c>
      <c r="E809">
        <v>3000</v>
      </c>
      <c r="F809" s="70">
        <v>44547</v>
      </c>
      <c r="G809" t="str">
        <f>IFERROR(IF((F809-F808)&gt;1,(LARGE(F809:$F809,1)-LARGE(F$799:$F809,2))-1,""),"")</f>
        <v/>
      </c>
    </row>
    <row r="810" spans="1:7">
      <c r="A810" s="86">
        <f>IF(A803+A801&gt;10,"Look Up",AVERAGE(A805,A806))</f>
        <v>4672.40625</v>
      </c>
      <c r="B810">
        <v>190</v>
      </c>
      <c r="C810">
        <v>190</v>
      </c>
      <c r="D810">
        <v>2</v>
      </c>
      <c r="E810">
        <v>3792</v>
      </c>
      <c r="F810" s="70">
        <v>44549</v>
      </c>
      <c r="G810">
        <f>IFERROR(IF((F810-F809)&gt;1,(LARGE(F810:$F810,1)-LARGE(F$799:$F810,2))-1,""),"")</f>
        <v>1</v>
      </c>
    </row>
    <row r="811" spans="1:7">
      <c r="A811" s="85" t="s">
        <v>44030</v>
      </c>
      <c r="B811">
        <v>190</v>
      </c>
      <c r="C811">
        <v>190</v>
      </c>
      <c r="D811">
        <v>1</v>
      </c>
      <c r="E811">
        <v>5000</v>
      </c>
      <c r="F811" s="70">
        <v>44552</v>
      </c>
      <c r="G811">
        <f>IFERROR(IF((F811-F810)&gt;1,(LARGE(F811:$F811,1)-LARGE(F$799:$F811,2))-1,""),"")</f>
        <v>2</v>
      </c>
    </row>
    <row r="812" spans="1:7">
      <c r="A812" s="88"/>
      <c r="B812">
        <v>190</v>
      </c>
      <c r="C812">
        <v>190</v>
      </c>
      <c r="D812">
        <v>1</v>
      </c>
      <c r="E812">
        <v>641</v>
      </c>
      <c r="F812" s="70">
        <v>44553</v>
      </c>
      <c r="G812" t="str">
        <f>IFERROR(IF((F812-F811)&gt;1,(LARGE(F812:$F812,1)-LARGE(F$799:$F812,2))-1,""),"")</f>
        <v/>
      </c>
    </row>
    <row r="813" spans="1:7">
      <c r="A813" s="65">
        <f>VLOOKUP(TradeSheet!A56,TypeIDs!B:C,2,FALSE)</f>
        <v>24490</v>
      </c>
      <c r="B813" t="s">
        <v>43998</v>
      </c>
      <c r="C813" t="s">
        <v>43999</v>
      </c>
      <c r="D813" t="s">
        <v>44000</v>
      </c>
      <c r="E813" t="s">
        <v>44001</v>
      </c>
      <c r="F813" t="s">
        <v>44009</v>
      </c>
      <c r="G813" t="s">
        <v>44008</v>
      </c>
    </row>
    <row r="814" spans="1:7">
      <c r="A814" s="65" t="str">
        <f>CONCATENATE(SwaggerURL,input055)</f>
        <v>https://esi.evetech.net/latest/markets/10000021/history/?datasource=tranquility&amp;type_id=24490</v>
      </c>
      <c r="B814">
        <v>160</v>
      </c>
      <c r="C814">
        <v>160</v>
      </c>
      <c r="D814">
        <v>5</v>
      </c>
      <c r="E814">
        <v>75500</v>
      </c>
      <c r="F814" s="70">
        <v>44541</v>
      </c>
      <c r="G814" t="str">
        <f>IFERROR(IF((F814-F813)&gt;1,(LARGE(F814:$F814,1)-LARGE(F$814:$F814,2))-1,""),"")</f>
        <v/>
      </c>
    </row>
    <row r="815" spans="1:7">
      <c r="A815" s="79" t="s">
        <v>44018</v>
      </c>
      <c r="B815">
        <v>160</v>
      </c>
      <c r="C815">
        <v>160</v>
      </c>
      <c r="D815">
        <v>11</v>
      </c>
      <c r="E815">
        <v>89000</v>
      </c>
      <c r="F815" s="70">
        <v>44542</v>
      </c>
      <c r="G815" t="str">
        <f>IFERROR(IF((F815-F814)&gt;1,(LARGE(F815:$F815,1)-LARGE(F$814:$F815,2))-1,""),"")</f>
        <v/>
      </c>
    </row>
    <row r="816" spans="1:7">
      <c r="A816" s="78">
        <f>MAX(0,(CurrentDate-2)-F827)</f>
        <v>1</v>
      </c>
      <c r="B816">
        <v>160</v>
      </c>
      <c r="C816">
        <v>160</v>
      </c>
      <c r="D816">
        <v>4</v>
      </c>
      <c r="E816">
        <v>23000</v>
      </c>
      <c r="F816" s="70">
        <v>44543</v>
      </c>
      <c r="G816" t="str">
        <f>IFERROR(IF((F816-F815)&gt;1,(LARGE(F816:$F816,1)-LARGE(F$814:$F816,2))-1,""),"")</f>
        <v/>
      </c>
    </row>
    <row r="817" spans="1:7">
      <c r="A817" s="79" t="s">
        <v>44026</v>
      </c>
      <c r="B817">
        <v>160</v>
      </c>
      <c r="C817">
        <v>160</v>
      </c>
      <c r="D817">
        <v>5</v>
      </c>
      <c r="E817">
        <v>105000</v>
      </c>
      <c r="F817" s="70">
        <v>44544</v>
      </c>
      <c r="G817" t="str">
        <f>IFERROR(IF((F817-F816)&gt;1,(LARGE(F817:$F817,1)-LARGE(F$814:$F817,2))-1,""),"")</f>
        <v/>
      </c>
    </row>
    <row r="818" spans="1:7">
      <c r="A818" s="83">
        <f>SUM(G821:G827)</f>
        <v>0</v>
      </c>
      <c r="B818">
        <v>160.1</v>
      </c>
      <c r="C818">
        <v>160.1</v>
      </c>
      <c r="D818">
        <v>6</v>
      </c>
      <c r="E818">
        <v>159642</v>
      </c>
      <c r="F818" s="70">
        <v>44545</v>
      </c>
      <c r="G818" t="str">
        <f>IFERROR(IF((F818-F817)&gt;1,(LARGE(F818:$F818,1)-LARGE(F$814:$F818,2))-1,""),"")</f>
        <v/>
      </c>
    </row>
    <row r="819" spans="1:7">
      <c r="A819" s="79" t="s">
        <v>44029</v>
      </c>
      <c r="B819">
        <v>170.1</v>
      </c>
      <c r="C819">
        <v>170.1</v>
      </c>
      <c r="D819">
        <v>2</v>
      </c>
      <c r="E819">
        <v>27000</v>
      </c>
      <c r="F819" s="70">
        <v>44546</v>
      </c>
      <c r="G819" t="str">
        <f>IFERROR(IF((F819-F818)&gt;1,(LARGE(F819:$F819,1)-LARGE(F$814:$F819,2))-1,""),"")</f>
        <v/>
      </c>
    </row>
    <row r="820" spans="1:7">
      <c r="A820" s="77">
        <f>(SUM(E814:E827)/(A816+14)+SUM(G814:G827))</f>
        <v>68683.933333333334</v>
      </c>
      <c r="B820">
        <v>170.1</v>
      </c>
      <c r="C820">
        <v>170.1</v>
      </c>
      <c r="D820">
        <v>3</v>
      </c>
      <c r="E820">
        <v>41000</v>
      </c>
      <c r="F820" s="70">
        <v>44547</v>
      </c>
      <c r="G820" t="str">
        <f>IFERROR(IF((F820-F819)&gt;1,(LARGE(F820:$F820,1)-LARGE(F$814:$F820,2))-1,""),"")</f>
        <v/>
      </c>
    </row>
    <row r="821" spans="1:7">
      <c r="A821" s="77">
        <f>(SUM(E821:E827)/(A816+7)+SUM(G821:G827))</f>
        <v>63764.625</v>
      </c>
      <c r="B821">
        <v>170.1</v>
      </c>
      <c r="C821">
        <v>170.1</v>
      </c>
      <c r="D821">
        <v>4</v>
      </c>
      <c r="E821">
        <v>28000</v>
      </c>
      <c r="F821" s="70">
        <v>44548</v>
      </c>
      <c r="G821" t="str">
        <f>IFERROR(IF((F821-F820)&gt;1,(LARGE(F821:$F821,1)-LARGE(F$814:$F821,2))-1,""),"")</f>
        <v/>
      </c>
    </row>
    <row r="822" spans="1:7">
      <c r="A822" s="79" t="s">
        <v>44028</v>
      </c>
      <c r="B822">
        <v>170.1</v>
      </c>
      <c r="C822">
        <v>170.1</v>
      </c>
      <c r="D822">
        <v>7</v>
      </c>
      <c r="E822">
        <v>25792</v>
      </c>
      <c r="F822" s="70">
        <v>44549</v>
      </c>
      <c r="G822" t="str">
        <f>IFERROR(IF((F822-F821)&gt;1,(LARGE(F822:$F822,1)-LARGE(F$814:$F822,2))-1,""),"")</f>
        <v/>
      </c>
    </row>
    <row r="823" spans="1:7">
      <c r="A823" s="77">
        <f>(SUM(D824:D827)/(A816+4)+SUM(G824:G827))</f>
        <v>3.4</v>
      </c>
      <c r="B823">
        <v>199</v>
      </c>
      <c r="C823">
        <v>199</v>
      </c>
      <c r="D823">
        <v>4</v>
      </c>
      <c r="E823">
        <v>285208</v>
      </c>
      <c r="F823" s="70">
        <v>44550</v>
      </c>
      <c r="G823" t="str">
        <f>IFERROR(IF((F823-F822)&gt;1,(LARGE(F823:$F823,1)-LARGE(F$814:$F823,2))-1,""),"")</f>
        <v/>
      </c>
    </row>
    <row r="824" spans="1:7">
      <c r="A824" s="85" t="s">
        <v>44027</v>
      </c>
      <c r="B824">
        <v>199</v>
      </c>
      <c r="C824">
        <v>199</v>
      </c>
      <c r="D824">
        <v>2</v>
      </c>
      <c r="E824">
        <v>13000</v>
      </c>
      <c r="F824" s="70">
        <v>44551</v>
      </c>
      <c r="G824" t="str">
        <f>IFERROR(IF((F824-F823)&gt;1,(LARGE(F824:$F824,1)-LARGE(F$814:$F824,2))-1,""),"")</f>
        <v/>
      </c>
    </row>
    <row r="825" spans="1:7">
      <c r="A825" s="86">
        <f>IF(A818+A816&gt;10,"Look Up",AVERAGE(A820,A821))</f>
        <v>66224.279166666674</v>
      </c>
      <c r="B825">
        <v>199</v>
      </c>
      <c r="C825">
        <v>199</v>
      </c>
      <c r="D825">
        <v>3</v>
      </c>
      <c r="E825">
        <v>17000</v>
      </c>
      <c r="F825" s="70">
        <v>44552</v>
      </c>
      <c r="G825" t="str">
        <f>IFERROR(IF((F825-F824)&gt;1,(LARGE(F825:$F825,1)-LARGE(F$814:$F825,2))-1,""),"")</f>
        <v/>
      </c>
    </row>
    <row r="826" spans="1:7">
      <c r="A826" s="85" t="s">
        <v>44030</v>
      </c>
      <c r="B826">
        <v>199</v>
      </c>
      <c r="C826">
        <v>199</v>
      </c>
      <c r="D826">
        <v>7</v>
      </c>
      <c r="E826">
        <v>75787</v>
      </c>
      <c r="F826" s="70">
        <v>44553</v>
      </c>
      <c r="G826" t="str">
        <f>IFERROR(IF((F826-F825)&gt;1,(LARGE(F826:$F826,1)-LARGE(F$814:$F826,2))-1,""),"")</f>
        <v/>
      </c>
    </row>
    <row r="827" spans="1:7">
      <c r="A827" s="88"/>
      <c r="B827">
        <v>199</v>
      </c>
      <c r="C827">
        <v>199</v>
      </c>
      <c r="D827">
        <v>5</v>
      </c>
      <c r="E827">
        <v>65330</v>
      </c>
      <c r="F827" s="70">
        <v>44554</v>
      </c>
      <c r="G827" t="str">
        <f>IFERROR(IF((F827-F826)&gt;1,(LARGE(F827:$F827,1)-LARGE(F$814:$F827,2))-1,""),"")</f>
        <v/>
      </c>
    </row>
    <row r="828" spans="1:7">
      <c r="A828" s="65">
        <f>VLOOKUP(TradeSheet!A57,TypeIDs!B:C,2,FALSE)</f>
        <v>24488</v>
      </c>
      <c r="B828" t="s">
        <v>43998</v>
      </c>
      <c r="C828" t="s">
        <v>43999</v>
      </c>
      <c r="D828" t="s">
        <v>44000</v>
      </c>
      <c r="E828" t="s">
        <v>44001</v>
      </c>
      <c r="F828" t="s">
        <v>44009</v>
      </c>
      <c r="G828" t="s">
        <v>44008</v>
      </c>
    </row>
    <row r="829" spans="1:7">
      <c r="A829" s="65" t="str">
        <f>CONCATENATE(SwaggerURL,input056)</f>
        <v>https://esi.evetech.net/latest/markets/10000021/history/?datasource=tranquility&amp;type_id=24488</v>
      </c>
      <c r="B829">
        <v>700</v>
      </c>
      <c r="C829">
        <v>700</v>
      </c>
      <c r="D829">
        <v>6</v>
      </c>
      <c r="E829">
        <v>6000</v>
      </c>
      <c r="F829" s="70">
        <v>44521</v>
      </c>
      <c r="G829" t="str">
        <f>IFERROR(IF((F829-F828)&gt;1,(LARGE(F829:$F829,1)-LARGE(F$829:$F829,2))-1,""),"")</f>
        <v/>
      </c>
    </row>
    <row r="830" spans="1:7">
      <c r="A830" s="79" t="s">
        <v>44018</v>
      </c>
      <c r="B830">
        <v>700</v>
      </c>
      <c r="C830">
        <v>700</v>
      </c>
      <c r="D830">
        <v>2</v>
      </c>
      <c r="E830">
        <v>20000</v>
      </c>
      <c r="F830" s="70">
        <v>44522</v>
      </c>
      <c r="G830" t="str">
        <f>IFERROR(IF((F830-F829)&gt;1,(LARGE(F830:$F830,1)-LARGE(F$829:$F830,2))-1,""),"")</f>
        <v/>
      </c>
    </row>
    <row r="831" spans="1:7">
      <c r="A831" s="78">
        <f>MAX(0,(CurrentDate-2)-F842)</f>
        <v>6</v>
      </c>
      <c r="B831">
        <v>700</v>
      </c>
      <c r="C831">
        <v>700</v>
      </c>
      <c r="D831">
        <v>2</v>
      </c>
      <c r="E831">
        <v>10000</v>
      </c>
      <c r="F831" s="70">
        <v>44523</v>
      </c>
      <c r="G831" t="str">
        <f>IFERROR(IF((F831-F830)&gt;1,(LARGE(F831:$F831,1)-LARGE(F$829:$F831,2))-1,""),"")</f>
        <v/>
      </c>
    </row>
    <row r="832" spans="1:7">
      <c r="A832" s="79" t="s">
        <v>44026</v>
      </c>
      <c r="B832">
        <v>699</v>
      </c>
      <c r="C832">
        <v>699</v>
      </c>
      <c r="D832">
        <v>1</v>
      </c>
      <c r="E832">
        <v>600</v>
      </c>
      <c r="F832" s="70">
        <v>44526</v>
      </c>
      <c r="G832">
        <f>IFERROR(IF((F832-F831)&gt;1,(LARGE(F832:$F832,1)-LARGE(F$829:$F832,2))-1,""),"")</f>
        <v>2</v>
      </c>
    </row>
    <row r="833" spans="1:7">
      <c r="A833" s="83">
        <f>SUM(G836:G842)</f>
        <v>6</v>
      </c>
      <c r="B833">
        <v>700</v>
      </c>
      <c r="C833">
        <v>700</v>
      </c>
      <c r="D833">
        <v>3</v>
      </c>
      <c r="E833">
        <v>9000</v>
      </c>
      <c r="F833" s="70">
        <v>44527</v>
      </c>
      <c r="G833" t="str">
        <f>IFERROR(IF((F833-F832)&gt;1,(LARGE(F833:$F833,1)-LARGE(F$829:$F833,2))-1,""),"")</f>
        <v/>
      </c>
    </row>
    <row r="834" spans="1:7">
      <c r="A834" s="79" t="s">
        <v>44029</v>
      </c>
      <c r="B834">
        <v>700</v>
      </c>
      <c r="C834">
        <v>700</v>
      </c>
      <c r="D834">
        <v>1</v>
      </c>
      <c r="E834">
        <v>5000</v>
      </c>
      <c r="F834" s="70">
        <v>44528</v>
      </c>
      <c r="G834" t="str">
        <f>IFERROR(IF((F834-F833)&gt;1,(LARGE(F834:$F834,1)-LARGE(F$829:$F834,2))-1,""),"")</f>
        <v/>
      </c>
    </row>
    <row r="835" spans="1:7">
      <c r="A835" s="77">
        <f>(SUM(E829:E842)/(A831+14)+SUM(G829:G842))</f>
        <v>4904.6000000000004</v>
      </c>
      <c r="B835">
        <v>696.9</v>
      </c>
      <c r="C835">
        <v>696.9</v>
      </c>
      <c r="D835">
        <v>1</v>
      </c>
      <c r="E835">
        <v>200</v>
      </c>
      <c r="F835" s="70">
        <v>44536</v>
      </c>
      <c r="G835">
        <f>IFERROR(IF((F835-F834)&gt;1,(LARGE(F835:$F835,1)-LARGE(F$829:$F835,2))-1,""),"")</f>
        <v>7</v>
      </c>
    </row>
    <row r="836" spans="1:7">
      <c r="A836" s="77">
        <f>(SUM(E836:E842)/(A831+7)+SUM(G836:G842))</f>
        <v>3620.7692307692309</v>
      </c>
      <c r="B836">
        <v>696.9</v>
      </c>
      <c r="C836">
        <v>696.9</v>
      </c>
      <c r="D836">
        <v>1</v>
      </c>
      <c r="E836">
        <v>1200</v>
      </c>
      <c r="F836" s="70">
        <v>44537</v>
      </c>
      <c r="G836" t="str">
        <f>IFERROR(IF((F836-F835)&gt;1,(LARGE(F836:$F836,1)-LARGE(F$829:$F836,2))-1,""),"")</f>
        <v/>
      </c>
    </row>
    <row r="837" spans="1:7">
      <c r="A837" s="79" t="s">
        <v>44028</v>
      </c>
      <c r="B837">
        <v>696.9</v>
      </c>
      <c r="C837">
        <v>696.9</v>
      </c>
      <c r="D837">
        <v>1</v>
      </c>
      <c r="E837">
        <v>1000</v>
      </c>
      <c r="F837" s="70">
        <v>44539</v>
      </c>
      <c r="G837">
        <f>IFERROR(IF((F837-F836)&gt;1,(LARGE(F837:$F837,1)-LARGE(F$829:$F837,2))-1,""),"")</f>
        <v>1</v>
      </c>
    </row>
    <row r="838" spans="1:7">
      <c r="A838" s="77">
        <f>(SUM(D839:D842)/(A831+4)+SUM(G839:G842))</f>
        <v>3.2</v>
      </c>
      <c r="B838">
        <v>696.9</v>
      </c>
      <c r="C838">
        <v>696.9</v>
      </c>
      <c r="D838">
        <v>1</v>
      </c>
      <c r="E838">
        <v>1000</v>
      </c>
      <c r="F838" s="70">
        <v>44543</v>
      </c>
      <c r="G838">
        <f>IFERROR(IF((F838-F837)&gt;1,(LARGE(F838:$F838,1)-LARGE(F$829:$F838,2))-1,""),"")</f>
        <v>3</v>
      </c>
    </row>
    <row r="839" spans="1:7">
      <c r="A839" s="85" t="s">
        <v>44027</v>
      </c>
      <c r="B839">
        <v>699.8</v>
      </c>
      <c r="C839">
        <v>699.8</v>
      </c>
      <c r="D839">
        <v>5</v>
      </c>
      <c r="E839">
        <v>24000</v>
      </c>
      <c r="F839" s="70">
        <v>44545</v>
      </c>
      <c r="G839">
        <f>IFERROR(IF((F839-F838)&gt;1,(LARGE(F839:$F839,1)-LARGE(F$829:$F839,2))-1,""),"")</f>
        <v>1</v>
      </c>
    </row>
    <row r="840" spans="1:7">
      <c r="A840" s="86" t="str">
        <f>IF(A833+A831&gt;10,"Look Up",AVERAGE(A835,A836))</f>
        <v>Look Up</v>
      </c>
      <c r="B840">
        <v>690</v>
      </c>
      <c r="C840">
        <v>690</v>
      </c>
      <c r="D840">
        <v>3</v>
      </c>
      <c r="E840">
        <v>14000</v>
      </c>
      <c r="F840" s="70">
        <v>44546</v>
      </c>
      <c r="G840" t="str">
        <f>IFERROR(IF((F840-F839)&gt;1,(LARGE(F840:$F840,1)-LARGE(F$829:$F840,2))-1,""),"")</f>
        <v/>
      </c>
    </row>
    <row r="841" spans="1:7">
      <c r="A841" s="85" t="s">
        <v>44030</v>
      </c>
      <c r="B841">
        <v>695</v>
      </c>
      <c r="C841">
        <v>695</v>
      </c>
      <c r="D841">
        <v>1</v>
      </c>
      <c r="E841">
        <v>2000</v>
      </c>
      <c r="F841" s="70">
        <v>44547</v>
      </c>
      <c r="G841" t="str">
        <f>IFERROR(IF((F841-F840)&gt;1,(LARGE(F841:$F841,1)-LARGE(F$829:$F841,2))-1,""),"")</f>
        <v/>
      </c>
    </row>
    <row r="842" spans="1:7">
      <c r="A842" s="88"/>
      <c r="B842">
        <v>695</v>
      </c>
      <c r="C842">
        <v>695</v>
      </c>
      <c r="D842">
        <v>3</v>
      </c>
      <c r="E842">
        <v>3792</v>
      </c>
      <c r="F842" s="70">
        <v>44549</v>
      </c>
      <c r="G842">
        <f>IFERROR(IF((F842-F841)&gt;1,(LARGE(F842:$F842,1)-LARGE(F$829:$F842,2))-1,""),"")</f>
        <v>1</v>
      </c>
    </row>
    <row r="843" spans="1:7">
      <c r="A843" s="65">
        <f>VLOOKUP(TradeSheet!A58,TypeIDs!B:C,2,FALSE)</f>
        <v>2679</v>
      </c>
      <c r="B843" t="s">
        <v>43998</v>
      </c>
      <c r="C843" t="s">
        <v>43999</v>
      </c>
      <c r="D843" t="s">
        <v>44000</v>
      </c>
      <c r="E843" t="s">
        <v>44001</v>
      </c>
      <c r="F843" t="s">
        <v>44009</v>
      </c>
      <c r="G843" t="s">
        <v>44008</v>
      </c>
    </row>
    <row r="844" spans="1:7">
      <c r="A844" s="65" t="str">
        <f>CONCATENATE(SwaggerURL,input057)</f>
        <v>https://esi.evetech.net/latest/markets/10000021/history/?datasource=tranquility&amp;type_id=2679</v>
      </c>
      <c r="B844">
        <v>499</v>
      </c>
      <c r="C844">
        <v>499</v>
      </c>
      <c r="D844">
        <v>3</v>
      </c>
      <c r="E844">
        <v>16188</v>
      </c>
      <c r="F844" s="70">
        <v>44536</v>
      </c>
      <c r="G844" t="str">
        <f>IFERROR(IF((F844-F843)&gt;1,(LARGE(F844:$F844,1)-LARGE(F$844:$F844,2))-1,""),"")</f>
        <v/>
      </c>
    </row>
    <row r="845" spans="1:7">
      <c r="A845" s="79" t="s">
        <v>44018</v>
      </c>
      <c r="B845">
        <v>499</v>
      </c>
      <c r="C845">
        <v>499</v>
      </c>
      <c r="D845">
        <v>2</v>
      </c>
      <c r="E845">
        <v>1596</v>
      </c>
      <c r="F845" s="70">
        <v>44537</v>
      </c>
      <c r="G845" t="str">
        <f>IFERROR(IF((F845-F844)&gt;1,(LARGE(F845:$F845,1)-LARGE(F$844:$F845,2))-1,""),"")</f>
        <v/>
      </c>
    </row>
    <row r="846" spans="1:7">
      <c r="A846" s="78">
        <f>MAX(0,(CurrentDate-2)-F857)</f>
        <v>1</v>
      </c>
      <c r="B846">
        <v>499</v>
      </c>
      <c r="C846">
        <v>499</v>
      </c>
      <c r="D846">
        <v>1</v>
      </c>
      <c r="E846">
        <v>15000</v>
      </c>
      <c r="F846" s="70">
        <v>44538</v>
      </c>
      <c r="G846" t="str">
        <f>IFERROR(IF((F846-F845)&gt;1,(LARGE(F846:$F846,1)-LARGE(F$844:$F846,2))-1,""),"")</f>
        <v/>
      </c>
    </row>
    <row r="847" spans="1:7">
      <c r="A847" s="79" t="s">
        <v>44026</v>
      </c>
      <c r="B847">
        <v>750</v>
      </c>
      <c r="C847">
        <v>750</v>
      </c>
      <c r="D847">
        <v>3</v>
      </c>
      <c r="E847">
        <v>6200</v>
      </c>
      <c r="F847" s="70">
        <v>44539</v>
      </c>
      <c r="G847" t="str">
        <f>IFERROR(IF((F847-F846)&gt;1,(LARGE(F847:$F847,1)-LARGE(F$844:$F847,2))-1,""),"")</f>
        <v/>
      </c>
    </row>
    <row r="848" spans="1:7">
      <c r="A848" s="83">
        <f>SUM(G851:G857)</f>
        <v>5</v>
      </c>
      <c r="B848">
        <v>750</v>
      </c>
      <c r="C848">
        <v>750</v>
      </c>
      <c r="D848">
        <v>3</v>
      </c>
      <c r="E848">
        <v>12000</v>
      </c>
      <c r="F848" s="70">
        <v>44540</v>
      </c>
      <c r="G848" t="str">
        <f>IFERROR(IF((F848-F847)&gt;1,(LARGE(F848:$F848,1)-LARGE(F$844:$F848,2))-1,""),"")</f>
        <v/>
      </c>
    </row>
    <row r="849" spans="1:7">
      <c r="A849" s="79" t="s">
        <v>44029</v>
      </c>
      <c r="B849">
        <v>750</v>
      </c>
      <c r="C849">
        <v>750</v>
      </c>
      <c r="D849">
        <v>2</v>
      </c>
      <c r="E849">
        <v>7830</v>
      </c>
      <c r="F849" s="70">
        <v>44541</v>
      </c>
      <c r="G849" t="str">
        <f>IFERROR(IF((F849-F848)&gt;1,(LARGE(F849:$F849,1)-LARGE(F$844:$F849,2))-1,""),"")</f>
        <v/>
      </c>
    </row>
    <row r="850" spans="1:7">
      <c r="A850" s="77">
        <f>(SUM(E844:E857)/(A846+14)+SUM(G844:G857))</f>
        <v>11727.533333333333</v>
      </c>
      <c r="B850">
        <v>750</v>
      </c>
      <c r="C850">
        <v>750</v>
      </c>
      <c r="D850">
        <v>2</v>
      </c>
      <c r="E850">
        <v>9776</v>
      </c>
      <c r="F850" s="70">
        <v>44542</v>
      </c>
      <c r="G850" t="str">
        <f>IFERROR(IF((F850-F849)&gt;1,(LARGE(F850:$F850,1)-LARGE(F$844:$F850,2))-1,""),"")</f>
        <v/>
      </c>
    </row>
    <row r="851" spans="1:7">
      <c r="A851" s="77">
        <f>(SUM(E851:E857)/(A846+7)+SUM(G851:G857))</f>
        <v>13411</v>
      </c>
      <c r="B851">
        <v>795</v>
      </c>
      <c r="C851">
        <v>795</v>
      </c>
      <c r="D851">
        <v>1</v>
      </c>
      <c r="E851">
        <v>1000</v>
      </c>
      <c r="F851" s="70">
        <v>44543</v>
      </c>
      <c r="G851" t="str">
        <f>IFERROR(IF((F851-F850)&gt;1,(LARGE(F851:$F851,1)-LARGE(F$844:$F851,2))-1,""),"")</f>
        <v/>
      </c>
    </row>
    <row r="852" spans="1:7">
      <c r="A852" s="79" t="s">
        <v>44028</v>
      </c>
      <c r="B852">
        <v>795</v>
      </c>
      <c r="C852">
        <v>795</v>
      </c>
      <c r="D852">
        <v>1</v>
      </c>
      <c r="E852">
        <v>15000</v>
      </c>
      <c r="F852" s="70">
        <v>44544</v>
      </c>
      <c r="G852" t="str">
        <f>IFERROR(IF((F852-F851)&gt;1,(LARGE(F852:$F852,1)-LARGE(F$844:$F852,2))-1,""),"")</f>
        <v/>
      </c>
    </row>
    <row r="853" spans="1:7">
      <c r="A853" s="77">
        <f>(SUM(D854:D857)/(A846+4)+SUM(G854:G857))</f>
        <v>6.4</v>
      </c>
      <c r="B853">
        <v>750</v>
      </c>
      <c r="C853">
        <v>750</v>
      </c>
      <c r="D853">
        <v>4</v>
      </c>
      <c r="E853">
        <v>7372</v>
      </c>
      <c r="F853" s="70">
        <v>44545</v>
      </c>
      <c r="G853" t="str">
        <f>IFERROR(IF((F853-F852)&gt;1,(LARGE(F853:$F853,1)-LARGE(F$844:$F853,2))-1,""),"")</f>
        <v/>
      </c>
    </row>
    <row r="854" spans="1:7">
      <c r="A854" s="85" t="s">
        <v>44027</v>
      </c>
      <c r="B854">
        <v>750</v>
      </c>
      <c r="C854">
        <v>750</v>
      </c>
      <c r="D854">
        <v>1</v>
      </c>
      <c r="E854">
        <v>2000</v>
      </c>
      <c r="F854" s="70">
        <v>44547</v>
      </c>
      <c r="G854">
        <f>IFERROR(IF((F854-F853)&gt;1,(LARGE(F854:$F854,1)-LARGE(F$844:$F854,2))-1,""),"")</f>
        <v>1</v>
      </c>
    </row>
    <row r="855" spans="1:7">
      <c r="A855" s="86">
        <f>IF(A848+A846&gt;10,"Look Up",AVERAGE(A850,A851))</f>
        <v>12569.266666666666</v>
      </c>
      <c r="B855">
        <v>555</v>
      </c>
      <c r="C855">
        <v>555</v>
      </c>
      <c r="D855">
        <v>2</v>
      </c>
      <c r="E855">
        <v>1092</v>
      </c>
      <c r="F855" s="70">
        <v>44549</v>
      </c>
      <c r="G855">
        <f>IFERROR(IF((F855-F854)&gt;1,(LARGE(F855:$F855,1)-LARGE(F$844:$F855,2))-1,""),"")</f>
        <v>1</v>
      </c>
    </row>
    <row r="856" spans="1:7">
      <c r="A856" s="85" t="s">
        <v>44030</v>
      </c>
      <c r="B856">
        <v>799.9</v>
      </c>
      <c r="C856">
        <v>799.9</v>
      </c>
      <c r="D856">
        <v>2</v>
      </c>
      <c r="E856">
        <v>65784</v>
      </c>
      <c r="F856" s="70">
        <v>44550</v>
      </c>
      <c r="G856" t="str">
        <f>IFERROR(IF((F856-F855)&gt;1,(LARGE(F856:$F856,1)-LARGE(F$844:$F856,2))-1,""),"")</f>
        <v/>
      </c>
    </row>
    <row r="857" spans="1:7">
      <c r="A857" s="88"/>
      <c r="B857">
        <v>696.9</v>
      </c>
      <c r="C857">
        <v>696.9</v>
      </c>
      <c r="D857">
        <v>2</v>
      </c>
      <c r="E857">
        <v>15000</v>
      </c>
      <c r="F857" s="70">
        <v>44554</v>
      </c>
      <c r="G857">
        <f>IFERROR(IF((F857-F856)&gt;1,(LARGE(F857:$F857,1)-LARGE(F$844:$F857,2))-1,""),"")</f>
        <v>3</v>
      </c>
    </row>
    <row r="858" spans="1:7">
      <c r="A858" s="65">
        <f>VLOOKUP(TradeSheet!A59,TypeIDs!B:C,2,FALSE)</f>
        <v>24493</v>
      </c>
      <c r="B858" t="s">
        <v>43998</v>
      </c>
      <c r="C858" t="s">
        <v>43999</v>
      </c>
      <c r="D858" t="s">
        <v>44000</v>
      </c>
      <c r="E858" t="s">
        <v>44001</v>
      </c>
      <c r="F858" t="s">
        <v>44009</v>
      </c>
      <c r="G858" t="s">
        <v>44008</v>
      </c>
    </row>
    <row r="859" spans="1:7">
      <c r="A859" s="65" t="str">
        <f>CONCATENATE(SwaggerURL,input058)</f>
        <v>https://esi.evetech.net/latest/markets/10000021/history/?datasource=tranquility&amp;type_id=24493</v>
      </c>
      <c r="B859">
        <v>180</v>
      </c>
      <c r="C859">
        <v>180</v>
      </c>
      <c r="D859">
        <v>2</v>
      </c>
      <c r="E859">
        <v>3000</v>
      </c>
      <c r="F859" s="70">
        <v>44539</v>
      </c>
      <c r="G859" t="str">
        <f>IFERROR(IF((F859-F858)&gt;1,(LARGE(F859:$F859,1)-LARGE(F$859:$F859,2))-1,""),"")</f>
        <v/>
      </c>
    </row>
    <row r="860" spans="1:7">
      <c r="A860" s="79" t="s">
        <v>44018</v>
      </c>
      <c r="B860">
        <v>180</v>
      </c>
      <c r="C860">
        <v>180</v>
      </c>
      <c r="D860">
        <v>2</v>
      </c>
      <c r="E860">
        <v>7000</v>
      </c>
      <c r="F860" s="70">
        <v>44540</v>
      </c>
      <c r="G860" t="str">
        <f>IFERROR(IF((F860-F859)&gt;1,(LARGE(F860:$F860,1)-LARGE(F$859:$F860,2))-1,""),"")</f>
        <v/>
      </c>
    </row>
    <row r="861" spans="1:7">
      <c r="A861" s="78">
        <f>MAX(0,(CurrentDate-2)-F872)</f>
        <v>2</v>
      </c>
      <c r="B861">
        <v>180</v>
      </c>
      <c r="C861">
        <v>180</v>
      </c>
      <c r="D861">
        <v>2</v>
      </c>
      <c r="E861">
        <v>3000</v>
      </c>
      <c r="F861" s="70">
        <v>44541</v>
      </c>
      <c r="G861" t="str">
        <f>IFERROR(IF((F861-F860)&gt;1,(LARGE(F861:$F861,1)-LARGE(F$859:$F861,2))-1,""),"")</f>
        <v/>
      </c>
    </row>
    <row r="862" spans="1:7">
      <c r="A862" s="79" t="s">
        <v>44026</v>
      </c>
      <c r="B862">
        <v>180</v>
      </c>
      <c r="C862">
        <v>180</v>
      </c>
      <c r="D862">
        <v>7</v>
      </c>
      <c r="E862">
        <v>23260</v>
      </c>
      <c r="F862" s="70">
        <v>44542</v>
      </c>
      <c r="G862" t="str">
        <f>IFERROR(IF((F862-F861)&gt;1,(LARGE(F862:$F862,1)-LARGE(F$859:$F862,2))-1,""),"")</f>
        <v/>
      </c>
    </row>
    <row r="863" spans="1:7">
      <c r="A863" s="83">
        <f>SUM(G866:G872)</f>
        <v>1</v>
      </c>
      <c r="B863">
        <v>180</v>
      </c>
      <c r="C863">
        <v>180</v>
      </c>
      <c r="D863">
        <v>3</v>
      </c>
      <c r="E863">
        <v>28000</v>
      </c>
      <c r="F863" s="70">
        <v>44543</v>
      </c>
      <c r="G863" t="str">
        <f>IFERROR(IF((F863-F862)&gt;1,(LARGE(F863:$F863,1)-LARGE(F$859:$F863,2))-1,""),"")</f>
        <v/>
      </c>
    </row>
    <row r="864" spans="1:7">
      <c r="A864" s="79" t="s">
        <v>44029</v>
      </c>
      <c r="B864">
        <v>180</v>
      </c>
      <c r="C864">
        <v>180</v>
      </c>
      <c r="D864">
        <v>1</v>
      </c>
      <c r="E864">
        <v>10000</v>
      </c>
      <c r="F864" s="70">
        <v>44544</v>
      </c>
      <c r="G864" t="str">
        <f>IFERROR(IF((F864-F863)&gt;1,(LARGE(F864:$F864,1)-LARGE(F$859:$F864,2))-1,""),"")</f>
        <v/>
      </c>
    </row>
    <row r="865" spans="1:7">
      <c r="A865" s="77">
        <f>(SUM(E859:E872)/(A861+14)+SUM(G859:G872))</f>
        <v>27307.375</v>
      </c>
      <c r="B865">
        <v>180</v>
      </c>
      <c r="C865">
        <v>180</v>
      </c>
      <c r="D865">
        <v>2</v>
      </c>
      <c r="E865">
        <v>60000</v>
      </c>
      <c r="F865" s="70">
        <v>44545</v>
      </c>
      <c r="G865" t="str">
        <f>IFERROR(IF((F865-F864)&gt;1,(LARGE(F865:$F865,1)-LARGE(F$859:$F865,2))-1,""),"")</f>
        <v/>
      </c>
    </row>
    <row r="866" spans="1:7">
      <c r="A866" s="77">
        <f>(SUM(E866:E872)/(A861+7)+SUM(G866:G872))</f>
        <v>33627.888888888891</v>
      </c>
      <c r="B866">
        <v>180</v>
      </c>
      <c r="C866">
        <v>180</v>
      </c>
      <c r="D866">
        <v>2</v>
      </c>
      <c r="E866">
        <v>13000</v>
      </c>
      <c r="F866" s="70">
        <v>44546</v>
      </c>
      <c r="G866" t="str">
        <f>IFERROR(IF((F866-F865)&gt;1,(LARGE(F866:$F866,1)-LARGE(F$859:$F866,2))-1,""),"")</f>
        <v/>
      </c>
    </row>
    <row r="867" spans="1:7">
      <c r="A867" s="79" t="s">
        <v>44028</v>
      </c>
      <c r="B867">
        <v>180</v>
      </c>
      <c r="C867">
        <v>180</v>
      </c>
      <c r="D867">
        <v>4</v>
      </c>
      <c r="E867">
        <v>41000</v>
      </c>
      <c r="F867" s="70">
        <v>44547</v>
      </c>
      <c r="G867" t="str">
        <f>IFERROR(IF((F867-F866)&gt;1,(LARGE(F867:$F867,1)-LARGE(F$859:$F867,2))-1,""),"")</f>
        <v/>
      </c>
    </row>
    <row r="868" spans="1:7">
      <c r="A868" s="77">
        <f>(SUM(D869:D872)/(A861+4)+SUM(G869:G872))</f>
        <v>3</v>
      </c>
      <c r="B868">
        <v>180</v>
      </c>
      <c r="C868">
        <v>180</v>
      </c>
      <c r="D868">
        <v>3</v>
      </c>
      <c r="E868">
        <v>12000</v>
      </c>
      <c r="F868" s="70">
        <v>44548</v>
      </c>
      <c r="G868" t="str">
        <f>IFERROR(IF((F868-F867)&gt;1,(LARGE(F868:$F868,1)-LARGE(F$859:$F868,2))-1,""),"")</f>
        <v/>
      </c>
    </row>
    <row r="869" spans="1:7">
      <c r="A869" s="85" t="s">
        <v>44027</v>
      </c>
      <c r="B869">
        <v>180</v>
      </c>
      <c r="C869">
        <v>180</v>
      </c>
      <c r="D869">
        <v>5</v>
      </c>
      <c r="E869">
        <v>8142</v>
      </c>
      <c r="F869" s="70">
        <v>44549</v>
      </c>
      <c r="G869" t="str">
        <f>IFERROR(IF((F869-F868)&gt;1,(LARGE(F869:$F869,1)-LARGE(F$859:$F869,2))-1,""),"")</f>
        <v/>
      </c>
    </row>
    <row r="870" spans="1:7">
      <c r="A870" s="86">
        <f>IF(A863+A861&gt;10,"Look Up",AVERAGE(A865,A866))</f>
        <v>30467.631944444445</v>
      </c>
      <c r="B870">
        <v>180</v>
      </c>
      <c r="C870">
        <v>180</v>
      </c>
      <c r="D870">
        <v>2</v>
      </c>
      <c r="E870">
        <v>200000</v>
      </c>
      <c r="F870" s="70">
        <v>44550</v>
      </c>
      <c r="G870" t="str">
        <f>IFERROR(IF((F870-F869)&gt;1,(LARGE(F870:$F870,1)-LARGE(F$859:$F870,2))-1,""),"")</f>
        <v/>
      </c>
    </row>
    <row r="871" spans="1:7">
      <c r="A871" s="85" t="s">
        <v>44030</v>
      </c>
      <c r="B871">
        <v>180</v>
      </c>
      <c r="C871">
        <v>180</v>
      </c>
      <c r="D871">
        <v>4</v>
      </c>
      <c r="E871">
        <v>28000</v>
      </c>
      <c r="F871" s="70">
        <v>44552</v>
      </c>
      <c r="G871">
        <f>IFERROR(IF((F871-F870)&gt;1,(LARGE(F871:$F871,1)-LARGE(F$859:$F871,2))-1,""),"")</f>
        <v>1</v>
      </c>
    </row>
    <row r="872" spans="1:7">
      <c r="A872" s="88"/>
      <c r="B872">
        <v>180</v>
      </c>
      <c r="C872">
        <v>180</v>
      </c>
      <c r="D872">
        <v>1</v>
      </c>
      <c r="E872">
        <v>500</v>
      </c>
      <c r="F872" s="70">
        <v>44553</v>
      </c>
      <c r="G872" t="str">
        <f>IFERROR(IF((F872-F871)&gt;1,(LARGE(F872:$F872,1)-LARGE(F$859:$F872,2))-1,""),"")</f>
        <v/>
      </c>
    </row>
    <row r="873" spans="1:7">
      <c r="A873" s="65">
        <f>VLOOKUP(TradeSheet!A60,TypeIDs!B:C,2,FALSE)</f>
        <v>24492</v>
      </c>
      <c r="B873" t="s">
        <v>43998</v>
      </c>
      <c r="C873" t="s">
        <v>43999</v>
      </c>
      <c r="D873" t="s">
        <v>44000</v>
      </c>
      <c r="E873" t="s">
        <v>44001</v>
      </c>
      <c r="F873" t="s">
        <v>44009</v>
      </c>
      <c r="G873" t="s">
        <v>44008</v>
      </c>
    </row>
    <row r="874" spans="1:7">
      <c r="A874" s="65" t="str">
        <f>CONCATENATE(SwaggerURL,input059)</f>
        <v>https://esi.evetech.net/latest/markets/10000021/history/?datasource=tranquility&amp;type_id=24492</v>
      </c>
      <c r="B874">
        <v>368</v>
      </c>
      <c r="C874">
        <v>368</v>
      </c>
      <c r="D874">
        <v>1</v>
      </c>
      <c r="E874">
        <v>700</v>
      </c>
      <c r="F874" s="70">
        <v>44536</v>
      </c>
      <c r="G874" t="str">
        <f>IFERROR(IF((F874-F873)&gt;1,(LARGE(F874:$F874,1)-LARGE(F$874:$F874,2))-1,""),"")</f>
        <v/>
      </c>
    </row>
    <row r="875" spans="1:7">
      <c r="A875" s="79" t="s">
        <v>44018</v>
      </c>
      <c r="B875">
        <v>250</v>
      </c>
      <c r="C875">
        <v>250</v>
      </c>
      <c r="D875">
        <v>1</v>
      </c>
      <c r="E875">
        <v>1200</v>
      </c>
      <c r="F875" s="70">
        <v>44537</v>
      </c>
      <c r="G875" t="str">
        <f>IFERROR(IF((F875-F874)&gt;1,(LARGE(F875:$F875,1)-LARGE(F$874:$F875,2))-1,""),"")</f>
        <v/>
      </c>
    </row>
    <row r="876" spans="1:7">
      <c r="A876" s="78">
        <f>MAX(0,(CurrentDate-2)-F887)</f>
        <v>1</v>
      </c>
      <c r="B876">
        <v>368</v>
      </c>
      <c r="C876">
        <v>368</v>
      </c>
      <c r="D876">
        <v>3</v>
      </c>
      <c r="E876">
        <v>15244</v>
      </c>
      <c r="F876" s="70">
        <v>44538</v>
      </c>
      <c r="G876" t="str">
        <f>IFERROR(IF((F876-F875)&gt;1,(LARGE(F876:$F876,1)-LARGE(F$874:$F876,2))-1,""),"")</f>
        <v/>
      </c>
    </row>
    <row r="877" spans="1:7">
      <c r="A877" s="79" t="s">
        <v>44026</v>
      </c>
      <c r="B877">
        <v>368</v>
      </c>
      <c r="C877">
        <v>368</v>
      </c>
      <c r="D877">
        <v>2</v>
      </c>
      <c r="E877">
        <v>4500</v>
      </c>
      <c r="F877" s="70">
        <v>44540</v>
      </c>
      <c r="G877">
        <f>IFERROR(IF((F877-F876)&gt;1,(LARGE(F877:$F877,1)-LARGE(F$874:$F877,2))-1,""),"")</f>
        <v>1</v>
      </c>
    </row>
    <row r="878" spans="1:7">
      <c r="A878" s="83">
        <f>SUM(G881:G887)</f>
        <v>4</v>
      </c>
      <c r="B878">
        <v>368</v>
      </c>
      <c r="C878">
        <v>368</v>
      </c>
      <c r="D878">
        <v>1</v>
      </c>
      <c r="E878">
        <v>2500</v>
      </c>
      <c r="F878" s="70">
        <v>44541</v>
      </c>
      <c r="G878" t="str">
        <f>IFERROR(IF((F878-F877)&gt;1,(LARGE(F878:$F878,1)-LARGE(F$874:$F878,2))-1,""),"")</f>
        <v/>
      </c>
    </row>
    <row r="879" spans="1:7">
      <c r="A879" s="79" t="s">
        <v>44029</v>
      </c>
      <c r="B879">
        <v>368</v>
      </c>
      <c r="C879">
        <v>368</v>
      </c>
      <c r="D879">
        <v>1</v>
      </c>
      <c r="E879">
        <v>3000</v>
      </c>
      <c r="F879" s="70">
        <v>44542</v>
      </c>
      <c r="G879" t="str">
        <f>IFERROR(IF((F879-F878)&gt;1,(LARGE(F879:$F879,1)-LARGE(F$874:$F879,2))-1,""),"")</f>
        <v/>
      </c>
    </row>
    <row r="880" spans="1:7">
      <c r="A880" s="77">
        <f>(SUM(E874:E887)/(A876+14)+SUM(G874:G887))</f>
        <v>3194.0666666666666</v>
      </c>
      <c r="B880">
        <v>365</v>
      </c>
      <c r="C880">
        <v>365</v>
      </c>
      <c r="D880">
        <v>2</v>
      </c>
      <c r="E880">
        <v>3600</v>
      </c>
      <c r="F880" s="70">
        <v>44543</v>
      </c>
      <c r="G880" t="str">
        <f>IFERROR(IF((F880-F879)&gt;1,(LARGE(F880:$F880,1)-LARGE(F$874:$F880,2))-1,""),"")</f>
        <v/>
      </c>
    </row>
    <row r="881" spans="1:7">
      <c r="A881" s="77">
        <f>(SUM(E881:E887)/(A876+7)+SUM(G881:G887))</f>
        <v>2140.5</v>
      </c>
      <c r="B881">
        <v>365</v>
      </c>
      <c r="C881">
        <v>365</v>
      </c>
      <c r="D881">
        <v>1</v>
      </c>
      <c r="E881">
        <v>3400</v>
      </c>
      <c r="F881" s="70">
        <v>44544</v>
      </c>
      <c r="G881" t="str">
        <f>IFERROR(IF((F881-F880)&gt;1,(LARGE(F881:$F881,1)-LARGE(F$874:$F881,2))-1,""),"")</f>
        <v/>
      </c>
    </row>
    <row r="882" spans="1:7">
      <c r="A882" s="79" t="s">
        <v>44028</v>
      </c>
      <c r="B882">
        <v>365</v>
      </c>
      <c r="C882">
        <v>365</v>
      </c>
      <c r="D882">
        <v>3</v>
      </c>
      <c r="E882">
        <v>4300</v>
      </c>
      <c r="F882" s="70">
        <v>44545</v>
      </c>
      <c r="G882" t="str">
        <f>IFERROR(IF((F882-F881)&gt;1,(LARGE(F882:$F882,1)-LARGE(F$874:$F882,2))-1,""),"")</f>
        <v/>
      </c>
    </row>
    <row r="883" spans="1:7">
      <c r="A883" s="77">
        <f>(SUM(D884:D887)/(A876+4)+SUM(G884:G887))</f>
        <v>3.8</v>
      </c>
      <c r="B883">
        <v>365</v>
      </c>
      <c r="C883">
        <v>365</v>
      </c>
      <c r="D883">
        <v>1</v>
      </c>
      <c r="E883">
        <v>2000</v>
      </c>
      <c r="F883" s="70">
        <v>44547</v>
      </c>
      <c r="G883">
        <f>IFERROR(IF((F883-F882)&gt;1,(LARGE(F883:$F883,1)-LARGE(F$874:$F883,2))-1,""),"")</f>
        <v>1</v>
      </c>
    </row>
    <row r="884" spans="1:7">
      <c r="A884" s="85" t="s">
        <v>44027</v>
      </c>
      <c r="B884">
        <v>365</v>
      </c>
      <c r="C884">
        <v>365</v>
      </c>
      <c r="D884">
        <v>1</v>
      </c>
      <c r="E884">
        <v>792</v>
      </c>
      <c r="F884" s="70">
        <v>44549</v>
      </c>
      <c r="G884">
        <f>IFERROR(IF((F884-F883)&gt;1,(LARGE(F884:$F884,1)-LARGE(F$874:$F884,2))-1,""),"")</f>
        <v>1</v>
      </c>
    </row>
    <row r="885" spans="1:7">
      <c r="A885" s="86">
        <f>IF(A878+A876&gt;10,"Look Up",AVERAGE(A880,A881))</f>
        <v>2667.2833333333333</v>
      </c>
      <c r="B885">
        <v>365</v>
      </c>
      <c r="C885">
        <v>365</v>
      </c>
      <c r="D885">
        <v>1</v>
      </c>
      <c r="E885">
        <v>100</v>
      </c>
      <c r="F885" s="70">
        <v>44551</v>
      </c>
      <c r="G885">
        <f>IFERROR(IF((F885-F884)&gt;1,(LARGE(F885:$F885,1)-LARGE(F$874:$F885,2))-1,""),"")</f>
        <v>1</v>
      </c>
    </row>
    <row r="886" spans="1:7">
      <c r="A886" s="85" t="s">
        <v>44030</v>
      </c>
      <c r="B886">
        <v>365</v>
      </c>
      <c r="C886">
        <v>365</v>
      </c>
      <c r="D886">
        <v>1</v>
      </c>
      <c r="E886">
        <v>1500</v>
      </c>
      <c r="F886" s="70">
        <v>44552</v>
      </c>
      <c r="G886" t="str">
        <f>IFERROR(IF((F886-F885)&gt;1,(LARGE(F886:$F886,1)-LARGE(F$874:$F886,2))-1,""),"")</f>
        <v/>
      </c>
    </row>
    <row r="887" spans="1:7">
      <c r="A887" s="88"/>
      <c r="B887">
        <v>365</v>
      </c>
      <c r="C887">
        <v>365</v>
      </c>
      <c r="D887">
        <v>1</v>
      </c>
      <c r="E887">
        <v>5000</v>
      </c>
      <c r="F887" s="70">
        <v>44554</v>
      </c>
      <c r="G887">
        <f>IFERROR(IF((F887-F886)&gt;1,(LARGE(F887:$F887,1)-LARGE(F$874:$F887,2))-1,""),"")</f>
        <v>1</v>
      </c>
    </row>
    <row r="888" spans="1:7">
      <c r="A888" s="65">
        <f>VLOOKUP(TradeSheet!A61,TypeIDs!B:C,2,FALSE)</f>
        <v>27405</v>
      </c>
      <c r="B888" t="s">
        <v>43998</v>
      </c>
      <c r="C888" t="s">
        <v>43999</v>
      </c>
      <c r="D888" t="s">
        <v>44000</v>
      </c>
      <c r="E888" t="s">
        <v>44001</v>
      </c>
      <c r="F888" t="s">
        <v>44009</v>
      </c>
      <c r="G888" t="s">
        <v>44008</v>
      </c>
    </row>
    <row r="889" spans="1:7">
      <c r="A889" s="65" t="str">
        <f>CONCATENATE(SwaggerURL,input060)</f>
        <v>https://esi.evetech.net/latest/markets/10000021/history/?datasource=tranquility&amp;type_id=27405</v>
      </c>
      <c r="B889">
        <v>1416</v>
      </c>
      <c r="C889">
        <v>1416</v>
      </c>
      <c r="D889">
        <v>4</v>
      </c>
      <c r="E889">
        <v>5830</v>
      </c>
      <c r="F889" s="70">
        <v>44510</v>
      </c>
      <c r="G889" t="str">
        <f>IFERROR(IF((F889-F888)&gt;1,(LARGE(F889:$F889,1)-LARGE(F$889:$F889,2))-1,""),"")</f>
        <v/>
      </c>
    </row>
    <row r="890" spans="1:7">
      <c r="A890" s="79" t="s">
        <v>44018</v>
      </c>
      <c r="B890">
        <v>1416</v>
      </c>
      <c r="C890">
        <v>1416</v>
      </c>
      <c r="D890">
        <v>1</v>
      </c>
      <c r="E890">
        <v>600</v>
      </c>
      <c r="F890" s="70">
        <v>44511</v>
      </c>
      <c r="G890" t="str">
        <f>IFERROR(IF((F890-F889)&gt;1,(LARGE(F890:$F890,1)-LARGE(F$889:$F890,2))-1,""),"")</f>
        <v/>
      </c>
    </row>
    <row r="891" spans="1:7">
      <c r="A891" s="78">
        <f>MAX(0,(CurrentDate-2)-F902)</f>
        <v>6</v>
      </c>
      <c r="B891">
        <v>1416</v>
      </c>
      <c r="C891">
        <v>1416</v>
      </c>
      <c r="D891">
        <v>3</v>
      </c>
      <c r="E891">
        <v>5808</v>
      </c>
      <c r="F891" s="70">
        <v>44512</v>
      </c>
      <c r="G891" t="str">
        <f>IFERROR(IF((F891-F890)&gt;1,(LARGE(F891:$F891,1)-LARGE(F$889:$F891,2))-1,""),"")</f>
        <v/>
      </c>
    </row>
    <row r="892" spans="1:7">
      <c r="A892" s="79" t="s">
        <v>44026</v>
      </c>
      <c r="B892">
        <v>1416</v>
      </c>
      <c r="C892">
        <v>1416</v>
      </c>
      <c r="D892">
        <v>3</v>
      </c>
      <c r="E892">
        <v>5246</v>
      </c>
      <c r="F892" s="70">
        <v>44513</v>
      </c>
      <c r="G892" t="str">
        <f>IFERROR(IF((F892-F891)&gt;1,(LARGE(F892:$F892,1)-LARGE(F$889:$F892,2))-1,""),"")</f>
        <v/>
      </c>
    </row>
    <row r="893" spans="1:7">
      <c r="A893" s="83">
        <f>SUM(G896:G902)</f>
        <v>20</v>
      </c>
      <c r="B893">
        <v>1413</v>
      </c>
      <c r="C893">
        <v>1413</v>
      </c>
      <c r="D893">
        <v>1</v>
      </c>
      <c r="E893">
        <v>2000</v>
      </c>
      <c r="F893" s="70">
        <v>44520</v>
      </c>
      <c r="G893">
        <f>IFERROR(IF((F893-F892)&gt;1,(LARGE(F893:$F893,1)-LARGE(F$889:$F893,2))-1,""),"")</f>
        <v>6</v>
      </c>
    </row>
    <row r="894" spans="1:7">
      <c r="A894" s="79" t="s">
        <v>44029</v>
      </c>
      <c r="B894">
        <v>1413.5</v>
      </c>
      <c r="C894">
        <v>1413</v>
      </c>
      <c r="D894">
        <v>3</v>
      </c>
      <c r="E894">
        <v>5000</v>
      </c>
      <c r="F894" s="70">
        <v>44521</v>
      </c>
      <c r="G894" t="str">
        <f>IFERROR(IF((F894-F893)&gt;1,(LARGE(F894:$F894,1)-LARGE(F$889:$F894,2))-1,""),"")</f>
        <v/>
      </c>
    </row>
    <row r="895" spans="1:7">
      <c r="A895" s="77">
        <f>(SUM(E889:E902)/(A891+14)+SUM(G889:G902))</f>
        <v>2359.8000000000002</v>
      </c>
      <c r="B895">
        <v>1414</v>
      </c>
      <c r="C895">
        <v>1414</v>
      </c>
      <c r="D895">
        <v>1</v>
      </c>
      <c r="E895">
        <v>1500</v>
      </c>
      <c r="F895" s="70">
        <v>44522</v>
      </c>
      <c r="G895" t="str">
        <f>IFERROR(IF((F895-F894)&gt;1,(LARGE(F895:$F895,1)-LARGE(F$889:$F895,2))-1,""),"")</f>
        <v/>
      </c>
    </row>
    <row r="896" spans="1:7">
      <c r="A896" s="77">
        <f>(SUM(E896:E902)/(A891+7)+SUM(G896:G902))</f>
        <v>1611.6923076923076</v>
      </c>
      <c r="B896">
        <v>1414</v>
      </c>
      <c r="C896">
        <v>1414</v>
      </c>
      <c r="D896">
        <v>3</v>
      </c>
      <c r="E896">
        <v>6000</v>
      </c>
      <c r="F896" s="70">
        <v>44529</v>
      </c>
      <c r="G896">
        <f>IFERROR(IF((F896-F895)&gt;1,(LARGE(F896:$F896,1)-LARGE(F$889:$F896,2))-1,""),"")</f>
        <v>6</v>
      </c>
    </row>
    <row r="897" spans="1:7">
      <c r="A897" s="79" t="s">
        <v>44028</v>
      </c>
      <c r="B897">
        <v>1413</v>
      </c>
      <c r="C897">
        <v>1413</v>
      </c>
      <c r="D897">
        <v>1</v>
      </c>
      <c r="E897">
        <v>300</v>
      </c>
      <c r="F897" s="70">
        <v>44533</v>
      </c>
      <c r="G897">
        <f>IFERROR(IF((F897-F896)&gt;1,(LARGE(F897:$F897,1)-LARGE(F$889:$F897,2))-1,""),"")</f>
        <v>3</v>
      </c>
    </row>
    <row r="898" spans="1:7">
      <c r="A898" s="77">
        <f>(SUM(D899:D902)/(A891+4)+SUM(G899:G902))</f>
        <v>8.6999999999999993</v>
      </c>
      <c r="B898">
        <v>1412</v>
      </c>
      <c r="C898">
        <v>1412</v>
      </c>
      <c r="D898">
        <v>2</v>
      </c>
      <c r="E898">
        <v>1500</v>
      </c>
      <c r="F898" s="70">
        <v>44537</v>
      </c>
      <c r="G898">
        <f>IFERROR(IF((F898-F897)&gt;1,(LARGE(F898:$F898,1)-LARGE(F$889:$F898,2))-1,""),"")</f>
        <v>3</v>
      </c>
    </row>
    <row r="899" spans="1:7">
      <c r="A899" s="85" t="s">
        <v>44027</v>
      </c>
      <c r="B899">
        <v>1415</v>
      </c>
      <c r="C899">
        <v>1415</v>
      </c>
      <c r="D899">
        <v>2</v>
      </c>
      <c r="E899">
        <v>8000</v>
      </c>
      <c r="F899" s="70">
        <v>44543</v>
      </c>
      <c r="G899">
        <f>IFERROR(IF((F899-F898)&gt;1,(LARGE(F899:$F899,1)-LARGE(F$889:$F899,2))-1,""),"")</f>
        <v>5</v>
      </c>
    </row>
    <row r="900" spans="1:7">
      <c r="A900" s="86" t="str">
        <f>IF(A893+A891&gt;10,"Look Up",AVERAGE(A895,A896))</f>
        <v>Look Up</v>
      </c>
      <c r="B900">
        <v>1415</v>
      </c>
      <c r="C900">
        <v>1415</v>
      </c>
      <c r="D900">
        <v>1</v>
      </c>
      <c r="E900">
        <v>500</v>
      </c>
      <c r="F900" s="70">
        <v>44545</v>
      </c>
      <c r="G900">
        <f>IFERROR(IF((F900-F899)&gt;1,(LARGE(F900:$F900,1)-LARGE(F$889:$F900,2))-1,""),"")</f>
        <v>1</v>
      </c>
    </row>
    <row r="901" spans="1:7">
      <c r="A901" s="85" t="s">
        <v>44030</v>
      </c>
      <c r="B901">
        <v>1415</v>
      </c>
      <c r="C901">
        <v>1415</v>
      </c>
      <c r="D901">
        <v>3</v>
      </c>
      <c r="E901">
        <v>3600</v>
      </c>
      <c r="F901" s="70">
        <v>44547</v>
      </c>
      <c r="G901">
        <f>IFERROR(IF((F901-F900)&gt;1,(LARGE(F901:$F901,1)-LARGE(F$889:$F901,2))-1,""),"")</f>
        <v>1</v>
      </c>
    </row>
    <row r="902" spans="1:7">
      <c r="A902" s="88"/>
      <c r="B902">
        <v>1415</v>
      </c>
      <c r="C902">
        <v>1415</v>
      </c>
      <c r="D902">
        <v>1</v>
      </c>
      <c r="E902">
        <v>792</v>
      </c>
      <c r="F902" s="70">
        <v>44549</v>
      </c>
      <c r="G902">
        <f>IFERROR(IF((F902-F901)&gt;1,(LARGE(F902:$F902,1)-LARGE(F$889:$F902,2))-1,""),"")</f>
        <v>1</v>
      </c>
    </row>
    <row r="903" spans="1:7">
      <c r="A903" s="65">
        <f>VLOOKUP(TradeSheet!A62,TypeIDs!B:C,2,FALSE)</f>
        <v>27419</v>
      </c>
      <c r="B903" t="s">
        <v>43998</v>
      </c>
      <c r="C903" t="s">
        <v>43999</v>
      </c>
      <c r="D903" t="s">
        <v>44000</v>
      </c>
      <c r="E903" t="s">
        <v>44001</v>
      </c>
      <c r="F903" t="s">
        <v>44009</v>
      </c>
      <c r="G903" t="s">
        <v>44008</v>
      </c>
    </row>
    <row r="904" spans="1:7">
      <c r="A904" s="65" t="str">
        <f>CONCATENATE(SwaggerURL,input061)</f>
        <v>https://esi.evetech.net/latest/markets/10000021/history/?datasource=tranquility&amp;type_id=27419</v>
      </c>
      <c r="B904">
        <v>1799</v>
      </c>
      <c r="C904">
        <v>1799</v>
      </c>
      <c r="D904">
        <v>1</v>
      </c>
      <c r="E904">
        <v>1500</v>
      </c>
      <c r="F904" s="70">
        <v>44522</v>
      </c>
      <c r="G904" t="str">
        <f>IFERROR(IF((F904-F903)&gt;1,(LARGE(F904:$F904,1)-LARGE(F$904:$F904,2))-1,""),"")</f>
        <v/>
      </c>
    </row>
    <row r="905" spans="1:7">
      <c r="A905" s="79" t="s">
        <v>44018</v>
      </c>
      <c r="B905">
        <v>1800</v>
      </c>
      <c r="C905">
        <v>1800</v>
      </c>
      <c r="D905">
        <v>1</v>
      </c>
      <c r="E905">
        <v>1330</v>
      </c>
      <c r="F905" s="70">
        <v>44525</v>
      </c>
      <c r="G905">
        <f>IFERROR(IF((F905-F904)&gt;1,(LARGE(F905:$F905,1)-LARGE(F$904:$F905,2))-1,""),"")</f>
        <v>2</v>
      </c>
    </row>
    <row r="906" spans="1:7">
      <c r="A906" s="78">
        <f>MAX(0,(CurrentDate-2)-F917)</f>
        <v>2</v>
      </c>
      <c r="B906">
        <v>1799</v>
      </c>
      <c r="C906">
        <v>1799</v>
      </c>
      <c r="D906">
        <v>5</v>
      </c>
      <c r="E906">
        <v>10000</v>
      </c>
      <c r="F906" s="70">
        <v>44529</v>
      </c>
      <c r="G906">
        <f>IFERROR(IF((F906-F905)&gt;1,(LARGE(F906:$F906,1)-LARGE(F$904:$F906,2))-1,""),"")</f>
        <v>3</v>
      </c>
    </row>
    <row r="907" spans="1:7">
      <c r="A907" s="79" t="s">
        <v>44026</v>
      </c>
      <c r="B907">
        <v>1799</v>
      </c>
      <c r="C907">
        <v>1799</v>
      </c>
      <c r="D907">
        <v>1</v>
      </c>
      <c r="E907">
        <v>5000</v>
      </c>
      <c r="F907" s="70">
        <v>44531</v>
      </c>
      <c r="G907">
        <f>IFERROR(IF((F907-F906)&gt;1,(LARGE(F907:$F907,1)-LARGE(F$904:$F907,2))-1,""),"")</f>
        <v>1</v>
      </c>
    </row>
    <row r="908" spans="1:7">
      <c r="A908" s="83">
        <f>SUM(G911:G917)</f>
        <v>6</v>
      </c>
      <c r="B908">
        <v>1736</v>
      </c>
      <c r="C908">
        <v>1736</v>
      </c>
      <c r="D908">
        <v>2</v>
      </c>
      <c r="E908">
        <v>1500</v>
      </c>
      <c r="F908" s="70">
        <v>44537</v>
      </c>
      <c r="G908">
        <f>IFERROR(IF((F908-F907)&gt;1,(LARGE(F908:$F908,1)-LARGE(F$904:$F908,2))-1,""),"")</f>
        <v>5</v>
      </c>
    </row>
    <row r="909" spans="1:7">
      <c r="A909" s="79" t="s">
        <v>44029</v>
      </c>
      <c r="B909">
        <v>1736</v>
      </c>
      <c r="C909">
        <v>1736</v>
      </c>
      <c r="D909">
        <v>1</v>
      </c>
      <c r="E909">
        <v>1000</v>
      </c>
      <c r="F909" s="70">
        <v>44539</v>
      </c>
      <c r="G909">
        <f>IFERROR(IF((F909-F908)&gt;1,(LARGE(F909:$F909,1)-LARGE(F$904:$F909,2))-1,""),"")</f>
        <v>1</v>
      </c>
    </row>
    <row r="910" spans="1:7">
      <c r="A910" s="77">
        <f>(SUM(E904:E917)/(A906+14)+SUM(G904:G917))</f>
        <v>27476.75</v>
      </c>
      <c r="B910">
        <v>1750</v>
      </c>
      <c r="C910">
        <v>1750</v>
      </c>
      <c r="D910">
        <v>6</v>
      </c>
      <c r="E910">
        <v>31339</v>
      </c>
      <c r="F910" s="70">
        <v>44540</v>
      </c>
      <c r="G910" t="str">
        <f>IFERROR(IF((F910-F909)&gt;1,(LARGE(F910:$F910,1)-LARGE(F$904:$F910,2))-1,""),"")</f>
        <v/>
      </c>
    </row>
    <row r="911" spans="1:7">
      <c r="A911" s="77">
        <f>(SUM(E911:E917)/(A906+7)+SUM(G911:G917))</f>
        <v>43080.555555555555</v>
      </c>
      <c r="B911">
        <v>1744</v>
      </c>
      <c r="C911">
        <v>1744</v>
      </c>
      <c r="D911">
        <v>4</v>
      </c>
      <c r="E911">
        <v>37500</v>
      </c>
      <c r="F911" s="70">
        <v>44541</v>
      </c>
      <c r="G911" t="str">
        <f>IFERROR(IF((F911-F910)&gt;1,(LARGE(F911:$F911,1)-LARGE(F$904:$F911,2))-1,""),"")</f>
        <v/>
      </c>
    </row>
    <row r="912" spans="1:7">
      <c r="A912" s="79" t="s">
        <v>44028</v>
      </c>
      <c r="B912">
        <v>1750</v>
      </c>
      <c r="C912">
        <v>1750</v>
      </c>
      <c r="D912">
        <v>7</v>
      </c>
      <c r="E912">
        <v>82708</v>
      </c>
      <c r="F912" s="70">
        <v>44542</v>
      </c>
      <c r="G912" t="str">
        <f>IFERROR(IF((F912-F911)&gt;1,(LARGE(F912:$F912,1)-LARGE(F$904:$F912,2))-1,""),"")</f>
        <v/>
      </c>
    </row>
    <row r="913" spans="1:7">
      <c r="A913" s="77">
        <f>(SUM(D914:D917)/(A906+4)+SUM(G914:G917))</f>
        <v>8.1666666666666661</v>
      </c>
      <c r="B913">
        <v>1750</v>
      </c>
      <c r="C913">
        <v>1750</v>
      </c>
      <c r="D913">
        <v>3</v>
      </c>
      <c r="E913">
        <v>40000</v>
      </c>
      <c r="F913" s="70">
        <v>44543</v>
      </c>
      <c r="G913" t="str">
        <f>IFERROR(IF((F913-F912)&gt;1,(LARGE(F913:$F913,1)-LARGE(F$904:$F913,2))-1,""),"")</f>
        <v/>
      </c>
    </row>
    <row r="914" spans="1:7">
      <c r="A914" s="85" t="s">
        <v>44027</v>
      </c>
      <c r="B914">
        <v>1750</v>
      </c>
      <c r="C914">
        <v>1750</v>
      </c>
      <c r="D914">
        <v>1</v>
      </c>
      <c r="E914">
        <v>5780</v>
      </c>
      <c r="F914" s="70">
        <v>44544</v>
      </c>
      <c r="G914" t="str">
        <f>IFERROR(IF((F914-F913)&gt;1,(LARGE(F914:$F914,1)-LARGE(F$904:$F914,2))-1,""),"")</f>
        <v/>
      </c>
    </row>
    <row r="915" spans="1:7">
      <c r="A915" s="86">
        <f>IF(A908+A906&gt;10,"Look Up",AVERAGE(A910,A911))</f>
        <v>35278.652777777781</v>
      </c>
      <c r="B915">
        <v>1800</v>
      </c>
      <c r="C915">
        <v>1800</v>
      </c>
      <c r="D915">
        <v>7</v>
      </c>
      <c r="E915">
        <v>184000</v>
      </c>
      <c r="F915" s="70">
        <v>44545</v>
      </c>
      <c r="G915" t="str">
        <f>IFERROR(IF((F915-F914)&gt;1,(LARGE(F915:$F915,1)-LARGE(F$904:$F915,2))-1,""),"")</f>
        <v/>
      </c>
    </row>
    <row r="916" spans="1:7">
      <c r="A916" s="85" t="s">
        <v>44030</v>
      </c>
      <c r="B916">
        <v>1780</v>
      </c>
      <c r="C916">
        <v>1780</v>
      </c>
      <c r="D916">
        <v>2</v>
      </c>
      <c r="E916">
        <v>1792</v>
      </c>
      <c r="F916" s="70">
        <v>44549</v>
      </c>
      <c r="G916">
        <f>IFERROR(IF((F916-F915)&gt;1,(LARGE(F916:$F916,1)-LARGE(F$904:$F916,2))-1,""),"")</f>
        <v>3</v>
      </c>
    </row>
    <row r="917" spans="1:7">
      <c r="A917" s="88"/>
      <c r="B917">
        <v>1780</v>
      </c>
      <c r="C917">
        <v>1780</v>
      </c>
      <c r="D917">
        <v>3</v>
      </c>
      <c r="E917">
        <v>35891</v>
      </c>
      <c r="F917" s="70">
        <v>44553</v>
      </c>
      <c r="G917">
        <f>IFERROR(IF((F917-F916)&gt;1,(LARGE(F917:$F917,1)-LARGE(F$904:$F917,2))-1,""),"")</f>
        <v>3</v>
      </c>
    </row>
    <row r="918" spans="1:7">
      <c r="A918" s="65">
        <f>VLOOKUP(TradeSheet!A63,TypeIDs!B:C,2,FALSE)</f>
        <v>27401</v>
      </c>
      <c r="B918" t="s">
        <v>43998</v>
      </c>
      <c r="C918" t="s">
        <v>43999</v>
      </c>
      <c r="D918" t="s">
        <v>44000</v>
      </c>
      <c r="E918" t="s">
        <v>44001</v>
      </c>
      <c r="F918" t="s">
        <v>44009</v>
      </c>
      <c r="G918" t="s">
        <v>44008</v>
      </c>
    </row>
    <row r="919" spans="1:7">
      <c r="A919" s="65" t="str">
        <f>CONCATENATE(SwaggerURL,input062)</f>
        <v>https://esi.evetech.net/latest/markets/10000021/history/?datasource=tranquility&amp;type_id=27401</v>
      </c>
      <c r="B919">
        <v>1400</v>
      </c>
      <c r="C919">
        <v>1400</v>
      </c>
      <c r="D919">
        <v>2</v>
      </c>
      <c r="E919">
        <v>1980</v>
      </c>
      <c r="F919" s="70">
        <v>44499</v>
      </c>
      <c r="G919" t="str">
        <f>IFERROR(IF((F919-F918)&gt;1,(LARGE(F919:$F919,1)-LARGE(F$919:$F919,2))-1,""),"")</f>
        <v/>
      </c>
    </row>
    <row r="920" spans="1:7">
      <c r="A920" s="79" t="s">
        <v>44018</v>
      </c>
      <c r="B920">
        <v>1400</v>
      </c>
      <c r="C920">
        <v>1400</v>
      </c>
      <c r="D920">
        <v>1</v>
      </c>
      <c r="E920">
        <v>1500</v>
      </c>
      <c r="F920" s="70">
        <v>44503</v>
      </c>
      <c r="G920">
        <f>IFERROR(IF((F920-F919)&gt;1,(LARGE(F920:$F920,1)-LARGE(F$919:$F920,2))-1,""),"")</f>
        <v>3</v>
      </c>
    </row>
    <row r="921" spans="1:7">
      <c r="A921" s="78">
        <f>MAX(0,(CurrentDate-2)-F932)</f>
        <v>6</v>
      </c>
      <c r="B921">
        <v>1447</v>
      </c>
      <c r="C921">
        <v>1447</v>
      </c>
      <c r="D921">
        <v>2</v>
      </c>
      <c r="E921">
        <v>1972</v>
      </c>
      <c r="F921" s="70">
        <v>44504</v>
      </c>
      <c r="G921" t="str">
        <f>IFERROR(IF((F921-F920)&gt;1,(LARGE(F921:$F921,1)-LARGE(F$919:$F921,2))-1,""),"")</f>
        <v/>
      </c>
    </row>
    <row r="922" spans="1:7">
      <c r="A922" s="79" t="s">
        <v>44026</v>
      </c>
      <c r="B922">
        <v>1447</v>
      </c>
      <c r="C922">
        <v>1447</v>
      </c>
      <c r="D922">
        <v>1</v>
      </c>
      <c r="E922">
        <v>600</v>
      </c>
      <c r="F922" s="70">
        <v>44506</v>
      </c>
      <c r="G922">
        <f>IFERROR(IF((F922-F921)&gt;1,(LARGE(F922:$F922,1)-LARGE(F$919:$F922,2))-1,""),"")</f>
        <v>1</v>
      </c>
    </row>
    <row r="923" spans="1:7">
      <c r="A923" s="83">
        <f>SUM(G926:G932)</f>
        <v>31</v>
      </c>
      <c r="B923">
        <v>1447</v>
      </c>
      <c r="C923">
        <v>1447</v>
      </c>
      <c r="D923">
        <v>1</v>
      </c>
      <c r="E923">
        <v>2000</v>
      </c>
      <c r="F923" s="70">
        <v>44507</v>
      </c>
      <c r="G923" t="str">
        <f>IFERROR(IF((F923-F922)&gt;1,(LARGE(F923:$F923,1)-LARGE(F$919:$F923,2))-1,""),"")</f>
        <v/>
      </c>
    </row>
    <row r="924" spans="1:7">
      <c r="A924" s="79" t="s">
        <v>44029</v>
      </c>
      <c r="B924">
        <v>1447</v>
      </c>
      <c r="C924">
        <v>1447</v>
      </c>
      <c r="D924">
        <v>2</v>
      </c>
      <c r="E924">
        <v>30276</v>
      </c>
      <c r="F924" s="70">
        <v>44509</v>
      </c>
      <c r="G924">
        <f>IFERROR(IF((F924-F923)&gt;1,(LARGE(F924:$F924,1)-LARGE(F$919:$F924,2))-1,""),"")</f>
        <v>1</v>
      </c>
    </row>
    <row r="925" spans="1:7">
      <c r="A925" s="77">
        <f>(SUM(E919:E932)/(A921+14)+SUM(G919:G932))</f>
        <v>3273</v>
      </c>
      <c r="B925">
        <v>1447</v>
      </c>
      <c r="C925">
        <v>1447</v>
      </c>
      <c r="D925">
        <v>1</v>
      </c>
      <c r="E925">
        <v>600</v>
      </c>
      <c r="F925" s="70">
        <v>44511</v>
      </c>
      <c r="G925">
        <f>IFERROR(IF((F925-F924)&gt;1,(LARGE(F925:$F925,1)-LARGE(F$919:$F925,2))-1,""),"")</f>
        <v>1</v>
      </c>
    </row>
    <row r="926" spans="1:7">
      <c r="A926" s="77">
        <f>(SUM(E926:E932)/(A921+7)+SUM(G926:G932))</f>
        <v>2015</v>
      </c>
      <c r="B926">
        <v>1447</v>
      </c>
      <c r="C926">
        <v>1447</v>
      </c>
      <c r="D926">
        <v>1</v>
      </c>
      <c r="E926">
        <v>2000</v>
      </c>
      <c r="F926" s="70">
        <v>44514</v>
      </c>
      <c r="G926">
        <f>IFERROR(IF((F926-F925)&gt;1,(LARGE(F926:$F926,1)-LARGE(F$919:$F926,2))-1,""),"")</f>
        <v>2</v>
      </c>
    </row>
    <row r="927" spans="1:7">
      <c r="A927" s="79" t="s">
        <v>44028</v>
      </c>
      <c r="B927">
        <v>1446</v>
      </c>
      <c r="C927">
        <v>1446</v>
      </c>
      <c r="D927">
        <v>3</v>
      </c>
      <c r="E927">
        <v>7000</v>
      </c>
      <c r="F927" s="70">
        <v>44521</v>
      </c>
      <c r="G927">
        <f>IFERROR(IF((F927-F926)&gt;1,(LARGE(F927:$F927,1)-LARGE(F$919:$F927,2))-1,""),"")</f>
        <v>6</v>
      </c>
    </row>
    <row r="928" spans="1:7">
      <c r="A928" s="77">
        <f>(SUM(D929:D932)/(A921+4)+SUM(G929:G932))</f>
        <v>23.6</v>
      </c>
      <c r="B928">
        <v>1446</v>
      </c>
      <c r="C928">
        <v>1446</v>
      </c>
      <c r="D928">
        <v>1</v>
      </c>
      <c r="E928">
        <v>1500</v>
      </c>
      <c r="F928" s="70">
        <v>44522</v>
      </c>
      <c r="G928" t="str">
        <f>IFERROR(IF((F928-F927)&gt;1,(LARGE(F928:$F928,1)-LARGE(F$919:$F928,2))-1,""),"")</f>
        <v/>
      </c>
    </row>
    <row r="929" spans="1:7">
      <c r="A929" s="85" t="s">
        <v>44027</v>
      </c>
      <c r="B929">
        <v>1446</v>
      </c>
      <c r="C929">
        <v>1446</v>
      </c>
      <c r="D929">
        <v>2</v>
      </c>
      <c r="E929">
        <v>9000</v>
      </c>
      <c r="F929" s="70">
        <v>44527</v>
      </c>
      <c r="G929">
        <f>IFERROR(IF((F929-F928)&gt;1,(LARGE(F929:$F929,1)-LARGE(F$919:$F929,2))-1,""),"")</f>
        <v>4</v>
      </c>
    </row>
    <row r="930" spans="1:7">
      <c r="A930" s="86" t="str">
        <f>IF(A923+A921&gt;10,"Look Up",AVERAGE(A925,A926))</f>
        <v>Look Up</v>
      </c>
      <c r="B930">
        <v>1400</v>
      </c>
      <c r="C930">
        <v>1400</v>
      </c>
      <c r="D930">
        <v>2</v>
      </c>
      <c r="E930">
        <v>4000</v>
      </c>
      <c r="F930" s="70">
        <v>44534</v>
      </c>
      <c r="G930">
        <f>IFERROR(IF((F930-F929)&gt;1,(LARGE(F930:$F930,1)-LARGE(F$919:$F930,2))-1,""),"")</f>
        <v>6</v>
      </c>
    </row>
    <row r="931" spans="1:7">
      <c r="A931" s="85" t="s">
        <v>44030</v>
      </c>
      <c r="B931">
        <v>1399</v>
      </c>
      <c r="C931">
        <v>1399</v>
      </c>
      <c r="D931">
        <v>1</v>
      </c>
      <c r="E931">
        <v>1500</v>
      </c>
      <c r="F931" s="70">
        <v>44537</v>
      </c>
      <c r="G931">
        <f>IFERROR(IF((F931-F930)&gt;1,(LARGE(F931:$F931,1)-LARGE(F$919:$F931,2))-1,""),"")</f>
        <v>2</v>
      </c>
    </row>
    <row r="932" spans="1:7">
      <c r="A932" s="88"/>
      <c r="B932">
        <v>1398</v>
      </c>
      <c r="C932">
        <v>1398</v>
      </c>
      <c r="D932">
        <v>1</v>
      </c>
      <c r="E932">
        <v>792</v>
      </c>
      <c r="F932" s="70">
        <v>44549</v>
      </c>
      <c r="G932">
        <f>IFERROR(IF((F932-F931)&gt;1,(LARGE(F932:$F932,1)-LARGE(F$919:$F932,2))-1,""),"")</f>
        <v>11</v>
      </c>
    </row>
    <row r="933" spans="1:7">
      <c r="A933" s="65">
        <f>VLOOKUP(TradeSheet!A64,TypeIDs!B:C,2,FALSE)</f>
        <v>27413</v>
      </c>
      <c r="B933" t="s">
        <v>43998</v>
      </c>
      <c r="C933" t="s">
        <v>43999</v>
      </c>
      <c r="D933" t="s">
        <v>44000</v>
      </c>
      <c r="E933" t="s">
        <v>44001</v>
      </c>
      <c r="F933" t="s">
        <v>44009</v>
      </c>
      <c r="G933" t="s">
        <v>44008</v>
      </c>
    </row>
    <row r="934" spans="1:7">
      <c r="A934" s="65" t="str">
        <f>CONCATENATE(SwaggerURL,input063)</f>
        <v>https://esi.evetech.net/latest/markets/10000021/history/?datasource=tranquility&amp;type_id=27413</v>
      </c>
      <c r="B934">
        <v>1174</v>
      </c>
      <c r="C934">
        <v>1174</v>
      </c>
      <c r="D934">
        <v>5</v>
      </c>
      <c r="E934">
        <v>10000</v>
      </c>
      <c r="F934" s="70">
        <v>44529</v>
      </c>
      <c r="G934" t="str">
        <f>IFERROR(IF((F934-F933)&gt;1,(LARGE(F934:$F934,1)-LARGE(F$934:$F934,2))-1,""),"")</f>
        <v/>
      </c>
    </row>
    <row r="935" spans="1:7">
      <c r="A935" s="79" t="s">
        <v>44018</v>
      </c>
      <c r="B935">
        <v>1172</v>
      </c>
      <c r="C935">
        <v>1172</v>
      </c>
      <c r="D935">
        <v>3</v>
      </c>
      <c r="E935">
        <v>6500</v>
      </c>
      <c r="F935" s="70">
        <v>44537</v>
      </c>
      <c r="G935">
        <f>IFERROR(IF((F935-F934)&gt;1,(LARGE(F935:$F935,1)-LARGE(F$934:$F935,2))-1,""),"")</f>
        <v>7</v>
      </c>
    </row>
    <row r="936" spans="1:7">
      <c r="A936" s="78">
        <f>MAX(0,(CurrentDate-2)-F947)</f>
        <v>1</v>
      </c>
      <c r="B936">
        <v>1172</v>
      </c>
      <c r="C936">
        <v>1172</v>
      </c>
      <c r="D936">
        <v>3</v>
      </c>
      <c r="E936">
        <v>12000</v>
      </c>
      <c r="F936" s="70">
        <v>44539</v>
      </c>
      <c r="G936">
        <f>IFERROR(IF((F936-F935)&gt;1,(LARGE(F936:$F936,1)-LARGE(F$934:$F936,2))-1,""),"")</f>
        <v>1</v>
      </c>
    </row>
    <row r="937" spans="1:7">
      <c r="A937" s="79" t="s">
        <v>44026</v>
      </c>
      <c r="B937">
        <v>1172</v>
      </c>
      <c r="C937">
        <v>1172</v>
      </c>
      <c r="D937">
        <v>2</v>
      </c>
      <c r="E937">
        <v>15000</v>
      </c>
      <c r="F937" s="70">
        <v>44540</v>
      </c>
      <c r="G937" t="str">
        <f>IFERROR(IF((F937-F936)&gt;1,(LARGE(F937:$F937,1)-LARGE(F$934:$F937,2))-1,""),"")</f>
        <v/>
      </c>
    </row>
    <row r="938" spans="1:7">
      <c r="A938" s="83">
        <f>SUM(G941:G947)</f>
        <v>4</v>
      </c>
      <c r="B938">
        <v>1172</v>
      </c>
      <c r="C938">
        <v>1172</v>
      </c>
      <c r="D938">
        <v>2</v>
      </c>
      <c r="E938">
        <v>2500</v>
      </c>
      <c r="F938" s="70">
        <v>44541</v>
      </c>
      <c r="G938" t="str">
        <f>IFERROR(IF((F938-F937)&gt;1,(LARGE(F938:$F938,1)-LARGE(F$934:$F938,2))-1,""),"")</f>
        <v/>
      </c>
    </row>
    <row r="939" spans="1:7">
      <c r="A939" s="79" t="s">
        <v>44029</v>
      </c>
      <c r="B939">
        <v>1175</v>
      </c>
      <c r="C939">
        <v>1175</v>
      </c>
      <c r="D939">
        <v>1</v>
      </c>
      <c r="E939">
        <v>17</v>
      </c>
      <c r="F939" s="70">
        <v>44542</v>
      </c>
      <c r="G939" t="str">
        <f>IFERROR(IF((F939-F938)&gt;1,(LARGE(F939:$F939,1)-LARGE(F$934:$F939,2))-1,""),"")</f>
        <v/>
      </c>
    </row>
    <row r="940" spans="1:7">
      <c r="A940" s="77">
        <f>(SUM(E934:E947)/(A936+14)+SUM(G934:G947))</f>
        <v>8672.6</v>
      </c>
      <c r="B940">
        <v>1394</v>
      </c>
      <c r="C940">
        <v>1394</v>
      </c>
      <c r="D940">
        <v>3</v>
      </c>
      <c r="E940">
        <v>9000</v>
      </c>
      <c r="F940" s="70">
        <v>44543</v>
      </c>
      <c r="G940" t="str">
        <f>IFERROR(IF((F940-F939)&gt;1,(LARGE(F940:$F940,1)-LARGE(F$934:$F940,2))-1,""),"")</f>
        <v/>
      </c>
    </row>
    <row r="941" spans="1:7">
      <c r="A941" s="77">
        <f>(SUM(E941:E947)/(A936+7)+SUM(G941:G947))</f>
        <v>9365.5</v>
      </c>
      <c r="B941">
        <v>1394</v>
      </c>
      <c r="C941">
        <v>1394</v>
      </c>
      <c r="D941">
        <v>1</v>
      </c>
      <c r="E941">
        <v>1500</v>
      </c>
      <c r="F941" s="70">
        <v>44544</v>
      </c>
      <c r="G941" t="str">
        <f>IFERROR(IF((F941-F940)&gt;1,(LARGE(F941:$F941,1)-LARGE(F$934:$F941,2))-1,""),"")</f>
        <v/>
      </c>
    </row>
    <row r="942" spans="1:7">
      <c r="A942" s="79" t="s">
        <v>44028</v>
      </c>
      <c r="B942">
        <v>1394</v>
      </c>
      <c r="C942">
        <v>1394</v>
      </c>
      <c r="D942">
        <v>1</v>
      </c>
      <c r="E942">
        <v>600</v>
      </c>
      <c r="F942" s="70">
        <v>44545</v>
      </c>
      <c r="G942" t="str">
        <f>IFERROR(IF((F942-F941)&gt;1,(LARGE(F942:$F942,1)-LARGE(F$934:$F942,2))-1,""),"")</f>
        <v/>
      </c>
    </row>
    <row r="943" spans="1:7">
      <c r="A943" s="77">
        <f>(SUM(D944:D947)/(A936+4)+SUM(G944:G947))</f>
        <v>4.8</v>
      </c>
      <c r="B943">
        <v>1393</v>
      </c>
      <c r="C943">
        <v>1393</v>
      </c>
      <c r="D943">
        <v>1</v>
      </c>
      <c r="E943">
        <v>1000</v>
      </c>
      <c r="F943" s="70">
        <v>44547</v>
      </c>
      <c r="G943">
        <f>IFERROR(IF((F943-F942)&gt;1,(LARGE(F943:$F943,1)-LARGE(F$934:$F943,2))-1,""),"")</f>
        <v>1</v>
      </c>
    </row>
    <row r="944" spans="1:7">
      <c r="A944" s="85" t="s">
        <v>44027</v>
      </c>
      <c r="B944">
        <v>1393</v>
      </c>
      <c r="C944">
        <v>1393</v>
      </c>
      <c r="D944">
        <v>2</v>
      </c>
      <c r="E944">
        <v>1792</v>
      </c>
      <c r="F944" s="70">
        <v>44549</v>
      </c>
      <c r="G944">
        <f>IFERROR(IF((F944-F943)&gt;1,(LARGE(F944:$F944,1)-LARGE(F$934:$F944,2))-1,""),"")</f>
        <v>1</v>
      </c>
    </row>
    <row r="945" spans="1:7">
      <c r="A945" s="86">
        <f>IF(A938+A936&gt;10,"Look Up",AVERAGE(A940,A941))</f>
        <v>9019.0499999999993</v>
      </c>
      <c r="B945">
        <v>1394</v>
      </c>
      <c r="C945">
        <v>1394</v>
      </c>
      <c r="D945">
        <v>2</v>
      </c>
      <c r="E945">
        <v>10000</v>
      </c>
      <c r="F945" s="70">
        <v>44552</v>
      </c>
      <c r="G945">
        <f>IFERROR(IF((F945-F944)&gt;1,(LARGE(F945:$F945,1)-LARGE(F$934:$F945,2))-1,""),"")</f>
        <v>2</v>
      </c>
    </row>
    <row r="946" spans="1:7">
      <c r="A946" s="85" t="s">
        <v>44030</v>
      </c>
      <c r="B946">
        <v>1394</v>
      </c>
      <c r="C946">
        <v>1394</v>
      </c>
      <c r="D946">
        <v>1</v>
      </c>
      <c r="E946">
        <v>10000</v>
      </c>
      <c r="F946" s="70">
        <v>44553</v>
      </c>
      <c r="G946" t="str">
        <f>IFERROR(IF((F946-F945)&gt;1,(LARGE(F946:$F946,1)-LARGE(F$934:$F946,2))-1,""),"")</f>
        <v/>
      </c>
    </row>
    <row r="947" spans="1:7">
      <c r="A947" s="88"/>
      <c r="B947">
        <v>1394</v>
      </c>
      <c r="C947">
        <v>1394</v>
      </c>
      <c r="D947">
        <v>4</v>
      </c>
      <c r="E947">
        <v>50000</v>
      </c>
      <c r="F947" s="70">
        <v>44554</v>
      </c>
      <c r="G947" t="str">
        <f>IFERROR(IF((F947-F946)&gt;1,(LARGE(F947:$F947,1)-LARGE(F$934:$F947,2))-1,""),"")</f>
        <v/>
      </c>
    </row>
    <row r="948" spans="1:7">
      <c r="A948" s="65">
        <f>VLOOKUP(TradeSheet!A65,TypeIDs!B:C,2,FALSE)</f>
        <v>24511</v>
      </c>
      <c r="B948" t="s">
        <v>43998</v>
      </c>
      <c r="C948" t="s">
        <v>43999</v>
      </c>
      <c r="D948" t="s">
        <v>44000</v>
      </c>
      <c r="E948" t="s">
        <v>44001</v>
      </c>
      <c r="F948" t="s">
        <v>44009</v>
      </c>
      <c r="G948" t="s">
        <v>44008</v>
      </c>
    </row>
    <row r="949" spans="1:7">
      <c r="A949" s="65" t="str">
        <f>CONCATENATE(SwaggerURL,input064)</f>
        <v>https://esi.evetech.net/latest/markets/10000021/history/?datasource=tranquility&amp;type_id=24511</v>
      </c>
      <c r="B949">
        <v>1777</v>
      </c>
      <c r="C949">
        <v>1777</v>
      </c>
      <c r="D949">
        <v>1</v>
      </c>
      <c r="E949">
        <v>10000</v>
      </c>
      <c r="F949" s="70">
        <v>44520</v>
      </c>
      <c r="G949" t="str">
        <f>IFERROR(IF((F949-F948)&gt;1,(LARGE(F949:$F949,1)-LARGE(F$949:$F949,2))-1,""),"")</f>
        <v/>
      </c>
    </row>
    <row r="950" spans="1:7">
      <c r="A950" s="79" t="s">
        <v>44018</v>
      </c>
      <c r="B950">
        <v>797.9</v>
      </c>
      <c r="C950">
        <v>797.9</v>
      </c>
      <c r="D950">
        <v>1</v>
      </c>
      <c r="E950">
        <v>2832</v>
      </c>
      <c r="F950" s="70">
        <v>44534</v>
      </c>
      <c r="G950">
        <f>IFERROR(IF((F950-F949)&gt;1,(LARGE(F950:$F950,1)-LARGE(F$949:$F950,2))-1,""),"")</f>
        <v>13</v>
      </c>
    </row>
    <row r="951" spans="1:7">
      <c r="A951" s="78">
        <f>MAX(0,(CurrentDate-2)-F962)</f>
        <v>1</v>
      </c>
      <c r="B951">
        <v>797.4</v>
      </c>
      <c r="C951">
        <v>797.4</v>
      </c>
      <c r="D951">
        <v>1</v>
      </c>
      <c r="E951">
        <v>1500</v>
      </c>
      <c r="F951" s="70">
        <v>44537</v>
      </c>
      <c r="G951">
        <f>IFERROR(IF((F951-F950)&gt;1,(LARGE(F951:$F951,1)-LARGE(F$949:$F951,2))-1,""),"")</f>
        <v>2</v>
      </c>
    </row>
    <row r="952" spans="1:7">
      <c r="A952" s="79" t="s">
        <v>44026</v>
      </c>
      <c r="B952">
        <v>795</v>
      </c>
      <c r="C952">
        <v>795</v>
      </c>
      <c r="D952">
        <v>1</v>
      </c>
      <c r="E952">
        <v>2150</v>
      </c>
      <c r="F952" s="70">
        <v>44538</v>
      </c>
      <c r="G952" t="str">
        <f>IFERROR(IF((F952-F951)&gt;1,(LARGE(F952:$F952,1)-LARGE(F$949:$F952,2))-1,""),"")</f>
        <v/>
      </c>
    </row>
    <row r="953" spans="1:7">
      <c r="A953" s="83">
        <f>SUM(G956:G962)</f>
        <v>4</v>
      </c>
      <c r="B953">
        <v>784.9</v>
      </c>
      <c r="C953">
        <v>784.9</v>
      </c>
      <c r="D953">
        <v>1</v>
      </c>
      <c r="E953">
        <v>300</v>
      </c>
      <c r="F953" s="70">
        <v>44541</v>
      </c>
      <c r="G953">
        <f>IFERROR(IF((F953-F952)&gt;1,(LARGE(F953:$F953,1)-LARGE(F$949:$F953,2))-1,""),"")</f>
        <v>2</v>
      </c>
    </row>
    <row r="954" spans="1:7">
      <c r="A954" s="79" t="s">
        <v>44029</v>
      </c>
      <c r="B954">
        <v>898.1</v>
      </c>
      <c r="C954">
        <v>898.1</v>
      </c>
      <c r="D954">
        <v>3</v>
      </c>
      <c r="E954">
        <v>31232</v>
      </c>
      <c r="F954" s="70">
        <v>44542</v>
      </c>
      <c r="G954" t="str">
        <f>IFERROR(IF((F954-F953)&gt;1,(LARGE(F954:$F954,1)-LARGE(F$949:$F954,2))-1,""),"")</f>
        <v/>
      </c>
    </row>
    <row r="955" spans="1:7">
      <c r="A955" s="77">
        <f>(SUM(E949:E962)/(A951+14)+SUM(G949:G962))</f>
        <v>8355.2666666666664</v>
      </c>
      <c r="B955">
        <v>889.9</v>
      </c>
      <c r="C955">
        <v>889.9</v>
      </c>
      <c r="D955">
        <v>1</v>
      </c>
      <c r="E955">
        <v>498</v>
      </c>
      <c r="F955" s="70">
        <v>44543</v>
      </c>
      <c r="G955" t="str">
        <f>IFERROR(IF((F955-F954)&gt;1,(LARGE(F955:$F955,1)-LARGE(F$949:$F955,2))-1,""),"")</f>
        <v/>
      </c>
    </row>
    <row r="956" spans="1:7">
      <c r="A956" s="77">
        <f>(SUM(E956:E962)/(A951+7)+SUM(G956:G962))</f>
        <v>9566.75</v>
      </c>
      <c r="B956">
        <v>879.9</v>
      </c>
      <c r="C956">
        <v>879.9</v>
      </c>
      <c r="D956">
        <v>2</v>
      </c>
      <c r="E956">
        <v>10600</v>
      </c>
      <c r="F956" s="70">
        <v>44546</v>
      </c>
      <c r="G956">
        <f>IFERROR(IF((F956-F955)&gt;1,(LARGE(F956:$F956,1)-LARGE(F$949:$F956,2))-1,""),"")</f>
        <v>2</v>
      </c>
    </row>
    <row r="957" spans="1:7">
      <c r="A957" s="79" t="s">
        <v>44028</v>
      </c>
      <c r="B957">
        <v>877.45</v>
      </c>
      <c r="C957">
        <v>875</v>
      </c>
      <c r="D957">
        <v>2</v>
      </c>
      <c r="E957">
        <v>30000</v>
      </c>
      <c r="F957" s="70">
        <v>44547</v>
      </c>
      <c r="G957" t="str">
        <f>IFERROR(IF((F957-F956)&gt;1,(LARGE(F957:$F957,1)-LARGE(F$949:$F957,2))-1,""),"")</f>
        <v/>
      </c>
    </row>
    <row r="958" spans="1:7">
      <c r="A958" s="77">
        <f>(SUM(D959:D962)/(A951+4)+SUM(G959:G962))</f>
        <v>3.2</v>
      </c>
      <c r="B958">
        <v>874.9</v>
      </c>
      <c r="C958">
        <v>874.9</v>
      </c>
      <c r="D958">
        <v>1</v>
      </c>
      <c r="E958">
        <v>300</v>
      </c>
      <c r="F958" s="70">
        <v>44548</v>
      </c>
      <c r="G958" t="str">
        <f>IFERROR(IF((F958-F957)&gt;1,(LARGE(F958:$F958,1)-LARGE(F$949:$F958,2))-1,""),"")</f>
        <v/>
      </c>
    </row>
    <row r="959" spans="1:7">
      <c r="A959" s="85" t="s">
        <v>44027</v>
      </c>
      <c r="B959">
        <v>785</v>
      </c>
      <c r="C959">
        <v>785</v>
      </c>
      <c r="D959">
        <v>2</v>
      </c>
      <c r="E959">
        <v>2000</v>
      </c>
      <c r="F959" s="70">
        <v>44549</v>
      </c>
      <c r="G959" t="str">
        <f>IFERROR(IF((F959-F958)&gt;1,(LARGE(F959:$F959,1)-LARGE(F$949:$F959,2))-1,""),"")</f>
        <v/>
      </c>
    </row>
    <row r="960" spans="1:7">
      <c r="A960" s="86">
        <f>IF(A953+A951&gt;10,"Look Up",AVERAGE(A955,A956))</f>
        <v>8961.0083333333332</v>
      </c>
      <c r="B960">
        <v>785</v>
      </c>
      <c r="C960">
        <v>785</v>
      </c>
      <c r="D960">
        <v>1</v>
      </c>
      <c r="E960">
        <v>8000</v>
      </c>
      <c r="F960" s="70">
        <v>44550</v>
      </c>
      <c r="G960" t="str">
        <f>IFERROR(IF((F960-F959)&gt;1,(LARGE(F960:$F960,1)-LARGE(F$949:$F960,2))-1,""),"")</f>
        <v/>
      </c>
    </row>
    <row r="961" spans="1:7">
      <c r="A961" s="85" t="s">
        <v>44030</v>
      </c>
      <c r="B961">
        <v>1500</v>
      </c>
      <c r="C961">
        <v>1500</v>
      </c>
      <c r="D961">
        <v>1</v>
      </c>
      <c r="E961">
        <v>5000</v>
      </c>
      <c r="F961" s="70">
        <v>44553</v>
      </c>
      <c r="G961">
        <f>IFERROR(IF((F961-F960)&gt;1,(LARGE(F961:$F961,1)-LARGE(F$949:$F961,2))-1,""),"")</f>
        <v>2</v>
      </c>
    </row>
    <row r="962" spans="1:7">
      <c r="A962" s="88"/>
      <c r="B962">
        <v>898</v>
      </c>
      <c r="C962">
        <v>898</v>
      </c>
      <c r="D962">
        <v>2</v>
      </c>
      <c r="E962">
        <v>20602</v>
      </c>
      <c r="F962" s="70">
        <v>44554</v>
      </c>
      <c r="G962" t="str">
        <f>IFERROR(IF((F962-F961)&gt;1,(LARGE(F962:$F962,1)-LARGE(F$949:$F962,2))-1,""),"")</f>
        <v/>
      </c>
    </row>
    <row r="963" spans="1:7">
      <c r="A963" s="65">
        <f>VLOOKUP(TradeSheet!A66,TypeIDs!B:C,2,FALSE)</f>
        <v>24509</v>
      </c>
      <c r="B963" t="s">
        <v>43998</v>
      </c>
      <c r="C963" t="s">
        <v>43999</v>
      </c>
      <c r="D963" t="s">
        <v>44000</v>
      </c>
      <c r="E963" t="s">
        <v>44001</v>
      </c>
      <c r="F963" t="s">
        <v>44009</v>
      </c>
      <c r="G963" t="s">
        <v>44008</v>
      </c>
    </row>
    <row r="964" spans="1:7">
      <c r="A964" s="65" t="str">
        <f>CONCATENATE(SwaggerURL,input065)</f>
        <v>https://esi.evetech.net/latest/markets/10000021/history/?datasource=tranquility&amp;type_id=24509</v>
      </c>
      <c r="B964">
        <v>919.9</v>
      </c>
      <c r="C964">
        <v>919.9</v>
      </c>
      <c r="D964">
        <v>6</v>
      </c>
      <c r="E964">
        <v>24264</v>
      </c>
      <c r="F964" s="70">
        <v>44540</v>
      </c>
      <c r="G964" t="str">
        <f>IFERROR(IF((F964-F963)&gt;1,(LARGE(F964:$F964,1)-LARGE(F$964:$F964,2))-1,""),"")</f>
        <v/>
      </c>
    </row>
    <row r="965" spans="1:7">
      <c r="A965" s="79" t="s">
        <v>44018</v>
      </c>
      <c r="B965">
        <v>920</v>
      </c>
      <c r="C965">
        <v>919.9</v>
      </c>
      <c r="D965">
        <v>8</v>
      </c>
      <c r="E965">
        <v>82186</v>
      </c>
      <c r="F965" s="70">
        <v>44541</v>
      </c>
      <c r="G965" t="str">
        <f>IFERROR(IF((F965-F964)&gt;1,(LARGE(F965:$F965,1)-LARGE(F$964:$F965,2))-1,""),"")</f>
        <v/>
      </c>
    </row>
    <row r="966" spans="1:7">
      <c r="A966" s="78">
        <f>MAX(0,(CurrentDate-2)-F977)</f>
        <v>1</v>
      </c>
      <c r="B966">
        <v>925</v>
      </c>
      <c r="C966">
        <v>925</v>
      </c>
      <c r="D966">
        <v>3</v>
      </c>
      <c r="E966">
        <v>12160</v>
      </c>
      <c r="F966" s="70">
        <v>44542</v>
      </c>
      <c r="G966" t="str">
        <f>IFERROR(IF((F966-F965)&gt;1,(LARGE(F966:$F966,1)-LARGE(F$964:$F966,2))-1,""),"")</f>
        <v/>
      </c>
    </row>
    <row r="967" spans="1:7">
      <c r="A967" s="79" t="s">
        <v>44026</v>
      </c>
      <c r="B967">
        <v>914.8</v>
      </c>
      <c r="C967">
        <v>914.8</v>
      </c>
      <c r="D967">
        <v>4</v>
      </c>
      <c r="E967">
        <v>8500</v>
      </c>
      <c r="F967" s="70">
        <v>44543</v>
      </c>
      <c r="G967" t="str">
        <f>IFERROR(IF((F967-F966)&gt;1,(LARGE(F967:$F967,1)-LARGE(F$964:$F967,2))-1,""),"")</f>
        <v/>
      </c>
    </row>
    <row r="968" spans="1:7">
      <c r="A968" s="83">
        <f>SUM(G971:G977)</f>
        <v>1</v>
      </c>
      <c r="B968">
        <v>910</v>
      </c>
      <c r="C968">
        <v>910</v>
      </c>
      <c r="D968">
        <v>7</v>
      </c>
      <c r="E968">
        <v>46376</v>
      </c>
      <c r="F968" s="70">
        <v>44544</v>
      </c>
      <c r="G968" t="str">
        <f>IFERROR(IF((F968-F967)&gt;1,(LARGE(F968:$F968,1)-LARGE(F$964:$F968,2))-1,""),"")</f>
        <v/>
      </c>
    </row>
    <row r="969" spans="1:7">
      <c r="A969" s="79" t="s">
        <v>44029</v>
      </c>
      <c r="B969">
        <v>899.8</v>
      </c>
      <c r="C969">
        <v>899.8</v>
      </c>
      <c r="D969">
        <v>4</v>
      </c>
      <c r="E969">
        <v>34800</v>
      </c>
      <c r="F969" s="70">
        <v>44545</v>
      </c>
      <c r="G969" t="str">
        <f>IFERROR(IF((F969-F968)&gt;1,(LARGE(F969:$F969,1)-LARGE(F$964:$F969,2))-1,""),"")</f>
        <v/>
      </c>
    </row>
    <row r="970" spans="1:7">
      <c r="A970" s="77">
        <f>(SUM(E964:E977)/(A966+14)+SUM(G964:G977))</f>
        <v>39100.466666666667</v>
      </c>
      <c r="B970">
        <v>899.8</v>
      </c>
      <c r="C970">
        <v>895</v>
      </c>
      <c r="D970">
        <v>7</v>
      </c>
      <c r="E970">
        <v>42437</v>
      </c>
      <c r="F970" s="70">
        <v>44546</v>
      </c>
      <c r="G970" t="str">
        <f>IFERROR(IF((F970-F969)&gt;1,(LARGE(F970:$F970,1)-LARGE(F$964:$F970,2))-1,""),"")</f>
        <v/>
      </c>
    </row>
    <row r="971" spans="1:7">
      <c r="A971" s="77">
        <f>(SUM(E971:E977)/(A966+7)+SUM(G971:G977))</f>
        <v>41972.125</v>
      </c>
      <c r="B971">
        <v>900</v>
      </c>
      <c r="C971">
        <v>900</v>
      </c>
      <c r="D971">
        <v>2</v>
      </c>
      <c r="E971">
        <v>25000</v>
      </c>
      <c r="F971" s="70">
        <v>44547</v>
      </c>
      <c r="G971" t="str">
        <f>IFERROR(IF((F971-F970)&gt;1,(LARGE(F971:$F971,1)-LARGE(F$964:$F971,2))-1,""),"")</f>
        <v/>
      </c>
    </row>
    <row r="972" spans="1:7">
      <c r="A972" s="79" t="s">
        <v>44028</v>
      </c>
      <c r="B972">
        <v>904.9</v>
      </c>
      <c r="C972">
        <v>904.9</v>
      </c>
      <c r="D972">
        <v>3</v>
      </c>
      <c r="E972">
        <v>41447</v>
      </c>
      <c r="F972" s="70">
        <v>44548</v>
      </c>
      <c r="G972" t="str">
        <f>IFERROR(IF((F972-F971)&gt;1,(LARGE(F972:$F972,1)-LARGE(F$964:$F972,2))-1,""),"")</f>
        <v/>
      </c>
    </row>
    <row r="973" spans="1:7">
      <c r="A973" s="77">
        <f>(SUM(D974:D977)/(A966+4)+SUM(G974:G977))</f>
        <v>3.2</v>
      </c>
      <c r="B973">
        <v>910</v>
      </c>
      <c r="C973">
        <v>910</v>
      </c>
      <c r="D973">
        <v>4</v>
      </c>
      <c r="E973">
        <v>17722</v>
      </c>
      <c r="F973" s="70">
        <v>44549</v>
      </c>
      <c r="G973" t="str">
        <f>IFERROR(IF((F973-F972)&gt;1,(LARGE(F973:$F973,1)-LARGE(F$964:$F973,2))-1,""),"")</f>
        <v/>
      </c>
    </row>
    <row r="974" spans="1:7">
      <c r="A974" s="85" t="s">
        <v>44027</v>
      </c>
      <c r="B974">
        <v>910</v>
      </c>
      <c r="C974">
        <v>910</v>
      </c>
      <c r="D974">
        <v>1</v>
      </c>
      <c r="E974">
        <v>20000</v>
      </c>
      <c r="F974" s="70">
        <v>44550</v>
      </c>
      <c r="G974" t="str">
        <f>IFERROR(IF((F974-F973)&gt;1,(LARGE(F974:$F974,1)-LARGE(F$964:$F974,2))-1,""),"")</f>
        <v/>
      </c>
    </row>
    <row r="975" spans="1:7">
      <c r="A975" s="86">
        <f>IF(A968+A966&gt;10,"Look Up",AVERAGE(A970,A971))</f>
        <v>40536.295833333337</v>
      </c>
      <c r="B975">
        <v>909.9</v>
      </c>
      <c r="C975">
        <v>909.9</v>
      </c>
      <c r="D975">
        <v>5</v>
      </c>
      <c r="E975">
        <v>81450</v>
      </c>
      <c r="F975" s="70">
        <v>44551</v>
      </c>
      <c r="G975" t="str">
        <f>IFERROR(IF((F975-F974)&gt;1,(LARGE(F975:$F975,1)-LARGE(F$964:$F975,2))-1,""),"")</f>
        <v/>
      </c>
    </row>
    <row r="976" spans="1:7">
      <c r="A976" s="85" t="s">
        <v>44030</v>
      </c>
      <c r="B976">
        <v>1100</v>
      </c>
      <c r="C976">
        <v>1100</v>
      </c>
      <c r="D976">
        <v>3</v>
      </c>
      <c r="E976">
        <v>111000</v>
      </c>
      <c r="F976" s="70">
        <v>44553</v>
      </c>
      <c r="G976">
        <f>IFERROR(IF((F976-F975)&gt;1,(LARGE(F976:$F976,1)-LARGE(F$964:$F976,2))-1,""),"")</f>
        <v>1</v>
      </c>
    </row>
    <row r="977" spans="1:7">
      <c r="A977" s="88"/>
      <c r="B977">
        <v>900</v>
      </c>
      <c r="C977">
        <v>900</v>
      </c>
      <c r="D977">
        <v>2</v>
      </c>
      <c r="E977">
        <v>39150</v>
      </c>
      <c r="F977" s="70">
        <v>44554</v>
      </c>
      <c r="G977" t="str">
        <f>IFERROR(IF((F977-F976)&gt;1,(LARGE(F977:$F977,1)-LARGE(F$964:$F977,2))-1,""),"")</f>
        <v/>
      </c>
    </row>
    <row r="978" spans="1:7">
      <c r="A978" s="65">
        <f>VLOOKUP(TradeSheet!A67,TypeIDs!B:C,2,FALSE)</f>
        <v>2629</v>
      </c>
      <c r="B978" t="s">
        <v>43998</v>
      </c>
      <c r="C978" t="s">
        <v>43999</v>
      </c>
      <c r="D978" t="s">
        <v>44000</v>
      </c>
      <c r="E978" t="s">
        <v>44001</v>
      </c>
      <c r="F978" t="s">
        <v>44009</v>
      </c>
      <c r="G978" t="s">
        <v>44008</v>
      </c>
    </row>
    <row r="979" spans="1:7">
      <c r="A979" s="65" t="str">
        <f>CONCATENATE(SwaggerURL,input066)</f>
        <v>https://esi.evetech.net/latest/markets/10000021/history/?datasource=tranquility&amp;type_id=2629</v>
      </c>
      <c r="B979">
        <v>620</v>
      </c>
      <c r="C979">
        <v>620</v>
      </c>
      <c r="D979">
        <v>3</v>
      </c>
      <c r="E979">
        <v>7511</v>
      </c>
      <c r="F979" s="70">
        <v>44521</v>
      </c>
      <c r="G979" t="str">
        <f>IFERROR(IF((F979-F978)&gt;1,(LARGE(F979:$F979,1)-LARGE(F$979:$F979,2))-1,""),"")</f>
        <v/>
      </c>
    </row>
    <row r="980" spans="1:7">
      <c r="A980" s="79" t="s">
        <v>44018</v>
      </c>
      <c r="B980">
        <v>619.9</v>
      </c>
      <c r="C980">
        <v>619.9</v>
      </c>
      <c r="D980">
        <v>1</v>
      </c>
      <c r="E980">
        <v>500</v>
      </c>
      <c r="F980" s="70">
        <v>44523</v>
      </c>
      <c r="G980">
        <f>IFERROR(IF((F980-F979)&gt;1,(LARGE(F980:$F980,1)-LARGE(F$979:$F980,2))-1,""),"")</f>
        <v>1</v>
      </c>
    </row>
    <row r="981" spans="1:7">
      <c r="A981" s="78">
        <f>MAX(0,(CurrentDate-2)-F992)</f>
        <v>2</v>
      </c>
      <c r="B981">
        <v>619.9</v>
      </c>
      <c r="C981">
        <v>619.9</v>
      </c>
      <c r="D981">
        <v>1</v>
      </c>
      <c r="E981">
        <v>3500</v>
      </c>
      <c r="F981" s="70">
        <v>44525</v>
      </c>
      <c r="G981">
        <f>IFERROR(IF((F981-F980)&gt;1,(LARGE(F981:$F981,1)-LARGE(F$979:$F981,2))-1,""),"")</f>
        <v>1</v>
      </c>
    </row>
    <row r="982" spans="1:7">
      <c r="A982" s="79" t="s">
        <v>44026</v>
      </c>
      <c r="B982">
        <v>620</v>
      </c>
      <c r="C982">
        <v>620</v>
      </c>
      <c r="D982">
        <v>2</v>
      </c>
      <c r="E982">
        <v>56000</v>
      </c>
      <c r="F982" s="70">
        <v>44526</v>
      </c>
      <c r="G982" t="str">
        <f>IFERROR(IF((F982-F981)&gt;1,(LARGE(F982:$F982,1)-LARGE(F$979:$F982,2))-1,""),"")</f>
        <v/>
      </c>
    </row>
    <row r="983" spans="1:7">
      <c r="A983" s="83">
        <f>SUM(G986:G992)</f>
        <v>5</v>
      </c>
      <c r="B983">
        <v>616.5</v>
      </c>
      <c r="C983">
        <v>616.5</v>
      </c>
      <c r="D983">
        <v>5</v>
      </c>
      <c r="E983">
        <v>9500</v>
      </c>
      <c r="F983" s="70">
        <v>44535</v>
      </c>
      <c r="G983">
        <f>IFERROR(IF((F983-F982)&gt;1,(LARGE(F983:$F983,1)-LARGE(F$979:$F983,2))-1,""),"")</f>
        <v>8</v>
      </c>
    </row>
    <row r="984" spans="1:7">
      <c r="A984" s="79" t="s">
        <v>44029</v>
      </c>
      <c r="B984">
        <v>615.29999999999995</v>
      </c>
      <c r="C984">
        <v>615.29999999999995</v>
      </c>
      <c r="D984">
        <v>1</v>
      </c>
      <c r="E984">
        <v>108</v>
      </c>
      <c r="F984" s="70">
        <v>44540</v>
      </c>
      <c r="G984">
        <f>IFERROR(IF((F984-F983)&gt;1,(LARGE(F984:$F984,1)-LARGE(F$979:$F984,2))-1,""),"")</f>
        <v>4</v>
      </c>
    </row>
    <row r="985" spans="1:7">
      <c r="A985" s="77">
        <f>(SUM(E979:E992)/(A981+14)+SUM(G979:G992))</f>
        <v>9399.3125</v>
      </c>
      <c r="B985">
        <v>615.4</v>
      </c>
      <c r="C985">
        <v>615.4</v>
      </c>
      <c r="D985">
        <v>3</v>
      </c>
      <c r="E985">
        <v>15300</v>
      </c>
      <c r="F985" s="70">
        <v>44541</v>
      </c>
      <c r="G985" t="str">
        <f>IFERROR(IF((F985-F984)&gt;1,(LARGE(F985:$F985,1)-LARGE(F$979:$F985,2))-1,""),"")</f>
        <v/>
      </c>
    </row>
    <row r="986" spans="1:7">
      <c r="A986" s="77">
        <f>(SUM(E986:E992)/(A981+7)+SUM(G986:G992))</f>
        <v>6412.333333333333</v>
      </c>
      <c r="B986">
        <v>615.20000000000005</v>
      </c>
      <c r="C986">
        <v>615.20000000000005</v>
      </c>
      <c r="D986">
        <v>2</v>
      </c>
      <c r="E986">
        <v>27000</v>
      </c>
      <c r="F986" s="70">
        <v>44543</v>
      </c>
      <c r="G986">
        <f>IFERROR(IF((F986-F985)&gt;1,(LARGE(F986:$F986,1)-LARGE(F$979:$F986,2))-1,""),"")</f>
        <v>1</v>
      </c>
    </row>
    <row r="987" spans="1:7">
      <c r="A987" s="79" t="s">
        <v>44028</v>
      </c>
      <c r="B987">
        <v>615.20000000000005</v>
      </c>
      <c r="C987">
        <v>615.20000000000005</v>
      </c>
      <c r="D987">
        <v>2</v>
      </c>
      <c r="E987">
        <v>5600</v>
      </c>
      <c r="F987" s="70">
        <v>44546</v>
      </c>
      <c r="G987">
        <f>IFERROR(IF((F987-F986)&gt;1,(LARGE(F987:$F987,1)-LARGE(F$979:$F987,2))-1,""),"")</f>
        <v>2</v>
      </c>
    </row>
    <row r="988" spans="1:7">
      <c r="A988" s="77">
        <f>(SUM(D989:D992)/(A981+4)+SUM(G989:G992))</f>
        <v>3.333333333333333</v>
      </c>
      <c r="B988">
        <v>615.20000000000005</v>
      </c>
      <c r="C988">
        <v>615.20000000000005</v>
      </c>
      <c r="D988">
        <v>1</v>
      </c>
      <c r="E988">
        <v>5000</v>
      </c>
      <c r="F988" s="70">
        <v>44547</v>
      </c>
      <c r="G988" t="str">
        <f>IFERROR(IF((F988-F987)&gt;1,(LARGE(F988:$F988,1)-LARGE(F$979:$F988,2))-1,""),"")</f>
        <v/>
      </c>
    </row>
    <row r="989" spans="1:7">
      <c r="A989" s="85" t="s">
        <v>44027</v>
      </c>
      <c r="B989">
        <v>615.20000000000005</v>
      </c>
      <c r="C989">
        <v>615.20000000000005</v>
      </c>
      <c r="D989">
        <v>1</v>
      </c>
      <c r="E989">
        <v>300</v>
      </c>
      <c r="F989" s="70">
        <v>44548</v>
      </c>
      <c r="G989" t="str">
        <f>IFERROR(IF((F989-F988)&gt;1,(LARGE(F989:$F989,1)-LARGE(F$979:$F989,2))-1,""),"")</f>
        <v/>
      </c>
    </row>
    <row r="990" spans="1:7">
      <c r="A990" s="86">
        <f>IF(A983+A981&gt;10,"Look Up",AVERAGE(A985,A986))</f>
        <v>7905.8229166666661</v>
      </c>
      <c r="B990">
        <v>615.29999999999995</v>
      </c>
      <c r="C990">
        <v>615.29999999999995</v>
      </c>
      <c r="D990">
        <v>3</v>
      </c>
      <c r="E990">
        <v>5000</v>
      </c>
      <c r="F990" s="70">
        <v>44549</v>
      </c>
      <c r="G990" t="str">
        <f>IFERROR(IF((F990-F989)&gt;1,(LARGE(F990:$F990,1)-LARGE(F$979:$F990,2))-1,""),"")</f>
        <v/>
      </c>
    </row>
    <row r="991" spans="1:7">
      <c r="A991" s="85" t="s">
        <v>44030</v>
      </c>
      <c r="B991">
        <v>615.29999999999995</v>
      </c>
      <c r="C991">
        <v>615.29999999999995</v>
      </c>
      <c r="D991">
        <v>2</v>
      </c>
      <c r="E991">
        <v>5000</v>
      </c>
      <c r="F991" s="70">
        <v>44550</v>
      </c>
      <c r="G991" t="str">
        <f>IFERROR(IF((F991-F990)&gt;1,(LARGE(F991:$F991,1)-LARGE(F$979:$F991,2))-1,""),"")</f>
        <v/>
      </c>
    </row>
    <row r="992" spans="1:7">
      <c r="A992" s="88"/>
      <c r="B992">
        <v>615.20000000000005</v>
      </c>
      <c r="C992">
        <v>615.20000000000005</v>
      </c>
      <c r="D992">
        <v>2</v>
      </c>
      <c r="E992">
        <v>9766</v>
      </c>
      <c r="F992" s="70">
        <v>44553</v>
      </c>
      <c r="G992">
        <f>IFERROR(IF((F992-F991)&gt;1,(LARGE(F992:$F992,1)-LARGE(F$979:$F992,2))-1,""),"")</f>
        <v>2</v>
      </c>
    </row>
    <row r="993" spans="1:7">
      <c r="A993" s="65">
        <f>VLOOKUP(TradeSheet!A68,TypeIDs!B:C,2,FALSE)</f>
        <v>24517</v>
      </c>
      <c r="B993" t="s">
        <v>43998</v>
      </c>
      <c r="C993" t="s">
        <v>43999</v>
      </c>
      <c r="D993" t="s">
        <v>44000</v>
      </c>
      <c r="E993" t="s">
        <v>44001</v>
      </c>
      <c r="F993" t="s">
        <v>44009</v>
      </c>
      <c r="G993" t="s">
        <v>44008</v>
      </c>
    </row>
    <row r="994" spans="1:7">
      <c r="A994" s="65" t="str">
        <f>CONCATENATE(SwaggerURL,input067)</f>
        <v>https://esi.evetech.net/latest/markets/10000021/history/?datasource=tranquility&amp;type_id=24517</v>
      </c>
      <c r="B994">
        <v>587.79999999999995</v>
      </c>
      <c r="C994">
        <v>587.79999999999995</v>
      </c>
      <c r="D994">
        <v>1</v>
      </c>
      <c r="E994">
        <v>15700</v>
      </c>
      <c r="F994" s="70">
        <v>44526</v>
      </c>
      <c r="G994" t="str">
        <f>IFERROR(IF((F994-F993)&gt;1,(LARGE(F994:$F994,1)-LARGE(F$994:$F994,2))-1,""),"")</f>
        <v/>
      </c>
    </row>
    <row r="995" spans="1:7">
      <c r="A995" s="79" t="s">
        <v>44018</v>
      </c>
      <c r="B995">
        <v>587.9</v>
      </c>
      <c r="C995">
        <v>587.9</v>
      </c>
      <c r="D995">
        <v>4</v>
      </c>
      <c r="E995">
        <v>11150</v>
      </c>
      <c r="F995" s="70">
        <v>44527</v>
      </c>
      <c r="G995" t="str">
        <f>IFERROR(IF((F995-F994)&gt;1,(LARGE(F995:$F995,1)-LARGE(F$994:$F995,2))-1,""),"")</f>
        <v/>
      </c>
    </row>
    <row r="996" spans="1:7">
      <c r="A996" s="78">
        <f>MAX(0,(CurrentDate-2)-F1007)</f>
        <v>7</v>
      </c>
      <c r="B996">
        <v>587.79999999999995</v>
      </c>
      <c r="C996">
        <v>587.79999999999995</v>
      </c>
      <c r="D996">
        <v>1</v>
      </c>
      <c r="E996">
        <v>1000</v>
      </c>
      <c r="F996" s="70">
        <v>44530</v>
      </c>
      <c r="G996">
        <f>IFERROR(IF((F996-F995)&gt;1,(LARGE(F996:$F996,1)-LARGE(F$994:$F996,2))-1,""),"")</f>
        <v>2</v>
      </c>
    </row>
    <row r="997" spans="1:7">
      <c r="A997" s="79" t="s">
        <v>44026</v>
      </c>
      <c r="B997">
        <v>587.79999999999995</v>
      </c>
      <c r="C997">
        <v>587.79999999999995</v>
      </c>
      <c r="D997">
        <v>2</v>
      </c>
      <c r="E997">
        <v>600</v>
      </c>
      <c r="F997" s="70">
        <v>44531</v>
      </c>
      <c r="G997" t="str">
        <f>IFERROR(IF((F997-F996)&gt;1,(LARGE(F997:$F997,1)-LARGE(F$994:$F997,2))-1,""),"")</f>
        <v/>
      </c>
    </row>
    <row r="998" spans="1:7">
      <c r="A998" s="83">
        <f>SUM(G1001:G1007)</f>
        <v>1</v>
      </c>
      <c r="B998">
        <v>587.6</v>
      </c>
      <c r="C998">
        <v>587.6</v>
      </c>
      <c r="D998">
        <v>7</v>
      </c>
      <c r="E998">
        <v>2700</v>
      </c>
      <c r="F998" s="70">
        <v>44538</v>
      </c>
      <c r="G998">
        <f>IFERROR(IF((F998-F997)&gt;1,(LARGE(F998:$F998,1)-LARGE(F$994:$F998,2))-1,""),"")</f>
        <v>6</v>
      </c>
    </row>
    <row r="999" spans="1:7">
      <c r="A999" s="79" t="s">
        <v>44029</v>
      </c>
      <c r="B999">
        <v>587.6</v>
      </c>
      <c r="C999">
        <v>587.6</v>
      </c>
      <c r="D999">
        <v>2</v>
      </c>
      <c r="E999">
        <v>25000</v>
      </c>
      <c r="F999" s="70">
        <v>44539</v>
      </c>
      <c r="G999" t="str">
        <f>IFERROR(IF((F999-F998)&gt;1,(LARGE(F999:$F999,1)-LARGE(F$994:$F999,2))-1,""),"")</f>
        <v/>
      </c>
    </row>
    <row r="1000" spans="1:7">
      <c r="A1000" s="77">
        <f>(SUM(E994:E1007)/(A996+14)+SUM(G994:G1007))</f>
        <v>8531</v>
      </c>
      <c r="B1000">
        <v>587.6</v>
      </c>
      <c r="C1000">
        <v>587.6</v>
      </c>
      <c r="D1000">
        <v>3</v>
      </c>
      <c r="E1000">
        <v>900</v>
      </c>
      <c r="F1000" s="70">
        <v>44540</v>
      </c>
      <c r="G1000" t="str">
        <f>IFERROR(IF((F1000-F999)&gt;1,(LARGE(F1000:$F1000,1)-LARGE(F$994:$F1000,2))-1,""),"")</f>
        <v/>
      </c>
    </row>
    <row r="1001" spans="1:7">
      <c r="A1001" s="77">
        <f>(SUM(E1001:E1007)/(A996+7)+SUM(G1001:G1007))</f>
        <v>8709</v>
      </c>
      <c r="B1001">
        <v>587.6</v>
      </c>
      <c r="C1001">
        <v>587.6</v>
      </c>
      <c r="D1001">
        <v>3</v>
      </c>
      <c r="E1001">
        <v>20600</v>
      </c>
      <c r="F1001" s="70">
        <v>44541</v>
      </c>
      <c r="G1001" t="str">
        <f>IFERROR(IF((F1001-F1000)&gt;1,(LARGE(F1001:$F1001,1)-LARGE(F$994:$F1001,2))-1,""),"")</f>
        <v/>
      </c>
    </row>
    <row r="1002" spans="1:7">
      <c r="A1002" s="79" t="s">
        <v>44028</v>
      </c>
      <c r="B1002">
        <v>587.70000000000005</v>
      </c>
      <c r="C1002">
        <v>587.70000000000005</v>
      </c>
      <c r="D1002">
        <v>3</v>
      </c>
      <c r="E1002">
        <v>10300</v>
      </c>
      <c r="F1002" s="70">
        <v>44542</v>
      </c>
      <c r="G1002" t="str">
        <f>IFERROR(IF((F1002-F1001)&gt;1,(LARGE(F1002:$F1002,1)-LARGE(F$994:$F1002,2))-1,""),"")</f>
        <v/>
      </c>
    </row>
    <row r="1003" spans="1:7">
      <c r="A1003" s="77">
        <f>(SUM(D1004:D1007)/(A996+4)+SUM(G1004:G1007))</f>
        <v>2</v>
      </c>
      <c r="B1003">
        <v>587.70000000000005</v>
      </c>
      <c r="C1003">
        <v>587.70000000000005</v>
      </c>
      <c r="D1003">
        <v>5</v>
      </c>
      <c r="E1003">
        <v>29919</v>
      </c>
      <c r="F1003" s="70">
        <v>44543</v>
      </c>
      <c r="G1003" t="str">
        <f>IFERROR(IF((F1003-F1002)&gt;1,(LARGE(F1003:$F1003,1)-LARGE(F$994:$F1003,2))-1,""),"")</f>
        <v/>
      </c>
    </row>
    <row r="1004" spans="1:7">
      <c r="A1004" s="85" t="s">
        <v>44027</v>
      </c>
      <c r="B1004">
        <v>1890</v>
      </c>
      <c r="C1004">
        <v>1890</v>
      </c>
      <c r="D1004">
        <v>3</v>
      </c>
      <c r="E1004">
        <v>26253</v>
      </c>
      <c r="F1004" s="70">
        <v>44544</v>
      </c>
      <c r="G1004" t="str">
        <f>IFERROR(IF((F1004-F1003)&gt;1,(LARGE(F1004:$F1004,1)-LARGE(F$994:$F1004,2))-1,""),"")</f>
        <v/>
      </c>
    </row>
    <row r="1005" spans="1:7">
      <c r="A1005" s="86">
        <f>IF(A998+A996&gt;10,"Look Up",AVERAGE(A1000,A1001))</f>
        <v>8620</v>
      </c>
      <c r="B1005">
        <v>1800</v>
      </c>
      <c r="C1005">
        <v>1800</v>
      </c>
      <c r="D1005">
        <v>1</v>
      </c>
      <c r="E1005">
        <v>2000</v>
      </c>
      <c r="F1005" s="70">
        <v>44545</v>
      </c>
      <c r="G1005" t="str">
        <f>IFERROR(IF((F1005-F1004)&gt;1,(LARGE(F1005:$F1005,1)-LARGE(F$994:$F1005,2))-1,""),"")</f>
        <v/>
      </c>
    </row>
    <row r="1006" spans="1:7">
      <c r="A1006" s="85" t="s">
        <v>44030</v>
      </c>
      <c r="B1006">
        <v>1800</v>
      </c>
      <c r="C1006">
        <v>1800</v>
      </c>
      <c r="D1006">
        <v>5</v>
      </c>
      <c r="E1006">
        <v>28340</v>
      </c>
      <c r="F1006" s="70">
        <v>44546</v>
      </c>
      <c r="G1006" t="str">
        <f>IFERROR(IF((F1006-F1005)&gt;1,(LARGE(F1006:$F1006,1)-LARGE(F$994:$F1006,2))-1,""),"")</f>
        <v/>
      </c>
    </row>
    <row r="1007" spans="1:7">
      <c r="A1007" s="88"/>
      <c r="B1007">
        <v>1800</v>
      </c>
      <c r="C1007">
        <v>1800</v>
      </c>
      <c r="D1007">
        <v>2</v>
      </c>
      <c r="E1007">
        <v>4500</v>
      </c>
      <c r="F1007" s="70">
        <v>44548</v>
      </c>
      <c r="G1007">
        <f>IFERROR(IF((F1007-F1006)&gt;1,(LARGE(F1007:$F1007,1)-LARGE(F$994:$F1007,2))-1,""),"")</f>
        <v>1</v>
      </c>
    </row>
    <row r="1008" spans="1:7">
      <c r="A1008" s="65">
        <f>VLOOKUP(TradeSheet!A69,TypeIDs!B:C,2,FALSE)</f>
        <v>27447</v>
      </c>
      <c r="B1008" t="s">
        <v>43998</v>
      </c>
      <c r="C1008" t="s">
        <v>43999</v>
      </c>
      <c r="D1008" t="s">
        <v>44000</v>
      </c>
      <c r="E1008" t="s">
        <v>44001</v>
      </c>
      <c r="F1008" t="s">
        <v>44009</v>
      </c>
      <c r="G1008" t="s">
        <v>44008</v>
      </c>
    </row>
    <row r="1009" spans="1:7">
      <c r="A1009" s="65" t="str">
        <f>CONCATENATE(SwaggerURL,input068)</f>
        <v>https://esi.evetech.net/latest/markets/10000021/history/?datasource=tranquility&amp;type_id=27447</v>
      </c>
      <c r="B1009">
        <v>1558</v>
      </c>
      <c r="C1009">
        <v>1558</v>
      </c>
      <c r="D1009">
        <v>1</v>
      </c>
      <c r="E1009">
        <v>2000</v>
      </c>
      <c r="F1009" s="70">
        <v>44534</v>
      </c>
      <c r="G1009" t="str">
        <f>IFERROR(IF((F1009-F1008)&gt;1,(LARGE(F1009:$F1009,1)-LARGE(F$1009:$F1009,2))-1,""),"")</f>
        <v/>
      </c>
    </row>
    <row r="1010" spans="1:7">
      <c r="A1010" s="79" t="s">
        <v>44018</v>
      </c>
      <c r="B1010">
        <v>1558</v>
      </c>
      <c r="C1010">
        <v>1558</v>
      </c>
      <c r="D1010">
        <v>1</v>
      </c>
      <c r="E1010">
        <v>1000</v>
      </c>
      <c r="F1010" s="70">
        <v>44535</v>
      </c>
      <c r="G1010" t="str">
        <f>IFERROR(IF((F1010-F1009)&gt;1,(LARGE(F1010:$F1010,1)-LARGE(F$1009:$F1010,2))-1,""),"")</f>
        <v/>
      </c>
    </row>
    <row r="1011" spans="1:7">
      <c r="A1011" s="78">
        <f>MAX(0,(CurrentDate-2)-F1022)</f>
        <v>1</v>
      </c>
      <c r="B1011">
        <v>1558</v>
      </c>
      <c r="C1011">
        <v>1558</v>
      </c>
      <c r="D1011">
        <v>1</v>
      </c>
      <c r="E1011">
        <v>500</v>
      </c>
      <c r="F1011" s="70">
        <v>44537</v>
      </c>
      <c r="G1011">
        <f>IFERROR(IF((F1011-F1010)&gt;1,(LARGE(F1011:$F1011,1)-LARGE(F$1009:$F1011,2))-1,""),"")</f>
        <v>1</v>
      </c>
    </row>
    <row r="1012" spans="1:7">
      <c r="A1012" s="79" t="s">
        <v>44026</v>
      </c>
      <c r="B1012">
        <v>1559</v>
      </c>
      <c r="C1012">
        <v>1559</v>
      </c>
      <c r="D1012">
        <v>5</v>
      </c>
      <c r="E1012">
        <v>3320</v>
      </c>
      <c r="F1012" s="70">
        <v>44538</v>
      </c>
      <c r="G1012" t="str">
        <f>IFERROR(IF((F1012-F1011)&gt;1,(LARGE(F1012:$F1012,1)-LARGE(F$1009:$F1012,2))-1,""),"")</f>
        <v/>
      </c>
    </row>
    <row r="1013" spans="1:7">
      <c r="A1013" s="83">
        <f>SUM(G1016:G1022)</f>
        <v>6</v>
      </c>
      <c r="B1013">
        <v>1559</v>
      </c>
      <c r="C1013">
        <v>1559</v>
      </c>
      <c r="D1013">
        <v>1</v>
      </c>
      <c r="E1013">
        <v>500</v>
      </c>
      <c r="F1013" s="70">
        <v>44539</v>
      </c>
      <c r="G1013" t="str">
        <f>IFERROR(IF((F1013-F1012)&gt;1,(LARGE(F1013:$F1013,1)-LARGE(F$1009:$F1013,2))-1,""),"")</f>
        <v/>
      </c>
    </row>
    <row r="1014" spans="1:7">
      <c r="A1014" s="79" t="s">
        <v>44029</v>
      </c>
      <c r="B1014">
        <v>1559</v>
      </c>
      <c r="C1014">
        <v>1559</v>
      </c>
      <c r="D1014">
        <v>5</v>
      </c>
      <c r="E1014">
        <v>6244</v>
      </c>
      <c r="F1014" s="70">
        <v>44540</v>
      </c>
      <c r="G1014" t="str">
        <f>IFERROR(IF((F1014-F1013)&gt;1,(LARGE(F1014:$F1014,1)-LARGE(F$1009:$F1014,2))-1,""),"")</f>
        <v/>
      </c>
    </row>
    <row r="1015" spans="1:7">
      <c r="A1015" s="77">
        <f>(SUM(E1009:E1022)/(A1011+14)+SUM(G1009:G1022))</f>
        <v>2604.4666666666667</v>
      </c>
      <c r="B1015">
        <v>1557</v>
      </c>
      <c r="C1015">
        <v>1557</v>
      </c>
      <c r="D1015">
        <v>4</v>
      </c>
      <c r="E1015">
        <v>5204</v>
      </c>
      <c r="F1015" s="70">
        <v>44541</v>
      </c>
      <c r="G1015" t="str">
        <f>IFERROR(IF((F1015-F1014)&gt;1,(LARGE(F1015:$F1015,1)-LARGE(F$1009:$F1015,2))-1,""),"")</f>
        <v/>
      </c>
    </row>
    <row r="1016" spans="1:7">
      <c r="A1016" s="77">
        <f>(SUM(E1016:E1022)/(A1011+7)+SUM(G1016:G1022))</f>
        <v>2530.25</v>
      </c>
      <c r="B1016">
        <v>1557</v>
      </c>
      <c r="C1016">
        <v>1557</v>
      </c>
      <c r="D1016">
        <v>2</v>
      </c>
      <c r="E1016">
        <v>4244</v>
      </c>
      <c r="F1016" s="70">
        <v>44542</v>
      </c>
      <c r="G1016" t="str">
        <f>IFERROR(IF((F1016-F1015)&gt;1,(LARGE(F1016:$F1016,1)-LARGE(F$1009:$F1016,2))-1,""),"")</f>
        <v/>
      </c>
    </row>
    <row r="1017" spans="1:7">
      <c r="A1017" s="79" t="s">
        <v>44028</v>
      </c>
      <c r="B1017">
        <v>1556</v>
      </c>
      <c r="C1017">
        <v>1556</v>
      </c>
      <c r="D1017">
        <v>1</v>
      </c>
      <c r="E1017">
        <v>850</v>
      </c>
      <c r="F1017" s="70">
        <v>44543</v>
      </c>
      <c r="G1017" t="str">
        <f>IFERROR(IF((F1017-F1016)&gt;1,(LARGE(F1017:$F1017,1)-LARGE(F$1009:$F1017,2))-1,""),"")</f>
        <v/>
      </c>
    </row>
    <row r="1018" spans="1:7">
      <c r="A1018" s="77">
        <f>(SUM(D1019:D1022)/(A1011+4)+SUM(G1019:G1022))</f>
        <v>7.4</v>
      </c>
      <c r="B1018">
        <v>1556</v>
      </c>
      <c r="C1018">
        <v>1556</v>
      </c>
      <c r="D1018">
        <v>3</v>
      </c>
      <c r="E1018">
        <v>10000</v>
      </c>
      <c r="F1018" s="70">
        <v>44544</v>
      </c>
      <c r="G1018" t="str">
        <f>IFERROR(IF((F1018-F1017)&gt;1,(LARGE(F1018:$F1018,1)-LARGE(F$1009:$F1018,2))-1,""),"")</f>
        <v/>
      </c>
    </row>
    <row r="1019" spans="1:7">
      <c r="A1019" s="85" t="s">
        <v>44027</v>
      </c>
      <c r="B1019">
        <v>1557</v>
      </c>
      <c r="C1019">
        <v>1557</v>
      </c>
      <c r="D1019">
        <v>2</v>
      </c>
      <c r="E1019">
        <v>1300</v>
      </c>
      <c r="F1019" s="70">
        <v>44545</v>
      </c>
      <c r="G1019" t="str">
        <f>IFERROR(IF((F1019-F1018)&gt;1,(LARGE(F1019:$F1019,1)-LARGE(F$1009:$F1019,2))-1,""),"")</f>
        <v/>
      </c>
    </row>
    <row r="1020" spans="1:7">
      <c r="A1020" s="86">
        <f>IF(A1013+A1011&gt;10,"Look Up",AVERAGE(A1015,A1016))</f>
        <v>2567.3583333333336</v>
      </c>
      <c r="B1020">
        <v>1557</v>
      </c>
      <c r="C1020">
        <v>1557</v>
      </c>
      <c r="D1020">
        <v>1</v>
      </c>
      <c r="E1020">
        <v>600</v>
      </c>
      <c r="F1020" s="70">
        <v>44546</v>
      </c>
      <c r="G1020" t="str">
        <f>IFERROR(IF((F1020-F1019)&gt;1,(LARGE(F1020:$F1020,1)-LARGE(F$1009:$F1020,2))-1,""),"")</f>
        <v/>
      </c>
    </row>
    <row r="1021" spans="1:7">
      <c r="A1021" s="85" t="s">
        <v>44030</v>
      </c>
      <c r="B1021">
        <v>1556</v>
      </c>
      <c r="C1021">
        <v>1556</v>
      </c>
      <c r="D1021">
        <v>3</v>
      </c>
      <c r="E1021">
        <v>2600</v>
      </c>
      <c r="F1021" s="70">
        <v>44549</v>
      </c>
      <c r="G1021">
        <f>IFERROR(IF((F1021-F1020)&gt;1,(LARGE(F1021:$F1021,1)-LARGE(F$1009:$F1021,2))-1,""),"")</f>
        <v>2</v>
      </c>
    </row>
    <row r="1022" spans="1:7">
      <c r="A1022" s="88"/>
      <c r="B1022">
        <v>1553</v>
      </c>
      <c r="C1022">
        <v>1553</v>
      </c>
      <c r="D1022">
        <v>1</v>
      </c>
      <c r="E1022">
        <v>600</v>
      </c>
      <c r="F1022" s="70">
        <v>44554</v>
      </c>
      <c r="G1022">
        <f>IFERROR(IF((F1022-F1021)&gt;1,(LARGE(F1022:$F1022,1)-LARGE(F$1009:$F1022,2))-1,""),"")</f>
        <v>4</v>
      </c>
    </row>
    <row r="1023" spans="1:7">
      <c r="A1023" s="65">
        <f>VLOOKUP(TradeSheet!A70,TypeIDs!B:C,2,FALSE)</f>
        <v>27435</v>
      </c>
      <c r="B1023" t="s">
        <v>43998</v>
      </c>
      <c r="C1023" t="s">
        <v>43999</v>
      </c>
      <c r="D1023" t="s">
        <v>44000</v>
      </c>
      <c r="E1023" t="s">
        <v>44001</v>
      </c>
      <c r="F1023" t="s">
        <v>44009</v>
      </c>
      <c r="G1023" t="s">
        <v>44008</v>
      </c>
    </row>
    <row r="1024" spans="1:7">
      <c r="A1024" s="65" t="str">
        <f>CONCATENATE(SwaggerURL,input069)</f>
        <v>https://esi.evetech.net/latest/markets/10000021/history/?datasource=tranquility&amp;type_id=27435</v>
      </c>
      <c r="B1024">
        <v>1877</v>
      </c>
      <c r="C1024">
        <v>1877</v>
      </c>
      <c r="D1024">
        <v>4</v>
      </c>
      <c r="E1024">
        <v>17096</v>
      </c>
      <c r="F1024" s="70">
        <v>44537</v>
      </c>
      <c r="G1024" t="str">
        <f>IFERROR(IF((F1024-F1023)&gt;1,(LARGE(F1024:$F1024,1)-LARGE(F$1024:$F1024,2))-1,""),"")</f>
        <v/>
      </c>
    </row>
    <row r="1025" spans="1:7">
      <c r="A1025" s="79" t="s">
        <v>44018</v>
      </c>
      <c r="B1025">
        <v>1877</v>
      </c>
      <c r="C1025">
        <v>1877</v>
      </c>
      <c r="D1025">
        <v>7</v>
      </c>
      <c r="E1025">
        <v>5570</v>
      </c>
      <c r="F1025" s="70">
        <v>44538</v>
      </c>
      <c r="G1025" t="str">
        <f>IFERROR(IF((F1025-F1024)&gt;1,(LARGE(F1025:$F1025,1)-LARGE(F$1024:$F1025,2))-1,""),"")</f>
        <v/>
      </c>
    </row>
    <row r="1026" spans="1:7">
      <c r="A1026" s="78">
        <f>MAX(0,(CurrentDate-2)-F1037)</f>
        <v>1</v>
      </c>
      <c r="B1026">
        <v>1877</v>
      </c>
      <c r="C1026">
        <v>1877</v>
      </c>
      <c r="D1026">
        <v>2</v>
      </c>
      <c r="E1026">
        <v>1500</v>
      </c>
      <c r="F1026" s="70">
        <v>44539</v>
      </c>
      <c r="G1026" t="str">
        <f>IFERROR(IF((F1026-F1025)&gt;1,(LARGE(F1026:$F1026,1)-LARGE(F$1024:$F1026,2))-1,""),"")</f>
        <v/>
      </c>
    </row>
    <row r="1027" spans="1:7">
      <c r="A1027" s="79" t="s">
        <v>44026</v>
      </c>
      <c r="B1027">
        <v>1878</v>
      </c>
      <c r="C1027">
        <v>1878</v>
      </c>
      <c r="D1027">
        <v>7</v>
      </c>
      <c r="E1027">
        <v>6730</v>
      </c>
      <c r="F1027" s="70">
        <v>44540</v>
      </c>
      <c r="G1027" t="str">
        <f>IFERROR(IF((F1027-F1026)&gt;1,(LARGE(F1027:$F1027,1)-LARGE(F$1024:$F1027,2))-1,""),"")</f>
        <v/>
      </c>
    </row>
    <row r="1028" spans="1:7">
      <c r="A1028" s="83">
        <f>SUM(G1031:G1037)</f>
        <v>1</v>
      </c>
      <c r="B1028">
        <v>1880</v>
      </c>
      <c r="C1028">
        <v>1880</v>
      </c>
      <c r="D1028">
        <v>7</v>
      </c>
      <c r="E1028">
        <v>14292</v>
      </c>
      <c r="F1028" s="70">
        <v>44541</v>
      </c>
      <c r="G1028" t="str">
        <f>IFERROR(IF((F1028-F1027)&gt;1,(LARGE(F1028:$F1028,1)-LARGE(F$1024:$F1028,2))-1,""),"")</f>
        <v/>
      </c>
    </row>
    <row r="1029" spans="1:7">
      <c r="A1029" s="79" t="s">
        <v>44029</v>
      </c>
      <c r="B1029">
        <v>1890</v>
      </c>
      <c r="C1029">
        <v>1890</v>
      </c>
      <c r="D1029">
        <v>1</v>
      </c>
      <c r="E1029">
        <v>7414</v>
      </c>
      <c r="F1029" s="70">
        <v>44542</v>
      </c>
      <c r="G1029" t="str">
        <f>IFERROR(IF((F1029-F1028)&gt;1,(LARGE(F1029:$F1029,1)-LARGE(F$1024:$F1029,2))-1,""),"")</f>
        <v/>
      </c>
    </row>
    <row r="1030" spans="1:7">
      <c r="A1030" s="77">
        <f>(SUM(E1024:E1037)/(A1026+14)+SUM(G1024:G1037))</f>
        <v>5533.333333333333</v>
      </c>
      <c r="B1030">
        <v>2200</v>
      </c>
      <c r="C1030">
        <v>2200</v>
      </c>
      <c r="D1030">
        <v>3</v>
      </c>
      <c r="E1030">
        <v>3600</v>
      </c>
      <c r="F1030" s="70">
        <v>44546</v>
      </c>
      <c r="G1030">
        <f>IFERROR(IF((F1030-F1029)&gt;1,(LARGE(F1030:$F1030,1)-LARGE(F$1024:$F1030,2))-1,""),"")</f>
        <v>3</v>
      </c>
    </row>
    <row r="1031" spans="1:7">
      <c r="A1031" s="77">
        <f>(SUM(E1031:E1037)/(A1026+7)+SUM(G1031:G1037))</f>
        <v>3343.25</v>
      </c>
      <c r="B1031">
        <v>2197</v>
      </c>
      <c r="C1031">
        <v>2197</v>
      </c>
      <c r="D1031">
        <v>1</v>
      </c>
      <c r="E1031">
        <v>500</v>
      </c>
      <c r="F1031" s="70">
        <v>44547</v>
      </c>
      <c r="G1031" t="str">
        <f>IFERROR(IF((F1031-F1030)&gt;1,(LARGE(F1031:$F1031,1)-LARGE(F$1024:$F1031,2))-1,""),"")</f>
        <v/>
      </c>
    </row>
    <row r="1032" spans="1:7">
      <c r="A1032" s="79" t="s">
        <v>44028</v>
      </c>
      <c r="B1032">
        <v>2000</v>
      </c>
      <c r="C1032">
        <v>2000</v>
      </c>
      <c r="D1032">
        <v>1</v>
      </c>
      <c r="E1032">
        <v>1150</v>
      </c>
      <c r="F1032" s="70">
        <v>44548</v>
      </c>
      <c r="G1032" t="str">
        <f>IFERROR(IF((F1032-F1031)&gt;1,(LARGE(F1032:$F1032,1)-LARGE(F$1024:$F1032,2))-1,""),"")</f>
        <v/>
      </c>
    </row>
    <row r="1033" spans="1:7">
      <c r="A1033" s="77">
        <f>(SUM(D1034:D1037)/(A1026+4)+SUM(G1034:G1037))</f>
        <v>2.6</v>
      </c>
      <c r="B1033">
        <v>2198</v>
      </c>
      <c r="C1033">
        <v>2198</v>
      </c>
      <c r="D1033">
        <v>2</v>
      </c>
      <c r="E1033">
        <v>2464</v>
      </c>
      <c r="F1033" s="70">
        <v>44549</v>
      </c>
      <c r="G1033" t="str">
        <f>IFERROR(IF((F1033-F1032)&gt;1,(LARGE(F1033:$F1033,1)-LARGE(F$1024:$F1033,2))-1,""),"")</f>
        <v/>
      </c>
    </row>
    <row r="1034" spans="1:7">
      <c r="A1034" s="85" t="s">
        <v>44027</v>
      </c>
      <c r="B1034">
        <v>1999</v>
      </c>
      <c r="C1034">
        <v>1999</v>
      </c>
      <c r="D1034">
        <v>1</v>
      </c>
      <c r="E1034">
        <v>5000</v>
      </c>
      <c r="F1034" s="70">
        <v>44550</v>
      </c>
      <c r="G1034" t="str">
        <f>IFERROR(IF((F1034-F1033)&gt;1,(LARGE(F1034:$F1034,1)-LARGE(F$1024:$F1034,2))-1,""),"")</f>
        <v/>
      </c>
    </row>
    <row r="1035" spans="1:7">
      <c r="A1035" s="86">
        <f>IF(A1028+A1026&gt;10,"Look Up",AVERAGE(A1030,A1031))</f>
        <v>4438.2916666666661</v>
      </c>
      <c r="B1035">
        <v>1999</v>
      </c>
      <c r="C1035">
        <v>1999</v>
      </c>
      <c r="D1035">
        <v>1</v>
      </c>
      <c r="E1035">
        <v>6000</v>
      </c>
      <c r="F1035" s="70">
        <v>44551</v>
      </c>
      <c r="G1035" t="str">
        <f>IFERROR(IF((F1035-F1034)&gt;1,(LARGE(F1035:$F1035,1)-LARGE(F$1024:$F1035,2))-1,""),"")</f>
        <v/>
      </c>
    </row>
    <row r="1036" spans="1:7">
      <c r="A1036" s="85" t="s">
        <v>44030</v>
      </c>
      <c r="B1036">
        <v>1999</v>
      </c>
      <c r="C1036">
        <v>1999</v>
      </c>
      <c r="D1036">
        <v>1</v>
      </c>
      <c r="E1036">
        <v>5000</v>
      </c>
      <c r="F1036" s="70">
        <v>44552</v>
      </c>
      <c r="G1036" t="str">
        <f>IFERROR(IF((F1036-F1035)&gt;1,(LARGE(F1036:$F1036,1)-LARGE(F$1024:$F1036,2))-1,""),"")</f>
        <v/>
      </c>
    </row>
    <row r="1037" spans="1:7">
      <c r="A1037" s="88"/>
      <c r="B1037">
        <v>1999</v>
      </c>
      <c r="C1037">
        <v>1999</v>
      </c>
      <c r="D1037">
        <v>5</v>
      </c>
      <c r="E1037">
        <v>6624</v>
      </c>
      <c r="F1037" s="70">
        <v>44554</v>
      </c>
      <c r="G1037">
        <f>IFERROR(IF((F1037-F1036)&gt;1,(LARGE(F1037:$F1037,1)-LARGE(F$1024:$F1037,2))-1,""),"")</f>
        <v>1</v>
      </c>
    </row>
    <row r="1038" spans="1:7">
      <c r="A1038" s="65">
        <f>VLOOKUP(TradeSheet!A71,TypeIDs!B:C,2,FALSE)</f>
        <v>27453</v>
      </c>
      <c r="B1038" t="s">
        <v>43998</v>
      </c>
      <c r="C1038" t="s">
        <v>43999</v>
      </c>
      <c r="D1038" t="s">
        <v>44000</v>
      </c>
      <c r="E1038" t="s">
        <v>44001</v>
      </c>
      <c r="F1038" t="s">
        <v>44009</v>
      </c>
      <c r="G1038" t="s">
        <v>44008</v>
      </c>
    </row>
    <row r="1039" spans="1:7">
      <c r="A1039" s="65" t="str">
        <f>CONCATENATE(SwaggerURL,input070)</f>
        <v>https://esi.evetech.net/latest/markets/10000021/history/?datasource=tranquility&amp;type_id=27453</v>
      </c>
      <c r="B1039">
        <v>1300</v>
      </c>
      <c r="C1039">
        <v>1300</v>
      </c>
      <c r="D1039">
        <v>1</v>
      </c>
      <c r="E1039">
        <v>2000</v>
      </c>
      <c r="F1039" s="70">
        <v>44534</v>
      </c>
      <c r="G1039" t="str">
        <f>IFERROR(IF((F1039-F1038)&gt;1,(LARGE(F1039:$F1039,1)-LARGE(F$1039:$F1039,2))-1,""),"")</f>
        <v/>
      </c>
    </row>
    <row r="1040" spans="1:7">
      <c r="A1040" s="79" t="s">
        <v>44018</v>
      </c>
      <c r="B1040">
        <v>1300</v>
      </c>
      <c r="C1040">
        <v>1300</v>
      </c>
      <c r="D1040">
        <v>1</v>
      </c>
      <c r="E1040">
        <v>500</v>
      </c>
      <c r="F1040" s="70">
        <v>44537</v>
      </c>
      <c r="G1040">
        <f>IFERROR(IF((F1040-F1039)&gt;1,(LARGE(F1040:$F1040,1)-LARGE(F$1039:$F1040,2))-1,""),"")</f>
        <v>2</v>
      </c>
    </row>
    <row r="1041" spans="1:7">
      <c r="A1041" s="78">
        <f>MAX(0,(CurrentDate-2)-F1052)</f>
        <v>1</v>
      </c>
      <c r="B1041">
        <v>1300</v>
      </c>
      <c r="C1041">
        <v>1300</v>
      </c>
      <c r="D1041">
        <v>5</v>
      </c>
      <c r="E1041">
        <v>4600</v>
      </c>
      <c r="F1041" s="70">
        <v>44538</v>
      </c>
      <c r="G1041" t="str">
        <f>IFERROR(IF((F1041-F1040)&gt;1,(LARGE(F1041:$F1041,1)-LARGE(F$1039:$F1041,2))-1,""),"")</f>
        <v/>
      </c>
    </row>
    <row r="1042" spans="1:7">
      <c r="A1042" s="79" t="s">
        <v>44026</v>
      </c>
      <c r="B1042">
        <v>1300</v>
      </c>
      <c r="C1042">
        <v>1300</v>
      </c>
      <c r="D1042">
        <v>1</v>
      </c>
      <c r="E1042">
        <v>500</v>
      </c>
      <c r="F1042" s="70">
        <v>44539</v>
      </c>
      <c r="G1042" t="str">
        <f>IFERROR(IF((F1042-F1041)&gt;1,(LARGE(F1042:$F1042,1)-LARGE(F$1039:$F1042,2))-1,""),"")</f>
        <v/>
      </c>
    </row>
    <row r="1043" spans="1:7">
      <c r="A1043" s="83">
        <f>SUM(G1046:G1052)</f>
        <v>5</v>
      </c>
      <c r="B1043">
        <v>1410</v>
      </c>
      <c r="C1043">
        <v>1410</v>
      </c>
      <c r="D1043">
        <v>6</v>
      </c>
      <c r="E1043">
        <v>8150</v>
      </c>
      <c r="F1043" s="70">
        <v>44540</v>
      </c>
      <c r="G1043" t="str">
        <f>IFERROR(IF((F1043-F1042)&gt;1,(LARGE(F1043:$F1043,1)-LARGE(F$1039:$F1043,2))-1,""),"")</f>
        <v/>
      </c>
    </row>
    <row r="1044" spans="1:7">
      <c r="A1044" s="79" t="s">
        <v>44029</v>
      </c>
      <c r="B1044">
        <v>1410</v>
      </c>
      <c r="C1044">
        <v>1410</v>
      </c>
      <c r="D1044">
        <v>3</v>
      </c>
      <c r="E1044">
        <v>2600</v>
      </c>
      <c r="F1044" s="70">
        <v>44541</v>
      </c>
      <c r="G1044" t="str">
        <f>IFERROR(IF((F1044-F1043)&gt;1,(LARGE(F1044:$F1044,1)-LARGE(F$1039:$F1044,2))-1,""),"")</f>
        <v/>
      </c>
    </row>
    <row r="1045" spans="1:7">
      <c r="A1045" s="77">
        <f>(SUM(E1039:E1052)/(A1041+14)+SUM(G1039:G1052))</f>
        <v>1689.6666666666667</v>
      </c>
      <c r="B1045">
        <v>1373</v>
      </c>
      <c r="C1045">
        <v>1373</v>
      </c>
      <c r="D1045">
        <v>3</v>
      </c>
      <c r="E1045">
        <v>3000</v>
      </c>
      <c r="F1045" s="70">
        <v>44542</v>
      </c>
      <c r="G1045" t="str">
        <f>IFERROR(IF((F1045-F1044)&gt;1,(LARGE(F1045:$F1045,1)-LARGE(F$1039:$F1045,2))-1,""),"")</f>
        <v/>
      </c>
    </row>
    <row r="1046" spans="1:7">
      <c r="A1046" s="77">
        <f>(SUM(E1046:E1052)/(A1041+7)+SUM(G1046:G1052))</f>
        <v>491.25</v>
      </c>
      <c r="B1046">
        <v>1373</v>
      </c>
      <c r="C1046">
        <v>1373</v>
      </c>
      <c r="D1046">
        <v>1</v>
      </c>
      <c r="E1046">
        <v>1000</v>
      </c>
      <c r="F1046" s="70">
        <v>44543</v>
      </c>
      <c r="G1046" t="str">
        <f>IFERROR(IF((F1046-F1045)&gt;1,(LARGE(F1046:$F1046,1)-LARGE(F$1039:$F1046,2))-1,""),"")</f>
        <v/>
      </c>
    </row>
    <row r="1047" spans="1:7">
      <c r="A1047" s="79" t="s">
        <v>44028</v>
      </c>
      <c r="B1047">
        <v>1373</v>
      </c>
      <c r="C1047">
        <v>1373</v>
      </c>
      <c r="D1047">
        <v>1</v>
      </c>
      <c r="E1047">
        <v>500</v>
      </c>
      <c r="F1047" s="70">
        <v>44545</v>
      </c>
      <c r="G1047">
        <f>IFERROR(IF((F1047-F1046)&gt;1,(LARGE(F1047:$F1047,1)-LARGE(F$1039:$F1047,2))-1,""),"")</f>
        <v>1</v>
      </c>
    </row>
    <row r="1048" spans="1:7">
      <c r="A1048" s="77">
        <f>(SUM(D1049:D1052)/(A1041+4)+SUM(G1049:G1052))</f>
        <v>4.8</v>
      </c>
      <c r="B1048">
        <v>1373</v>
      </c>
      <c r="C1048">
        <v>1373</v>
      </c>
      <c r="D1048">
        <v>1</v>
      </c>
      <c r="E1048">
        <v>600</v>
      </c>
      <c r="F1048" s="70">
        <v>44546</v>
      </c>
      <c r="G1048" t="str">
        <f>IFERROR(IF((F1048-F1047)&gt;1,(LARGE(F1048:$F1048,1)-LARGE(F$1039:$F1048,2))-1,""),"")</f>
        <v/>
      </c>
    </row>
    <row r="1049" spans="1:7">
      <c r="A1049" s="85" t="s">
        <v>44027</v>
      </c>
      <c r="B1049">
        <v>1373</v>
      </c>
      <c r="C1049">
        <v>1373</v>
      </c>
      <c r="D1049">
        <v>1</v>
      </c>
      <c r="E1049">
        <v>500</v>
      </c>
      <c r="F1049" s="70">
        <v>44547</v>
      </c>
      <c r="G1049" t="str">
        <f>IFERROR(IF((F1049-F1048)&gt;1,(LARGE(F1049:$F1049,1)-LARGE(F$1039:$F1049,2))-1,""),"")</f>
        <v/>
      </c>
    </row>
    <row r="1050" spans="1:7">
      <c r="A1050" s="86">
        <f>IF(A1043+A1041&gt;10,"Look Up",AVERAGE(A1045,A1046))</f>
        <v>1090.4583333333335</v>
      </c>
      <c r="B1050">
        <v>1373</v>
      </c>
      <c r="C1050">
        <v>1373</v>
      </c>
      <c r="D1050">
        <v>1</v>
      </c>
      <c r="E1050">
        <v>90</v>
      </c>
      <c r="F1050" s="70">
        <v>44548</v>
      </c>
      <c r="G1050" t="str">
        <f>IFERROR(IF((F1050-F1049)&gt;1,(LARGE(F1050:$F1050,1)-LARGE(F$1039:$F1050,2))-1,""),"")</f>
        <v/>
      </c>
    </row>
    <row r="1051" spans="1:7">
      <c r="A1051" s="85" t="s">
        <v>44030</v>
      </c>
      <c r="B1051">
        <v>1373</v>
      </c>
      <c r="C1051">
        <v>1373</v>
      </c>
      <c r="D1051">
        <v>1</v>
      </c>
      <c r="E1051">
        <v>600</v>
      </c>
      <c r="F1051" s="70">
        <v>44549</v>
      </c>
      <c r="G1051" t="str">
        <f>IFERROR(IF((F1051-F1050)&gt;1,(LARGE(F1051:$F1051,1)-LARGE(F$1039:$F1051,2))-1,""),"")</f>
        <v/>
      </c>
    </row>
    <row r="1052" spans="1:7">
      <c r="A1052" s="88"/>
      <c r="B1052">
        <v>1372</v>
      </c>
      <c r="C1052">
        <v>1372</v>
      </c>
      <c r="D1052">
        <v>1</v>
      </c>
      <c r="E1052">
        <v>600</v>
      </c>
      <c r="F1052" s="70">
        <v>44554</v>
      </c>
      <c r="G1052">
        <f>IFERROR(IF((F1052-F1051)&gt;1,(LARGE(F1052:$F1052,1)-LARGE(F$1039:$F1052,2))-1,""),"")</f>
        <v>4</v>
      </c>
    </row>
    <row r="1053" spans="1:7">
      <c r="A1053" s="65">
        <f>VLOOKUP(TradeSheet!A72,TypeIDs!B:C,2,FALSE)</f>
        <v>27441</v>
      </c>
      <c r="B1053" t="s">
        <v>43998</v>
      </c>
      <c r="C1053" t="s">
        <v>43999</v>
      </c>
      <c r="D1053" t="s">
        <v>44000</v>
      </c>
      <c r="E1053" t="s">
        <v>44001</v>
      </c>
      <c r="F1053" t="s">
        <v>44009</v>
      </c>
      <c r="G1053" t="s">
        <v>44008</v>
      </c>
    </row>
    <row r="1054" spans="1:7">
      <c r="A1054" s="65" t="str">
        <f>CONCATENATE(SwaggerURL,input071)</f>
        <v>https://esi.evetech.net/latest/markets/10000021/history/?datasource=tranquility&amp;type_id=27441</v>
      </c>
      <c r="B1054">
        <v>1291</v>
      </c>
      <c r="C1054">
        <v>1291</v>
      </c>
      <c r="D1054">
        <v>3</v>
      </c>
      <c r="E1054">
        <v>2144</v>
      </c>
      <c r="F1054" s="70">
        <v>44537</v>
      </c>
      <c r="G1054" t="str">
        <f>IFERROR(IF((F1054-F1053)&gt;1,(LARGE(F1054:$F1054,1)-LARGE(F$1054:$F1054,2))-1,""),"")</f>
        <v/>
      </c>
    </row>
    <row r="1055" spans="1:7">
      <c r="A1055" s="79" t="s">
        <v>44018</v>
      </c>
      <c r="B1055">
        <v>1290</v>
      </c>
      <c r="C1055">
        <v>1290</v>
      </c>
      <c r="D1055">
        <v>8</v>
      </c>
      <c r="E1055">
        <v>12901</v>
      </c>
      <c r="F1055" s="70">
        <v>44538</v>
      </c>
      <c r="G1055" t="str">
        <f>IFERROR(IF((F1055-F1054)&gt;1,(LARGE(F1055:$F1055,1)-LARGE(F$1054:$F1055,2))-1,""),"")</f>
        <v/>
      </c>
    </row>
    <row r="1056" spans="1:7">
      <c r="A1056" s="78">
        <f>MAX(0,(CurrentDate-2)-F1067)</f>
        <v>1</v>
      </c>
      <c r="B1056">
        <v>1289</v>
      </c>
      <c r="C1056">
        <v>1289</v>
      </c>
      <c r="D1056">
        <v>5</v>
      </c>
      <c r="E1056">
        <v>4489</v>
      </c>
      <c r="F1056" s="70">
        <v>44539</v>
      </c>
      <c r="G1056" t="str">
        <f>IFERROR(IF((F1056-F1055)&gt;1,(LARGE(F1056:$F1056,1)-LARGE(F$1054:$F1056,2))-1,""),"")</f>
        <v/>
      </c>
    </row>
    <row r="1057" spans="1:7">
      <c r="A1057" s="79" t="s">
        <v>44026</v>
      </c>
      <c r="B1057">
        <v>1289</v>
      </c>
      <c r="C1057">
        <v>1280</v>
      </c>
      <c r="D1057">
        <v>9</v>
      </c>
      <c r="E1057">
        <v>11590</v>
      </c>
      <c r="F1057" s="70">
        <v>44540</v>
      </c>
      <c r="G1057" t="str">
        <f>IFERROR(IF((F1057-F1056)&gt;1,(LARGE(F1057:$F1057,1)-LARGE(F$1054:$F1057,2))-1,""),"")</f>
        <v/>
      </c>
    </row>
    <row r="1058" spans="1:7">
      <c r="A1058" s="83">
        <f>SUM(G1061:G1067)</f>
        <v>4</v>
      </c>
      <c r="B1058">
        <v>1290</v>
      </c>
      <c r="C1058">
        <v>1290</v>
      </c>
      <c r="D1058">
        <v>4</v>
      </c>
      <c r="E1058">
        <v>1600</v>
      </c>
      <c r="F1058" s="70">
        <v>44541</v>
      </c>
      <c r="G1058" t="str">
        <f>IFERROR(IF((F1058-F1057)&gt;1,(LARGE(F1058:$F1058,1)-LARGE(F$1054:$F1058,2))-1,""),"")</f>
        <v/>
      </c>
    </row>
    <row r="1059" spans="1:7">
      <c r="A1059" s="79" t="s">
        <v>44029</v>
      </c>
      <c r="B1059">
        <v>1290</v>
      </c>
      <c r="C1059">
        <v>1290</v>
      </c>
      <c r="D1059">
        <v>4</v>
      </c>
      <c r="E1059">
        <v>9400</v>
      </c>
      <c r="F1059" s="70">
        <v>44542</v>
      </c>
      <c r="G1059" t="str">
        <f>IFERROR(IF((F1059-F1058)&gt;1,(LARGE(F1059:$F1059,1)-LARGE(F$1054:$F1059,2))-1,""),"")</f>
        <v/>
      </c>
    </row>
    <row r="1060" spans="1:7">
      <c r="A1060" s="77">
        <f>(SUM(E1054:E1067)/(A1056+14)+SUM(G1054:G1067))</f>
        <v>5489.8666666666668</v>
      </c>
      <c r="B1060">
        <v>1290</v>
      </c>
      <c r="C1060">
        <v>1290</v>
      </c>
      <c r="D1060">
        <v>3</v>
      </c>
      <c r="E1060">
        <v>10000</v>
      </c>
      <c r="F1060" s="70">
        <v>44543</v>
      </c>
      <c r="G1060" t="str">
        <f>IFERROR(IF((F1060-F1059)&gt;1,(LARGE(F1060:$F1060,1)-LARGE(F$1054:$F1060,2))-1,""),"")</f>
        <v/>
      </c>
    </row>
    <row r="1061" spans="1:7">
      <c r="A1061" s="77">
        <f>(SUM(E1061:E1067)/(A1056+7)+SUM(G1061:G1067))</f>
        <v>3774.5</v>
      </c>
      <c r="B1061">
        <v>1300</v>
      </c>
      <c r="C1061">
        <v>1300</v>
      </c>
      <c r="D1061">
        <v>3</v>
      </c>
      <c r="E1061">
        <v>5664</v>
      </c>
      <c r="F1061" s="70">
        <v>44544</v>
      </c>
      <c r="G1061" t="str">
        <f>IFERROR(IF((F1061-F1060)&gt;1,(LARGE(F1061:$F1061,1)-LARGE(F$1054:$F1061,2))-1,""),"")</f>
        <v/>
      </c>
    </row>
    <row r="1062" spans="1:7">
      <c r="A1062" s="79" t="s">
        <v>44028</v>
      </c>
      <c r="B1062">
        <v>1398</v>
      </c>
      <c r="C1062">
        <v>1398</v>
      </c>
      <c r="D1062">
        <v>4</v>
      </c>
      <c r="E1062">
        <v>13110</v>
      </c>
      <c r="F1062" s="70">
        <v>44545</v>
      </c>
      <c r="G1062" t="str">
        <f>IFERROR(IF((F1062-F1061)&gt;1,(LARGE(F1062:$F1062,1)-LARGE(F$1054:$F1062,2))-1,""),"")</f>
        <v/>
      </c>
    </row>
    <row r="1063" spans="1:7">
      <c r="A1063" s="77">
        <f>(SUM(D1064:D1067)/(A1056+4)+SUM(G1064:G1067))</f>
        <v>5.8</v>
      </c>
      <c r="B1063">
        <v>1398</v>
      </c>
      <c r="C1063">
        <v>1398</v>
      </c>
      <c r="D1063">
        <v>1</v>
      </c>
      <c r="E1063">
        <v>600</v>
      </c>
      <c r="F1063" s="70">
        <v>44546</v>
      </c>
      <c r="G1063" t="str">
        <f>IFERROR(IF((F1063-F1062)&gt;1,(LARGE(F1063:$F1063,1)-LARGE(F$1054:$F1063,2))-1,""),"")</f>
        <v/>
      </c>
    </row>
    <row r="1064" spans="1:7">
      <c r="A1064" s="85" t="s">
        <v>44027</v>
      </c>
      <c r="B1064">
        <v>1398</v>
      </c>
      <c r="C1064">
        <v>1398</v>
      </c>
      <c r="D1064">
        <v>2</v>
      </c>
      <c r="E1064">
        <v>2090</v>
      </c>
      <c r="F1064" s="70">
        <v>44548</v>
      </c>
      <c r="G1064">
        <f>IFERROR(IF((F1064-F1063)&gt;1,(LARGE(F1064:$F1064,1)-LARGE(F$1054:$F1064,2))-1,""),"")</f>
        <v>1</v>
      </c>
    </row>
    <row r="1065" spans="1:7">
      <c r="A1065" s="86">
        <f>IF(A1058+A1056&gt;10,"Look Up",AVERAGE(A1060,A1061))</f>
        <v>4632.1833333333334</v>
      </c>
      <c r="B1065">
        <v>1398</v>
      </c>
      <c r="C1065">
        <v>1398</v>
      </c>
      <c r="D1065">
        <v>2</v>
      </c>
      <c r="E1065">
        <v>2600</v>
      </c>
      <c r="F1065" s="70">
        <v>44549</v>
      </c>
      <c r="G1065" t="str">
        <f>IFERROR(IF((F1065-F1064)&gt;1,(LARGE(F1065:$F1065,1)-LARGE(F$1054:$F1065,2))-1,""),"")</f>
        <v/>
      </c>
    </row>
    <row r="1066" spans="1:7">
      <c r="A1066" s="85" t="s">
        <v>44030</v>
      </c>
      <c r="B1066">
        <v>1398</v>
      </c>
      <c r="C1066">
        <v>1398</v>
      </c>
      <c r="D1066">
        <v>1</v>
      </c>
      <c r="E1066">
        <v>5000</v>
      </c>
      <c r="F1066" s="70">
        <v>44550</v>
      </c>
      <c r="G1066" t="str">
        <f>IFERROR(IF((F1066-F1065)&gt;1,(LARGE(F1066:$F1066,1)-LARGE(F$1054:$F1066,2))-1,""),"")</f>
        <v/>
      </c>
    </row>
    <row r="1067" spans="1:7">
      <c r="A1067" s="88"/>
      <c r="B1067">
        <v>1397</v>
      </c>
      <c r="C1067">
        <v>1397</v>
      </c>
      <c r="D1067">
        <v>4</v>
      </c>
      <c r="E1067">
        <v>1100</v>
      </c>
      <c r="F1067" s="70">
        <v>44554</v>
      </c>
      <c r="G1067">
        <f>IFERROR(IF((F1067-F1066)&gt;1,(LARGE(F1067:$F1067,1)-LARGE(F$1054:$F1067,2))-1,""),"")</f>
        <v>3</v>
      </c>
    </row>
    <row r="1068" spans="1:7">
      <c r="A1068" s="65">
        <f>VLOOKUP(TradeSheet!A73,TypeIDs!B:C,2,FALSE)</f>
        <v>207</v>
      </c>
      <c r="B1068" t="s">
        <v>43998</v>
      </c>
      <c r="C1068" t="s">
        <v>43999</v>
      </c>
      <c r="D1068" t="s">
        <v>44000</v>
      </c>
      <c r="E1068" t="s">
        <v>44001</v>
      </c>
      <c r="F1068" t="s">
        <v>44009</v>
      </c>
      <c r="G1068" t="s">
        <v>44008</v>
      </c>
    </row>
    <row r="1069" spans="1:7">
      <c r="A1069" s="65" t="str">
        <f>CONCATENATE(SwaggerURL,input072)</f>
        <v>https://esi.evetech.net/latest/markets/10000021/history/?datasource=tranquility&amp;type_id=207</v>
      </c>
      <c r="B1069">
        <v>340.2</v>
      </c>
      <c r="C1069">
        <v>340.2</v>
      </c>
      <c r="D1069">
        <v>2</v>
      </c>
      <c r="E1069">
        <v>7144</v>
      </c>
      <c r="F1069" s="70">
        <v>44520</v>
      </c>
      <c r="G1069" t="str">
        <f>IFERROR(IF((F1069-F1068)&gt;1,(LARGE(F1069:$F1069,1)-LARGE(F$1069:$F1069,2))-1,""),"")</f>
        <v/>
      </c>
    </row>
    <row r="1070" spans="1:7">
      <c r="A1070" s="79" t="s">
        <v>44018</v>
      </c>
      <c r="B1070">
        <v>340.2</v>
      </c>
      <c r="C1070">
        <v>340.2</v>
      </c>
      <c r="D1070">
        <v>1</v>
      </c>
      <c r="E1070">
        <v>1131</v>
      </c>
      <c r="F1070" s="70">
        <v>44521</v>
      </c>
      <c r="G1070" t="str">
        <f>IFERROR(IF((F1070-F1069)&gt;1,(LARGE(F1070:$F1070,1)-LARGE(F$1069:$F1070,2))-1,""),"")</f>
        <v/>
      </c>
    </row>
    <row r="1071" spans="1:7">
      <c r="A1071" s="78">
        <f>MAX(0,(CurrentDate-2)-F1082)</f>
        <v>9</v>
      </c>
      <c r="B1071">
        <v>399.9</v>
      </c>
      <c r="C1071">
        <v>399.9</v>
      </c>
      <c r="D1071">
        <v>1</v>
      </c>
      <c r="E1071">
        <v>20000</v>
      </c>
      <c r="F1071" s="70">
        <v>44522</v>
      </c>
      <c r="G1071" t="str">
        <f>IFERROR(IF((F1071-F1070)&gt;1,(LARGE(F1071:$F1071,1)-LARGE(F$1069:$F1071,2))-1,""),"")</f>
        <v/>
      </c>
    </row>
    <row r="1072" spans="1:7">
      <c r="A1072" s="79" t="s">
        <v>44026</v>
      </c>
      <c r="B1072">
        <v>327.3</v>
      </c>
      <c r="C1072">
        <v>327.3</v>
      </c>
      <c r="D1072">
        <v>2</v>
      </c>
      <c r="E1072">
        <v>20034</v>
      </c>
      <c r="F1072" s="70">
        <v>44524</v>
      </c>
      <c r="G1072">
        <f>IFERROR(IF((F1072-F1071)&gt;1,(LARGE(F1072:$F1072,1)-LARGE(F$1069:$F1072,2))-1,""),"")</f>
        <v>1</v>
      </c>
    </row>
    <row r="1073" spans="1:7">
      <c r="A1073" s="83">
        <f>SUM(G1076:G1082)</f>
        <v>11</v>
      </c>
      <c r="B1073">
        <v>399.8</v>
      </c>
      <c r="C1073">
        <v>399.8</v>
      </c>
      <c r="D1073">
        <v>1</v>
      </c>
      <c r="E1073">
        <v>2759</v>
      </c>
      <c r="F1073" s="70">
        <v>44525</v>
      </c>
      <c r="G1073" t="str">
        <f>IFERROR(IF((F1073-F1072)&gt;1,(LARGE(F1073:$F1073,1)-LARGE(F$1069:$F1073,2))-1,""),"")</f>
        <v/>
      </c>
    </row>
    <row r="1074" spans="1:7">
      <c r="A1074" s="79" t="s">
        <v>44029</v>
      </c>
      <c r="B1074">
        <v>399.8</v>
      </c>
      <c r="C1074">
        <v>399.8</v>
      </c>
      <c r="D1074">
        <v>4</v>
      </c>
      <c r="E1074">
        <v>25000</v>
      </c>
      <c r="F1074" s="70">
        <v>44527</v>
      </c>
      <c r="G1074">
        <f>IFERROR(IF((F1074-F1073)&gt;1,(LARGE(F1074:$F1074,1)-LARGE(F$1069:$F1074,2))-1,""),"")</f>
        <v>1</v>
      </c>
    </row>
    <row r="1075" spans="1:7">
      <c r="A1075" s="77">
        <f>(SUM(E1069:E1082)/(A1071+14)+SUM(G1069:G1082))</f>
        <v>7519.217391304348</v>
      </c>
      <c r="B1075">
        <v>399.8</v>
      </c>
      <c r="C1075">
        <v>399.8</v>
      </c>
      <c r="D1075">
        <v>3</v>
      </c>
      <c r="E1075">
        <v>5500</v>
      </c>
      <c r="F1075" s="70">
        <v>44528</v>
      </c>
      <c r="G1075" t="str">
        <f>IFERROR(IF((F1075-F1074)&gt;1,(LARGE(F1075:$F1075,1)-LARGE(F$1069:$F1075,2))-1,""),"")</f>
        <v/>
      </c>
    </row>
    <row r="1076" spans="1:7">
      <c r="A1076" s="77">
        <f>(SUM(E1076:E1082)/(A1071+7)+SUM(G1076:G1082))</f>
        <v>5703.1875</v>
      </c>
      <c r="B1076">
        <v>380.1</v>
      </c>
      <c r="C1076">
        <v>380.1</v>
      </c>
      <c r="D1076">
        <v>2</v>
      </c>
      <c r="E1076">
        <v>16000</v>
      </c>
      <c r="F1076" s="70">
        <v>44531</v>
      </c>
      <c r="G1076">
        <f>IFERROR(IF((F1076-F1075)&gt;1,(LARGE(F1076:$F1076,1)-LARGE(F$1069:$F1076,2))-1,""),"")</f>
        <v>2</v>
      </c>
    </row>
    <row r="1077" spans="1:7">
      <c r="A1077" s="79" t="s">
        <v>44028</v>
      </c>
      <c r="B1077">
        <v>350</v>
      </c>
      <c r="C1077">
        <v>350</v>
      </c>
      <c r="D1077">
        <v>1</v>
      </c>
      <c r="E1077">
        <v>10000</v>
      </c>
      <c r="F1077" s="70">
        <v>44532</v>
      </c>
      <c r="G1077" t="str">
        <f>IFERROR(IF((F1077-F1076)&gt;1,(LARGE(F1077:$F1077,1)-LARGE(F$1069:$F1077,2))-1,""),"")</f>
        <v/>
      </c>
    </row>
    <row r="1078" spans="1:7">
      <c r="A1078" s="77">
        <f>(SUM(D1079:D1082)/(A1071+4)+SUM(G1079:G1082))</f>
        <v>9.615384615384615</v>
      </c>
      <c r="B1078">
        <v>380</v>
      </c>
      <c r="C1078">
        <v>380</v>
      </c>
      <c r="D1078">
        <v>1</v>
      </c>
      <c r="E1078">
        <v>30000</v>
      </c>
      <c r="F1078" s="70">
        <v>44533</v>
      </c>
      <c r="G1078" t="str">
        <f>IFERROR(IF((F1078-F1077)&gt;1,(LARGE(F1078:$F1078,1)-LARGE(F$1069:$F1078,2))-1,""),"")</f>
        <v/>
      </c>
    </row>
    <row r="1079" spans="1:7">
      <c r="A1079" s="85" t="s">
        <v>44027</v>
      </c>
      <c r="B1079">
        <v>377</v>
      </c>
      <c r="C1079">
        <v>377</v>
      </c>
      <c r="D1079">
        <v>4</v>
      </c>
      <c r="E1079">
        <v>16354</v>
      </c>
      <c r="F1079" s="70">
        <v>44537</v>
      </c>
      <c r="G1079">
        <f>IFERROR(IF((F1079-F1078)&gt;1,(LARGE(F1079:$F1079,1)-LARGE(F$1069:$F1079,2))-1,""),"")</f>
        <v>3</v>
      </c>
    </row>
    <row r="1080" spans="1:7">
      <c r="A1080" s="86" t="str">
        <f>IF(A1073+A1071&gt;10,"Look Up",AVERAGE(A1075,A1076))</f>
        <v>Look Up</v>
      </c>
      <c r="B1080">
        <v>377</v>
      </c>
      <c r="C1080">
        <v>377</v>
      </c>
      <c r="D1080">
        <v>1</v>
      </c>
      <c r="E1080">
        <v>2000</v>
      </c>
      <c r="F1080" s="70">
        <v>44538</v>
      </c>
      <c r="G1080" t="str">
        <f>IFERROR(IF((F1080-F1079)&gt;1,(LARGE(F1080:$F1080,1)-LARGE(F$1069:$F1080,2))-1,""),"")</f>
        <v/>
      </c>
    </row>
    <row r="1081" spans="1:7">
      <c r="A1081" s="85" t="s">
        <v>44030</v>
      </c>
      <c r="B1081">
        <v>377</v>
      </c>
      <c r="C1081">
        <v>377</v>
      </c>
      <c r="D1081">
        <v>1</v>
      </c>
      <c r="E1081">
        <v>11746</v>
      </c>
      <c r="F1081" s="70">
        <v>44540</v>
      </c>
      <c r="G1081">
        <f>IFERROR(IF((F1081-F1080)&gt;1,(LARGE(F1081:$F1081,1)-LARGE(F$1069:$F1081,2))-1,""),"")</f>
        <v>1</v>
      </c>
    </row>
    <row r="1082" spans="1:7">
      <c r="A1082" s="88"/>
      <c r="B1082">
        <v>370</v>
      </c>
      <c r="C1082">
        <v>370</v>
      </c>
      <c r="D1082">
        <v>2</v>
      </c>
      <c r="E1082">
        <v>4975</v>
      </c>
      <c r="F1082" s="70">
        <v>44546</v>
      </c>
      <c r="G1082">
        <f>IFERROR(IF((F1082-F1081)&gt;1,(LARGE(F1082:$F1082,1)-LARGE(F$1069:$F1082,2))-1,""),"")</f>
        <v>5</v>
      </c>
    </row>
    <row r="1083" spans="1:7">
      <c r="A1083" s="65">
        <f>VLOOKUP(TradeSheet!A74,TypeIDs!B:C,2,FALSE)</f>
        <v>24499</v>
      </c>
      <c r="B1083" t="s">
        <v>43998</v>
      </c>
      <c r="C1083" t="s">
        <v>43999</v>
      </c>
      <c r="D1083" t="s">
        <v>44000</v>
      </c>
      <c r="E1083" t="s">
        <v>44001</v>
      </c>
      <c r="F1083" t="s">
        <v>44009</v>
      </c>
      <c r="G1083" t="s">
        <v>44008</v>
      </c>
    </row>
    <row r="1084" spans="1:7">
      <c r="A1084" s="65" t="str">
        <f>CONCATENATE(SwaggerURL,input073)</f>
        <v>https://esi.evetech.net/latest/markets/10000021/history/?datasource=tranquility&amp;type_id=24499</v>
      </c>
      <c r="B1084">
        <v>185</v>
      </c>
      <c r="C1084">
        <v>185</v>
      </c>
      <c r="D1084">
        <v>2</v>
      </c>
      <c r="E1084">
        <v>1748</v>
      </c>
      <c r="F1084" s="70">
        <v>44539</v>
      </c>
      <c r="G1084" t="str">
        <f>IFERROR(IF((F1084-F1083)&gt;1,(LARGE(F1084:$F1084,1)-LARGE(F$1084:$F1084,2))-1,""),"")</f>
        <v/>
      </c>
    </row>
    <row r="1085" spans="1:7">
      <c r="A1085" s="79" t="s">
        <v>44018</v>
      </c>
      <c r="B1085">
        <v>185</v>
      </c>
      <c r="C1085">
        <v>185</v>
      </c>
      <c r="D1085">
        <v>2</v>
      </c>
      <c r="E1085">
        <v>2052</v>
      </c>
      <c r="F1085" s="70">
        <v>44540</v>
      </c>
      <c r="G1085" t="str">
        <f>IFERROR(IF((F1085-F1084)&gt;1,(LARGE(F1085:$F1085,1)-LARGE(F$1084:$F1085,2))-1,""),"")</f>
        <v/>
      </c>
    </row>
    <row r="1086" spans="1:7">
      <c r="A1086" s="78">
        <f>MAX(0,(CurrentDate-2)-F1097)</f>
        <v>1</v>
      </c>
      <c r="B1086">
        <v>180</v>
      </c>
      <c r="C1086">
        <v>180</v>
      </c>
      <c r="D1086">
        <v>1</v>
      </c>
      <c r="E1086">
        <v>833</v>
      </c>
      <c r="F1086" s="70">
        <v>44541</v>
      </c>
      <c r="G1086" t="str">
        <f>IFERROR(IF((F1086-F1085)&gt;1,(LARGE(F1086:$F1086,1)-LARGE(F$1084:$F1086,2))-1,""),"")</f>
        <v/>
      </c>
    </row>
    <row r="1087" spans="1:7">
      <c r="A1087" s="79" t="s">
        <v>44026</v>
      </c>
      <c r="B1087">
        <v>180</v>
      </c>
      <c r="C1087">
        <v>180</v>
      </c>
      <c r="D1087">
        <v>2</v>
      </c>
      <c r="E1087">
        <v>2200</v>
      </c>
      <c r="F1087" s="70">
        <v>44542</v>
      </c>
      <c r="G1087" t="str">
        <f>IFERROR(IF((F1087-F1086)&gt;1,(LARGE(F1087:$F1087,1)-LARGE(F$1084:$F1087,2))-1,""),"")</f>
        <v/>
      </c>
    </row>
    <row r="1088" spans="1:7">
      <c r="A1088" s="83">
        <f>SUM(G1091:G1097)</f>
        <v>2</v>
      </c>
      <c r="B1088">
        <v>180</v>
      </c>
      <c r="C1088">
        <v>180</v>
      </c>
      <c r="D1088">
        <v>1</v>
      </c>
      <c r="E1088">
        <v>500</v>
      </c>
      <c r="F1088" s="70">
        <v>44543</v>
      </c>
      <c r="G1088" t="str">
        <f>IFERROR(IF((F1088-F1087)&gt;1,(LARGE(F1088:$F1088,1)-LARGE(F$1084:$F1088,2))-1,""),"")</f>
        <v/>
      </c>
    </row>
    <row r="1089" spans="1:7">
      <c r="A1089" s="79" t="s">
        <v>44029</v>
      </c>
      <c r="B1089">
        <v>189.9</v>
      </c>
      <c r="C1089">
        <v>185</v>
      </c>
      <c r="D1089">
        <v>5</v>
      </c>
      <c r="E1089">
        <v>8534</v>
      </c>
      <c r="F1089" s="70">
        <v>44544</v>
      </c>
      <c r="G1089" t="str">
        <f>IFERROR(IF((F1089-F1088)&gt;1,(LARGE(F1089:$F1089,1)-LARGE(F$1084:$F1089,2))-1,""),"")</f>
        <v/>
      </c>
    </row>
    <row r="1090" spans="1:7">
      <c r="A1090" s="77">
        <f>(SUM(E1084:E1097)/(A1086+14)+SUM(G1084:G1097))</f>
        <v>8693.8666666666668</v>
      </c>
      <c r="B1090">
        <v>194.7</v>
      </c>
      <c r="C1090">
        <v>194.7</v>
      </c>
      <c r="D1090">
        <v>3</v>
      </c>
      <c r="E1090">
        <v>39573</v>
      </c>
      <c r="F1090" s="70">
        <v>44545</v>
      </c>
      <c r="G1090" t="str">
        <f>IFERROR(IF((F1090-F1089)&gt;1,(LARGE(F1090:$F1090,1)-LARGE(F$1084:$F1090,2))-1,""),"")</f>
        <v/>
      </c>
    </row>
    <row r="1091" spans="1:7">
      <c r="A1091" s="77">
        <f>(SUM(E1091:E1097)/(A1086+7)+SUM(G1091:G1097))</f>
        <v>9369.25</v>
      </c>
      <c r="B1091">
        <v>190</v>
      </c>
      <c r="C1091">
        <v>190</v>
      </c>
      <c r="D1091">
        <v>3</v>
      </c>
      <c r="E1091">
        <v>2800</v>
      </c>
      <c r="F1091" s="70">
        <v>44546</v>
      </c>
      <c r="G1091" t="str">
        <f>IFERROR(IF((F1091-F1090)&gt;1,(LARGE(F1091:$F1091,1)-LARGE(F$1084:$F1091,2))-1,""),"")</f>
        <v/>
      </c>
    </row>
    <row r="1092" spans="1:7">
      <c r="A1092" s="79" t="s">
        <v>44028</v>
      </c>
      <c r="B1092">
        <v>190</v>
      </c>
      <c r="C1092">
        <v>190</v>
      </c>
      <c r="D1092">
        <v>1</v>
      </c>
      <c r="E1092">
        <v>1000</v>
      </c>
      <c r="F1092" s="70">
        <v>44547</v>
      </c>
      <c r="G1092" t="str">
        <f>IFERROR(IF((F1092-F1091)&gt;1,(LARGE(F1092:$F1092,1)-LARGE(F$1084:$F1092,2))-1,""),"")</f>
        <v/>
      </c>
    </row>
    <row r="1093" spans="1:7">
      <c r="A1093" s="77">
        <f>(SUM(D1094:D1097)/(A1086+4)+SUM(G1094:G1097))</f>
        <v>5</v>
      </c>
      <c r="B1093">
        <v>185</v>
      </c>
      <c r="C1093">
        <v>185</v>
      </c>
      <c r="D1093">
        <v>4</v>
      </c>
      <c r="E1093">
        <v>1600</v>
      </c>
      <c r="F1093" s="70">
        <v>44549</v>
      </c>
      <c r="G1093">
        <f>IFERROR(IF((F1093-F1092)&gt;1,(LARGE(F1093:$F1093,1)-LARGE(F$1084:$F1093,2))-1,""),"")</f>
        <v>1</v>
      </c>
    </row>
    <row r="1094" spans="1:7">
      <c r="A1094" s="85" t="s">
        <v>44027</v>
      </c>
      <c r="B1094">
        <v>185</v>
      </c>
      <c r="C1094">
        <v>185</v>
      </c>
      <c r="D1094">
        <v>3</v>
      </c>
      <c r="E1094">
        <v>6100</v>
      </c>
      <c r="F1094" s="70">
        <v>44551</v>
      </c>
      <c r="G1094">
        <f>IFERROR(IF((F1094-F1093)&gt;1,(LARGE(F1094:$F1094,1)-LARGE(F$1084:$F1094,2))-1,""),"")</f>
        <v>1</v>
      </c>
    </row>
    <row r="1095" spans="1:7">
      <c r="A1095" s="86">
        <f>IF(A1088+A1086&gt;10,"Look Up",AVERAGE(A1090,A1091))</f>
        <v>9031.5583333333343</v>
      </c>
      <c r="B1095">
        <v>194.7</v>
      </c>
      <c r="C1095">
        <v>194.7</v>
      </c>
      <c r="D1095">
        <v>5</v>
      </c>
      <c r="E1095">
        <v>53741</v>
      </c>
      <c r="F1095" s="70">
        <v>44552</v>
      </c>
      <c r="G1095" t="str">
        <f>IFERROR(IF((F1095-F1094)&gt;1,(LARGE(F1095:$F1095,1)-LARGE(F$1084:$F1095,2))-1,""),"")</f>
        <v/>
      </c>
    </row>
    <row r="1096" spans="1:7">
      <c r="A1096" s="85" t="s">
        <v>44030</v>
      </c>
      <c r="B1096">
        <v>194.7</v>
      </c>
      <c r="C1096">
        <v>194.7</v>
      </c>
      <c r="D1096">
        <v>1</v>
      </c>
      <c r="E1096">
        <v>600</v>
      </c>
      <c r="F1096" s="70">
        <v>44553</v>
      </c>
      <c r="G1096" t="str">
        <f>IFERROR(IF((F1096-F1095)&gt;1,(LARGE(F1096:$F1096,1)-LARGE(F$1084:$F1096,2))-1,""),"")</f>
        <v/>
      </c>
    </row>
    <row r="1097" spans="1:7">
      <c r="A1097" s="88"/>
      <c r="B1097">
        <v>194.7</v>
      </c>
      <c r="C1097">
        <v>194.7</v>
      </c>
      <c r="D1097">
        <v>11</v>
      </c>
      <c r="E1097">
        <v>9097</v>
      </c>
      <c r="F1097" s="70">
        <v>44554</v>
      </c>
      <c r="G1097" t="str">
        <f>IFERROR(IF((F1097-F1096)&gt;1,(LARGE(F1097:$F1097,1)-LARGE(F$1084:$F1097,2))-1,""),"")</f>
        <v/>
      </c>
    </row>
    <row r="1098" spans="1:7">
      <c r="A1098" s="65">
        <f>VLOOKUP(TradeSheet!A75,TypeIDs!B:C,2,FALSE)</f>
        <v>2613</v>
      </c>
      <c r="B1098" t="s">
        <v>43998</v>
      </c>
      <c r="C1098" t="s">
        <v>43999</v>
      </c>
      <c r="D1098" t="s">
        <v>44000</v>
      </c>
      <c r="E1098" t="s">
        <v>44001</v>
      </c>
      <c r="F1098" t="s">
        <v>44009</v>
      </c>
      <c r="G1098" t="s">
        <v>44008</v>
      </c>
    </row>
    <row r="1099" spans="1:7">
      <c r="A1099" s="65" t="str">
        <f>CONCATENATE(SwaggerURL,input074)</f>
        <v>https://esi.evetech.net/latest/markets/10000021/history/?datasource=tranquility&amp;type_id=2613</v>
      </c>
      <c r="B1099">
        <v>129.9</v>
      </c>
      <c r="C1099">
        <v>129.9</v>
      </c>
      <c r="D1099">
        <v>1</v>
      </c>
      <c r="E1099">
        <v>1496</v>
      </c>
      <c r="F1099" s="70">
        <v>44541</v>
      </c>
      <c r="G1099" t="str">
        <f>IFERROR(IF((F1099-F1098)&gt;1,(LARGE(F1099:$F1099,1)-LARGE(F$1099:$F1099,2))-1,""),"")</f>
        <v/>
      </c>
    </row>
    <row r="1100" spans="1:7">
      <c r="A1100" s="79" t="s">
        <v>44018</v>
      </c>
      <c r="B1100">
        <v>129.9</v>
      </c>
      <c r="C1100">
        <v>129.9</v>
      </c>
      <c r="D1100">
        <v>6</v>
      </c>
      <c r="E1100">
        <v>15300</v>
      </c>
      <c r="F1100" s="70">
        <v>44542</v>
      </c>
      <c r="G1100" t="str">
        <f>IFERROR(IF((F1100-F1099)&gt;1,(LARGE(F1100:$F1100,1)-LARGE(F$1099:$F1100,2))-1,""),"")</f>
        <v/>
      </c>
    </row>
    <row r="1101" spans="1:7">
      <c r="A1101" s="78">
        <f>MAX(0,(CurrentDate-2)-F1112)</f>
        <v>1</v>
      </c>
      <c r="B1101">
        <v>135</v>
      </c>
      <c r="C1101">
        <v>135</v>
      </c>
      <c r="D1101">
        <v>2</v>
      </c>
      <c r="E1101">
        <v>15600</v>
      </c>
      <c r="F1101" s="70">
        <v>44543</v>
      </c>
      <c r="G1101" t="str">
        <f>IFERROR(IF((F1101-F1100)&gt;1,(LARGE(F1101:$F1101,1)-LARGE(F$1099:$F1101,2))-1,""),"")</f>
        <v/>
      </c>
    </row>
    <row r="1102" spans="1:7">
      <c r="A1102" s="79" t="s">
        <v>44026</v>
      </c>
      <c r="B1102">
        <v>139.5</v>
      </c>
      <c r="C1102">
        <v>139.5</v>
      </c>
      <c r="D1102">
        <v>10</v>
      </c>
      <c r="E1102">
        <v>29624</v>
      </c>
      <c r="F1102" s="70">
        <v>44544</v>
      </c>
      <c r="G1102" t="str">
        <f>IFERROR(IF((F1102-F1101)&gt;1,(LARGE(F1102:$F1102,1)-LARGE(F$1099:$F1102,2))-1,""),"")</f>
        <v/>
      </c>
    </row>
    <row r="1103" spans="1:7">
      <c r="A1103" s="83">
        <f>SUM(G1106:G1112)</f>
        <v>0</v>
      </c>
      <c r="B1103">
        <v>139.5</v>
      </c>
      <c r="C1103">
        <v>139.5</v>
      </c>
      <c r="D1103">
        <v>2</v>
      </c>
      <c r="E1103">
        <v>12600</v>
      </c>
      <c r="F1103" s="70">
        <v>44545</v>
      </c>
      <c r="G1103" t="str">
        <f>IFERROR(IF((F1103-F1102)&gt;1,(LARGE(F1103:$F1103,1)-LARGE(F$1099:$F1103,2))-1,""),"")</f>
        <v/>
      </c>
    </row>
    <row r="1104" spans="1:7">
      <c r="A1104" s="79" t="s">
        <v>44029</v>
      </c>
      <c r="B1104">
        <v>139.5</v>
      </c>
      <c r="C1104">
        <v>139.5</v>
      </c>
      <c r="D1104">
        <v>8</v>
      </c>
      <c r="E1104">
        <v>3762</v>
      </c>
      <c r="F1104" s="70">
        <v>44546</v>
      </c>
      <c r="G1104" t="str">
        <f>IFERROR(IF((F1104-F1103)&gt;1,(LARGE(F1104:$F1104,1)-LARGE(F$1099:$F1104,2))-1,""),"")</f>
        <v/>
      </c>
    </row>
    <row r="1105" spans="1:7">
      <c r="A1105" s="77">
        <f>(SUM(E1099:E1112)/(A1101+14)+SUM(G1099:G1112))</f>
        <v>9113.2000000000007</v>
      </c>
      <c r="B1105">
        <v>139.5</v>
      </c>
      <c r="C1105">
        <v>139.5</v>
      </c>
      <c r="D1105">
        <v>2</v>
      </c>
      <c r="E1105">
        <v>12588</v>
      </c>
      <c r="F1105" s="70">
        <v>44547</v>
      </c>
      <c r="G1105" t="str">
        <f>IFERROR(IF((F1105-F1104)&gt;1,(LARGE(F1105:$F1105,1)-LARGE(F$1099:$F1105,2))-1,""),"")</f>
        <v/>
      </c>
    </row>
    <row r="1106" spans="1:7">
      <c r="A1106" s="77">
        <f>(SUM(E1106:E1112)/(A1101+7)+SUM(G1106:G1112))</f>
        <v>5716</v>
      </c>
      <c r="B1106">
        <v>139.5</v>
      </c>
      <c r="C1106">
        <v>139.5</v>
      </c>
      <c r="D1106">
        <v>3</v>
      </c>
      <c r="E1106">
        <v>14000</v>
      </c>
      <c r="F1106" s="70">
        <v>44548</v>
      </c>
      <c r="G1106" t="str">
        <f>IFERROR(IF((F1106-F1105)&gt;1,(LARGE(F1106:$F1106,1)-LARGE(F$1099:$F1106,2))-1,""),"")</f>
        <v/>
      </c>
    </row>
    <row r="1107" spans="1:7">
      <c r="A1107" s="79" t="s">
        <v>44028</v>
      </c>
      <c r="B1107">
        <v>139</v>
      </c>
      <c r="C1107">
        <v>139</v>
      </c>
      <c r="D1107">
        <v>7</v>
      </c>
      <c r="E1107">
        <v>2506</v>
      </c>
      <c r="F1107" s="70">
        <v>44549</v>
      </c>
      <c r="G1107" t="str">
        <f>IFERROR(IF((F1107-F1106)&gt;1,(LARGE(F1107:$F1107,1)-LARGE(F$1099:$F1107,2))-1,""),"")</f>
        <v/>
      </c>
    </row>
    <row r="1108" spans="1:7">
      <c r="A1108" s="77">
        <f>(SUM(D1109:D1112)/(A1101+4)+SUM(G1109:G1112))</f>
        <v>2.8</v>
      </c>
      <c r="B1108">
        <v>139.5</v>
      </c>
      <c r="C1108">
        <v>139.5</v>
      </c>
      <c r="D1108">
        <v>2</v>
      </c>
      <c r="E1108">
        <v>1660</v>
      </c>
      <c r="F1108" s="70">
        <v>44550</v>
      </c>
      <c r="G1108" t="str">
        <f>IFERROR(IF((F1108-F1107)&gt;1,(LARGE(F1108:$F1108,1)-LARGE(F$1099:$F1108,2))-1,""),"")</f>
        <v/>
      </c>
    </row>
    <row r="1109" spans="1:7">
      <c r="A1109" s="85" t="s">
        <v>44027</v>
      </c>
      <c r="B1109">
        <v>139.5</v>
      </c>
      <c r="C1109">
        <v>139.5</v>
      </c>
      <c r="D1109">
        <v>2</v>
      </c>
      <c r="E1109">
        <v>15000</v>
      </c>
      <c r="F1109" s="70">
        <v>44551</v>
      </c>
      <c r="G1109" t="str">
        <f>IFERROR(IF((F1109-F1108)&gt;1,(LARGE(F1109:$F1109,1)-LARGE(F$1099:$F1109,2))-1,""),"")</f>
        <v/>
      </c>
    </row>
    <row r="1110" spans="1:7">
      <c r="A1110" s="86">
        <f>IF(A1103+A1101&gt;10,"Look Up",AVERAGE(A1105,A1106))</f>
        <v>7414.6</v>
      </c>
      <c r="B1110">
        <v>139.5</v>
      </c>
      <c r="C1110">
        <v>139.5</v>
      </c>
      <c r="D1110">
        <v>4</v>
      </c>
      <c r="E1110">
        <v>7741</v>
      </c>
      <c r="F1110" s="70">
        <v>44552</v>
      </c>
      <c r="G1110" t="str">
        <f>IFERROR(IF((F1110-F1109)&gt;1,(LARGE(F1110:$F1110,1)-LARGE(F$1099:$F1110,2))-1,""),"")</f>
        <v/>
      </c>
    </row>
    <row r="1111" spans="1:7">
      <c r="A1111" s="85" t="s">
        <v>44030</v>
      </c>
      <c r="B1111">
        <v>139.4</v>
      </c>
      <c r="C1111">
        <v>139.4</v>
      </c>
      <c r="D1111">
        <v>4</v>
      </c>
      <c r="E1111">
        <v>2365</v>
      </c>
      <c r="F1111" s="70">
        <v>44553</v>
      </c>
      <c r="G1111" t="str">
        <f>IFERROR(IF((F1111-F1110)&gt;1,(LARGE(F1111:$F1111,1)-LARGE(F$1099:$F1111,2))-1,""),"")</f>
        <v/>
      </c>
    </row>
    <row r="1112" spans="1:7">
      <c r="A1112" s="88"/>
      <c r="B1112">
        <v>139.4</v>
      </c>
      <c r="C1112">
        <v>139.4</v>
      </c>
      <c r="D1112">
        <v>4</v>
      </c>
      <c r="E1112">
        <v>2456</v>
      </c>
      <c r="F1112" s="70">
        <v>44554</v>
      </c>
      <c r="G1112" t="str">
        <f>IFERROR(IF((F1112-F1111)&gt;1,(LARGE(F1112:$F1112,1)-LARGE(F$1099:$F1112,2))-1,""),"")</f>
        <v/>
      </c>
    </row>
    <row r="1113" spans="1:7">
      <c r="A1113" s="65">
        <f>VLOOKUP(TradeSheet!A76,TypeIDs!B:C,2,FALSE)</f>
        <v>24497</v>
      </c>
      <c r="B1113" t="s">
        <v>43998</v>
      </c>
      <c r="C1113" t="s">
        <v>43999</v>
      </c>
      <c r="D1113" t="s">
        <v>44000</v>
      </c>
      <c r="E1113" t="s">
        <v>44001</v>
      </c>
      <c r="F1113" t="s">
        <v>44009</v>
      </c>
      <c r="G1113" t="s">
        <v>44008</v>
      </c>
    </row>
    <row r="1114" spans="1:7">
      <c r="A1114" s="65" t="str">
        <f>CONCATENATE(SwaggerURL,input075)</f>
        <v>https://esi.evetech.net/latest/markets/10000021/history/?datasource=tranquility&amp;type_id=24497</v>
      </c>
      <c r="B1114">
        <v>127.5</v>
      </c>
      <c r="C1114">
        <v>127.5</v>
      </c>
      <c r="D1114">
        <v>2</v>
      </c>
      <c r="E1114">
        <v>1970</v>
      </c>
      <c r="F1114" s="70">
        <v>44537</v>
      </c>
      <c r="G1114" t="str">
        <f>IFERROR(IF((F1114-F1113)&gt;1,(LARGE(F1114:$F1114,1)-LARGE(F$1114:$F1114,2))-1,""),"")</f>
        <v/>
      </c>
    </row>
    <row r="1115" spans="1:7">
      <c r="A1115" s="79" t="s">
        <v>44018</v>
      </c>
      <c r="B1115">
        <v>127.5</v>
      </c>
      <c r="C1115">
        <v>127.5</v>
      </c>
      <c r="D1115">
        <v>3</v>
      </c>
      <c r="E1115">
        <v>3293</v>
      </c>
      <c r="F1115" s="70">
        <v>44538</v>
      </c>
      <c r="G1115" t="str">
        <f>IFERROR(IF((F1115-F1114)&gt;1,(LARGE(F1115:$F1115,1)-LARGE(F$1114:$F1115,2))-1,""),"")</f>
        <v/>
      </c>
    </row>
    <row r="1116" spans="1:7">
      <c r="A1116" s="78">
        <f>MAX(0,(CurrentDate-2)-F1127)</f>
        <v>1</v>
      </c>
      <c r="B1116">
        <v>127.5</v>
      </c>
      <c r="C1116">
        <v>127.5</v>
      </c>
      <c r="D1116">
        <v>5</v>
      </c>
      <c r="E1116">
        <v>32954</v>
      </c>
      <c r="F1116" s="70">
        <v>44539</v>
      </c>
      <c r="G1116" t="str">
        <f>IFERROR(IF((F1116-F1115)&gt;1,(LARGE(F1116:$F1116,1)-LARGE(F$1114:$F1116,2))-1,""),"")</f>
        <v/>
      </c>
    </row>
    <row r="1117" spans="1:7">
      <c r="A1117" s="79" t="s">
        <v>44026</v>
      </c>
      <c r="B1117">
        <v>127.5</v>
      </c>
      <c r="C1117">
        <v>127.5</v>
      </c>
      <c r="D1117">
        <v>2</v>
      </c>
      <c r="E1117">
        <v>1240</v>
      </c>
      <c r="F1117" s="70">
        <v>44541</v>
      </c>
      <c r="G1117">
        <f>IFERROR(IF((F1117-F1116)&gt;1,(LARGE(F1117:$F1117,1)-LARGE(F$1114:$F1117,2))-1,""),"")</f>
        <v>1</v>
      </c>
    </row>
    <row r="1118" spans="1:7">
      <c r="A1118" s="83">
        <f>SUM(G1121:G1127)</f>
        <v>1</v>
      </c>
      <c r="B1118">
        <v>127.5</v>
      </c>
      <c r="C1118">
        <v>127.5</v>
      </c>
      <c r="D1118">
        <v>2</v>
      </c>
      <c r="E1118">
        <v>480</v>
      </c>
      <c r="F1118" s="70">
        <v>44544</v>
      </c>
      <c r="G1118">
        <f>IFERROR(IF((F1118-F1117)&gt;1,(LARGE(F1118:$F1118,1)-LARGE(F$1114:$F1118,2))-1,""),"")</f>
        <v>2</v>
      </c>
    </row>
    <row r="1119" spans="1:7">
      <c r="A1119" s="79" t="s">
        <v>44029</v>
      </c>
      <c r="B1119">
        <v>127.5</v>
      </c>
      <c r="C1119">
        <v>127.5</v>
      </c>
      <c r="D1119">
        <v>1</v>
      </c>
      <c r="E1119">
        <v>600</v>
      </c>
      <c r="F1119" s="70">
        <v>44545</v>
      </c>
      <c r="G1119" t="str">
        <f>IFERROR(IF((F1119-F1118)&gt;1,(LARGE(F1119:$F1119,1)-LARGE(F$1114:$F1119,2))-1,""),"")</f>
        <v/>
      </c>
    </row>
    <row r="1120" spans="1:7">
      <c r="A1120" s="77">
        <f>(SUM(E1114:E1127)/(A1116+14)+SUM(G1114:G1127))</f>
        <v>4639.2</v>
      </c>
      <c r="B1120">
        <v>127.5</v>
      </c>
      <c r="C1120">
        <v>127.5</v>
      </c>
      <c r="D1120">
        <v>4</v>
      </c>
      <c r="E1120">
        <v>2265</v>
      </c>
      <c r="F1120" s="70">
        <v>44546</v>
      </c>
      <c r="G1120" t="str">
        <f>IFERROR(IF((F1120-F1119)&gt;1,(LARGE(F1120:$F1120,1)-LARGE(F$1114:$F1120,2))-1,""),"")</f>
        <v/>
      </c>
    </row>
    <row r="1121" spans="1:7">
      <c r="A1121" s="77">
        <f>(SUM(E1121:E1127)/(A1116+7)+SUM(G1121:G1127))</f>
        <v>3341.75</v>
      </c>
      <c r="B1121">
        <v>127.5</v>
      </c>
      <c r="C1121">
        <v>127.5</v>
      </c>
      <c r="D1121">
        <v>3</v>
      </c>
      <c r="E1121">
        <v>2500</v>
      </c>
      <c r="F1121" s="70">
        <v>44548</v>
      </c>
      <c r="G1121">
        <f>IFERROR(IF((F1121-F1120)&gt;1,(LARGE(F1121:$F1121,1)-LARGE(F$1114:$F1121,2))-1,""),"")</f>
        <v>1</v>
      </c>
    </row>
    <row r="1122" spans="1:7">
      <c r="A1122" s="79" t="s">
        <v>44028</v>
      </c>
      <c r="B1122">
        <v>127.5</v>
      </c>
      <c r="C1122">
        <v>127.5</v>
      </c>
      <c r="D1122">
        <v>3</v>
      </c>
      <c r="E1122">
        <v>1419</v>
      </c>
      <c r="F1122" s="70">
        <v>44549</v>
      </c>
      <c r="G1122" t="str">
        <f>IFERROR(IF((F1122-F1121)&gt;1,(LARGE(F1122:$F1122,1)-LARGE(F$1114:$F1122,2))-1,""),"")</f>
        <v/>
      </c>
    </row>
    <row r="1123" spans="1:7">
      <c r="A1123" s="77">
        <f>(SUM(D1124:D1127)/(A1116+4)+SUM(G1124:G1127))</f>
        <v>2.2000000000000002</v>
      </c>
      <c r="B1123">
        <v>127.9</v>
      </c>
      <c r="C1123">
        <v>127.9</v>
      </c>
      <c r="D1123">
        <v>3</v>
      </c>
      <c r="E1123">
        <v>5000</v>
      </c>
      <c r="F1123" s="70">
        <v>44550</v>
      </c>
      <c r="G1123" t="str">
        <f>IFERROR(IF((F1123-F1122)&gt;1,(LARGE(F1123:$F1123,1)-LARGE(F$1114:$F1123,2))-1,""),"")</f>
        <v/>
      </c>
    </row>
    <row r="1124" spans="1:7">
      <c r="A1124" s="85" t="s">
        <v>44027</v>
      </c>
      <c r="B1124">
        <v>127.9</v>
      </c>
      <c r="C1124">
        <v>127.9</v>
      </c>
      <c r="D1124">
        <v>1</v>
      </c>
      <c r="E1124">
        <v>10000</v>
      </c>
      <c r="F1124" s="70">
        <v>44551</v>
      </c>
      <c r="G1124" t="str">
        <f>IFERROR(IF((F1124-F1123)&gt;1,(LARGE(F1124:$F1124,1)-LARGE(F$1114:$F1124,2))-1,""),"")</f>
        <v/>
      </c>
    </row>
    <row r="1125" spans="1:7">
      <c r="A1125" s="86">
        <f>IF(A1118+A1116&gt;10,"Look Up",AVERAGE(A1120,A1121))</f>
        <v>3990.4749999999999</v>
      </c>
      <c r="B1125">
        <v>127.9</v>
      </c>
      <c r="C1125">
        <v>127.9</v>
      </c>
      <c r="D1125">
        <v>4</v>
      </c>
      <c r="E1125">
        <v>3741</v>
      </c>
      <c r="F1125" s="70">
        <v>44552</v>
      </c>
      <c r="G1125" t="str">
        <f>IFERROR(IF((F1125-F1124)&gt;1,(LARGE(F1125:$F1125,1)-LARGE(F$1114:$F1125,2))-1,""),"")</f>
        <v/>
      </c>
    </row>
    <row r="1126" spans="1:7">
      <c r="A1126" s="85" t="s">
        <v>44030</v>
      </c>
      <c r="B1126">
        <v>127.9</v>
      </c>
      <c r="C1126">
        <v>127.9</v>
      </c>
      <c r="D1126">
        <v>2</v>
      </c>
      <c r="E1126">
        <v>1100</v>
      </c>
      <c r="F1126" s="70">
        <v>44553</v>
      </c>
      <c r="G1126" t="str">
        <f>IFERROR(IF((F1126-F1125)&gt;1,(LARGE(F1126:$F1126,1)-LARGE(F$1114:$F1126,2))-1,""),"")</f>
        <v/>
      </c>
    </row>
    <row r="1127" spans="1:7">
      <c r="A1127" s="88"/>
      <c r="B1127">
        <v>127.9</v>
      </c>
      <c r="C1127">
        <v>127.9</v>
      </c>
      <c r="D1127">
        <v>4</v>
      </c>
      <c r="E1127">
        <v>2966</v>
      </c>
      <c r="F1127" s="70">
        <v>44554</v>
      </c>
      <c r="G1127" t="str">
        <f>IFERROR(IF((F1127-F1126)&gt;1,(LARGE(F1127:$F1127,1)-LARGE(F$1114:$F1127,2))-1,""),"")</f>
        <v/>
      </c>
    </row>
    <row r="1128" spans="1:7">
      <c r="A1128" s="65">
        <f>VLOOKUP(TradeSheet!A77,TypeIDs!B:C,2,FALSE)</f>
        <v>24495</v>
      </c>
      <c r="B1128" t="s">
        <v>43998</v>
      </c>
      <c r="C1128" t="s">
        <v>43999</v>
      </c>
      <c r="D1128" t="s">
        <v>44000</v>
      </c>
      <c r="E1128" t="s">
        <v>44001</v>
      </c>
      <c r="F1128" t="s">
        <v>44009</v>
      </c>
      <c r="G1128" t="s">
        <v>44008</v>
      </c>
    </row>
    <row r="1129" spans="1:7">
      <c r="A1129" s="65" t="str">
        <f>CONCATENATE(SwaggerURL,input076)</f>
        <v>https://esi.evetech.net/latest/markets/10000021/history/?datasource=tranquility&amp;type_id=24495</v>
      </c>
      <c r="B1129">
        <v>73.989999999999995</v>
      </c>
      <c r="C1129">
        <v>73.989999999999995</v>
      </c>
      <c r="D1129">
        <v>2</v>
      </c>
      <c r="E1129">
        <v>1662</v>
      </c>
      <c r="F1129" s="70">
        <v>44541</v>
      </c>
      <c r="G1129" t="str">
        <f>IFERROR(IF((F1129-F1128)&gt;1,(LARGE(F1129:$F1129,1)-LARGE(F$1129:$F1129,2))-1,""),"")</f>
        <v/>
      </c>
    </row>
    <row r="1130" spans="1:7">
      <c r="A1130" s="79" t="s">
        <v>44018</v>
      </c>
      <c r="B1130">
        <v>74</v>
      </c>
      <c r="C1130">
        <v>74</v>
      </c>
      <c r="D1130">
        <v>6</v>
      </c>
      <c r="E1130">
        <v>20697</v>
      </c>
      <c r="F1130" s="70">
        <v>44542</v>
      </c>
      <c r="G1130" t="str">
        <f>IFERROR(IF((F1130-F1129)&gt;1,(LARGE(F1130:$F1130,1)-LARGE(F$1129:$F1130,2))-1,""),"")</f>
        <v/>
      </c>
    </row>
    <row r="1131" spans="1:7">
      <c r="A1131" s="78">
        <f>MAX(0,(CurrentDate-2)-F1142)</f>
        <v>1</v>
      </c>
      <c r="B1131">
        <v>74.27</v>
      </c>
      <c r="C1131">
        <v>74.27</v>
      </c>
      <c r="D1131">
        <v>2</v>
      </c>
      <c r="E1131">
        <v>2726</v>
      </c>
      <c r="F1131" s="70">
        <v>44543</v>
      </c>
      <c r="G1131" t="str">
        <f>IFERROR(IF((F1131-F1130)&gt;1,(LARGE(F1131:$F1131,1)-LARGE(F$1129:$F1131,2))-1,""),"")</f>
        <v/>
      </c>
    </row>
    <row r="1132" spans="1:7">
      <c r="A1132" s="79" t="s">
        <v>44026</v>
      </c>
      <c r="B1132">
        <v>74.27</v>
      </c>
      <c r="C1132">
        <v>74.27</v>
      </c>
      <c r="D1132">
        <v>3</v>
      </c>
      <c r="E1132">
        <v>11436</v>
      </c>
      <c r="F1132" s="70">
        <v>44544</v>
      </c>
      <c r="G1132" t="str">
        <f>IFERROR(IF((F1132-F1131)&gt;1,(LARGE(F1132:$F1132,1)-LARGE(F$1129:$F1132,2))-1,""),"")</f>
        <v/>
      </c>
    </row>
    <row r="1133" spans="1:7">
      <c r="A1133" s="83">
        <f>SUM(G1136:G1142)</f>
        <v>0</v>
      </c>
      <c r="B1133">
        <v>74.27</v>
      </c>
      <c r="C1133">
        <v>74.27</v>
      </c>
      <c r="D1133">
        <v>3</v>
      </c>
      <c r="E1133">
        <v>7600</v>
      </c>
      <c r="F1133" s="70">
        <v>44545</v>
      </c>
      <c r="G1133" t="str">
        <f>IFERROR(IF((F1133-F1132)&gt;1,(LARGE(F1133:$F1133,1)-LARGE(F$1129:$F1133,2))-1,""),"")</f>
        <v/>
      </c>
    </row>
    <row r="1134" spans="1:7">
      <c r="A1134" s="79" t="s">
        <v>44029</v>
      </c>
      <c r="B1134">
        <v>74.27</v>
      </c>
      <c r="C1134">
        <v>74.27</v>
      </c>
      <c r="D1134">
        <v>4</v>
      </c>
      <c r="E1134">
        <v>5159</v>
      </c>
      <c r="F1134" s="70">
        <v>44546</v>
      </c>
      <c r="G1134" t="str">
        <f>IFERROR(IF((F1134-F1133)&gt;1,(LARGE(F1134:$F1134,1)-LARGE(F$1129:$F1134,2))-1,""),"")</f>
        <v/>
      </c>
    </row>
    <row r="1135" spans="1:7">
      <c r="A1135" s="77">
        <f>(SUM(E1129:E1142)/(A1131+14)+SUM(G1129:G1142))</f>
        <v>6282.4</v>
      </c>
      <c r="B1135">
        <v>74.27</v>
      </c>
      <c r="C1135">
        <v>74.27</v>
      </c>
      <c r="D1135">
        <v>2</v>
      </c>
      <c r="E1135">
        <v>2657</v>
      </c>
      <c r="F1135" s="70">
        <v>44547</v>
      </c>
      <c r="G1135" t="str">
        <f>IFERROR(IF((F1135-F1134)&gt;1,(LARGE(F1135:$F1135,1)-LARGE(F$1129:$F1135,2))-1,""),"")</f>
        <v/>
      </c>
    </row>
    <row r="1136" spans="1:7">
      <c r="A1136" s="77">
        <f>(SUM(E1136:E1142)/(A1131+7)+SUM(G1136:G1142))</f>
        <v>5287.375</v>
      </c>
      <c r="B1136">
        <v>74.27</v>
      </c>
      <c r="C1136">
        <v>74.27</v>
      </c>
      <c r="D1136">
        <v>3</v>
      </c>
      <c r="E1136">
        <v>9300</v>
      </c>
      <c r="F1136" s="70">
        <v>44548</v>
      </c>
      <c r="G1136" t="str">
        <f>IFERROR(IF((F1136-F1135)&gt;1,(LARGE(F1136:$F1136,1)-LARGE(F$1129:$F1136,2))-1,""),"")</f>
        <v/>
      </c>
    </row>
    <row r="1137" spans="1:7">
      <c r="A1137" s="79" t="s">
        <v>44028</v>
      </c>
      <c r="B1137">
        <v>74.27</v>
      </c>
      <c r="C1137">
        <v>74.27</v>
      </c>
      <c r="D1137">
        <v>8</v>
      </c>
      <c r="E1137">
        <v>15432</v>
      </c>
      <c r="F1137" s="70">
        <v>44549</v>
      </c>
      <c r="G1137" t="str">
        <f>IFERROR(IF((F1137-F1136)&gt;1,(LARGE(F1137:$F1137,1)-LARGE(F$1129:$F1137,2))-1,""),"")</f>
        <v/>
      </c>
    </row>
    <row r="1138" spans="1:7">
      <c r="A1138" s="77">
        <f>(SUM(D1139:D1142)/(A1131+4)+SUM(G1139:G1142))</f>
        <v>2.8</v>
      </c>
      <c r="B1138">
        <v>74.08</v>
      </c>
      <c r="C1138">
        <v>74.08</v>
      </c>
      <c r="D1138">
        <v>1</v>
      </c>
      <c r="E1138">
        <v>500</v>
      </c>
      <c r="F1138" s="70">
        <v>44550</v>
      </c>
      <c r="G1138" t="str">
        <f>IFERROR(IF((F1138-F1137)&gt;1,(LARGE(F1138:$F1138,1)-LARGE(F$1129:$F1138,2))-1,""),"")</f>
        <v/>
      </c>
    </row>
    <row r="1139" spans="1:7">
      <c r="A1139" s="85" t="s">
        <v>44027</v>
      </c>
      <c r="B1139">
        <v>75</v>
      </c>
      <c r="C1139">
        <v>75</v>
      </c>
      <c r="D1139">
        <v>3</v>
      </c>
      <c r="E1139">
        <v>5802</v>
      </c>
      <c r="F1139" s="70">
        <v>44551</v>
      </c>
      <c r="G1139" t="str">
        <f>IFERROR(IF((F1139-F1138)&gt;1,(LARGE(F1139:$F1139,1)-LARGE(F$1129:$F1139,2))-1,""),"")</f>
        <v/>
      </c>
    </row>
    <row r="1140" spans="1:7">
      <c r="A1140" s="86">
        <f>IF(A1133+A1131&gt;10,"Look Up",AVERAGE(A1135,A1136))</f>
        <v>5784.8874999999998</v>
      </c>
      <c r="B1140">
        <v>75</v>
      </c>
      <c r="C1140">
        <v>75</v>
      </c>
      <c r="D1140">
        <v>4</v>
      </c>
      <c r="E1140">
        <v>5340</v>
      </c>
      <c r="F1140" s="70">
        <v>44552</v>
      </c>
      <c r="G1140" t="str">
        <f>IFERROR(IF((F1140-F1139)&gt;1,(LARGE(F1140:$F1140,1)-LARGE(F$1129:$F1140,2))-1,""),"")</f>
        <v/>
      </c>
    </row>
    <row r="1141" spans="1:7">
      <c r="A1141" s="85" t="s">
        <v>44030</v>
      </c>
      <c r="B1141">
        <v>60</v>
      </c>
      <c r="C1141">
        <v>60</v>
      </c>
      <c r="D1141">
        <v>1</v>
      </c>
      <c r="E1141">
        <v>600</v>
      </c>
      <c r="F1141" s="70">
        <v>44553</v>
      </c>
      <c r="G1141" t="str">
        <f>IFERROR(IF((F1141-F1140)&gt;1,(LARGE(F1141:$F1141,1)-LARGE(F$1129:$F1141,2))-1,""),"")</f>
        <v/>
      </c>
    </row>
    <row r="1142" spans="1:7">
      <c r="A1142" s="88"/>
      <c r="B1142">
        <v>75</v>
      </c>
      <c r="C1142">
        <v>75</v>
      </c>
      <c r="D1142">
        <v>6</v>
      </c>
      <c r="E1142">
        <v>5325</v>
      </c>
      <c r="F1142" s="70">
        <v>44554</v>
      </c>
      <c r="G1142" t="str">
        <f>IFERROR(IF((F1142-F1141)&gt;1,(LARGE(F1142:$F1142,1)-LARGE(F$1129:$F1142,2))-1,""),"")</f>
        <v/>
      </c>
    </row>
    <row r="1143" spans="1:7">
      <c r="A1143" s="65">
        <f>VLOOKUP(TradeSheet!A78,TypeIDs!B:C,2,FALSE)</f>
        <v>27371</v>
      </c>
      <c r="B1143" t="s">
        <v>43998</v>
      </c>
      <c r="C1143" t="s">
        <v>43999</v>
      </c>
      <c r="D1143" t="s">
        <v>44000</v>
      </c>
      <c r="E1143" t="s">
        <v>44001</v>
      </c>
      <c r="F1143" t="s">
        <v>44009</v>
      </c>
      <c r="G1143" t="s">
        <v>44008</v>
      </c>
    </row>
    <row r="1144" spans="1:7">
      <c r="A1144" s="65" t="str">
        <f>CONCATENATE(SwaggerURL,input077)</f>
        <v>https://esi.evetech.net/latest/markets/10000021/history/?datasource=tranquility&amp;type_id=27371</v>
      </c>
      <c r="B1144">
        <v>1082</v>
      </c>
      <c r="C1144">
        <v>1082</v>
      </c>
      <c r="D1144">
        <v>1</v>
      </c>
      <c r="E1144">
        <v>1000</v>
      </c>
      <c r="F1144" s="70">
        <v>44540</v>
      </c>
      <c r="G1144" t="str">
        <f>IFERROR(IF((F1144-F1143)&gt;1,(LARGE(F1144:$F1144,1)-LARGE(F$1144:$F1144,2))-1,""),"")</f>
        <v/>
      </c>
    </row>
    <row r="1145" spans="1:7">
      <c r="A1145" s="79" t="s">
        <v>44018</v>
      </c>
      <c r="B1145">
        <v>1093.5</v>
      </c>
      <c r="C1145">
        <v>1082</v>
      </c>
      <c r="D1145">
        <v>2</v>
      </c>
      <c r="E1145">
        <v>2000</v>
      </c>
      <c r="F1145" s="70">
        <v>44541</v>
      </c>
      <c r="G1145" t="str">
        <f>IFERROR(IF((F1145-F1144)&gt;1,(LARGE(F1145:$F1145,1)-LARGE(F$1144:$F1145,2))-1,""),"")</f>
        <v/>
      </c>
    </row>
    <row r="1146" spans="1:7">
      <c r="A1146" s="78">
        <f>MAX(0,(CurrentDate-2)-F1157)</f>
        <v>1</v>
      </c>
      <c r="B1146">
        <v>1105</v>
      </c>
      <c r="C1146">
        <v>1105</v>
      </c>
      <c r="D1146">
        <v>1</v>
      </c>
      <c r="E1146">
        <v>1000</v>
      </c>
      <c r="F1146" s="70">
        <v>44542</v>
      </c>
      <c r="G1146" t="str">
        <f>IFERROR(IF((F1146-F1145)&gt;1,(LARGE(F1146:$F1146,1)-LARGE(F$1144:$F1146,2))-1,""),"")</f>
        <v/>
      </c>
    </row>
    <row r="1147" spans="1:7">
      <c r="A1147" s="79" t="s">
        <v>44026</v>
      </c>
      <c r="B1147">
        <v>1105</v>
      </c>
      <c r="C1147">
        <v>1105</v>
      </c>
      <c r="D1147">
        <v>1</v>
      </c>
      <c r="E1147">
        <v>1000</v>
      </c>
      <c r="F1147" s="70">
        <v>44543</v>
      </c>
      <c r="G1147" t="str">
        <f>IFERROR(IF((F1147-F1146)&gt;1,(LARGE(F1147:$F1147,1)-LARGE(F$1144:$F1147,2))-1,""),"")</f>
        <v/>
      </c>
    </row>
    <row r="1148" spans="1:7">
      <c r="A1148" s="83">
        <f>SUM(G1151:G1157)</f>
        <v>1</v>
      </c>
      <c r="B1148">
        <v>1105</v>
      </c>
      <c r="C1148">
        <v>1105</v>
      </c>
      <c r="D1148">
        <v>3</v>
      </c>
      <c r="E1148">
        <v>1130</v>
      </c>
      <c r="F1148" s="70">
        <v>44544</v>
      </c>
      <c r="G1148" t="str">
        <f>IFERROR(IF((F1148-F1147)&gt;1,(LARGE(F1148:$F1148,1)-LARGE(F$1144:$F1148,2))-1,""),"")</f>
        <v/>
      </c>
    </row>
    <row r="1149" spans="1:7">
      <c r="A1149" s="79" t="s">
        <v>44029</v>
      </c>
      <c r="B1149">
        <v>1105</v>
      </c>
      <c r="C1149">
        <v>1105</v>
      </c>
      <c r="D1149">
        <v>4</v>
      </c>
      <c r="E1149">
        <v>20055</v>
      </c>
      <c r="F1149" s="70">
        <v>44545</v>
      </c>
      <c r="G1149" t="str">
        <f>IFERROR(IF((F1149-F1148)&gt;1,(LARGE(F1149:$F1149,1)-LARGE(F$1144:$F1149,2))-1,""),"")</f>
        <v/>
      </c>
    </row>
    <row r="1150" spans="1:7">
      <c r="A1150" s="77">
        <f>(SUM(E1144:E1157)/(A1146+14)+SUM(G1144:G1157))</f>
        <v>6783.4666666666662</v>
      </c>
      <c r="B1150">
        <v>1105</v>
      </c>
      <c r="C1150">
        <v>1105</v>
      </c>
      <c r="D1150">
        <v>4</v>
      </c>
      <c r="E1150">
        <v>4970</v>
      </c>
      <c r="F1150" s="70">
        <v>44546</v>
      </c>
      <c r="G1150" t="str">
        <f>IFERROR(IF((F1150-F1149)&gt;1,(LARGE(F1150:$F1150,1)-LARGE(F$1144:$F1150,2))-1,""),"")</f>
        <v/>
      </c>
    </row>
    <row r="1151" spans="1:7">
      <c r="A1151" s="77">
        <f>(SUM(E1151:E1157)/(A1146+7)+SUM(G1151:G1157))</f>
        <v>8823.75</v>
      </c>
      <c r="B1151">
        <v>1105</v>
      </c>
      <c r="C1151">
        <v>1105</v>
      </c>
      <c r="D1151">
        <v>4</v>
      </c>
      <c r="E1151">
        <v>15000</v>
      </c>
      <c r="F1151" s="70">
        <v>44547</v>
      </c>
      <c r="G1151" t="str">
        <f>IFERROR(IF((F1151-F1150)&gt;1,(LARGE(F1151:$F1151,1)-LARGE(F$1144:$F1151,2))-1,""),"")</f>
        <v/>
      </c>
    </row>
    <row r="1152" spans="1:7">
      <c r="A1152" s="79" t="s">
        <v>44028</v>
      </c>
      <c r="B1152">
        <v>1105</v>
      </c>
      <c r="C1152">
        <v>1105</v>
      </c>
      <c r="D1152">
        <v>1</v>
      </c>
      <c r="E1152">
        <v>1560</v>
      </c>
      <c r="F1152" s="70">
        <v>44548</v>
      </c>
      <c r="G1152" t="str">
        <f>IFERROR(IF((F1152-F1151)&gt;1,(LARGE(F1152:$F1152,1)-LARGE(F$1144:$F1152,2))-1,""),"")</f>
        <v/>
      </c>
    </row>
    <row r="1153" spans="1:7">
      <c r="A1153" s="77">
        <f>(SUM(D1154:D1157)/(A1146+4)+SUM(G1154:G1157))</f>
        <v>5.2</v>
      </c>
      <c r="B1153">
        <v>1105</v>
      </c>
      <c r="C1153">
        <v>1105</v>
      </c>
      <c r="D1153">
        <v>3</v>
      </c>
      <c r="E1153">
        <v>9000</v>
      </c>
      <c r="F1153" s="70">
        <v>44549</v>
      </c>
      <c r="G1153" t="str">
        <f>IFERROR(IF((F1153-F1152)&gt;1,(LARGE(F1153:$F1153,1)-LARGE(F$1144:$F1153,2))-1,""),"")</f>
        <v/>
      </c>
    </row>
    <row r="1154" spans="1:7">
      <c r="A1154" s="85" t="s">
        <v>44027</v>
      </c>
      <c r="B1154">
        <v>1105</v>
      </c>
      <c r="C1154">
        <v>1105</v>
      </c>
      <c r="D1154">
        <v>3</v>
      </c>
      <c r="E1154">
        <v>11595</v>
      </c>
      <c r="F1154" s="70">
        <v>44550</v>
      </c>
      <c r="G1154" t="str">
        <f>IFERROR(IF((F1154-F1153)&gt;1,(LARGE(F1154:$F1154,1)-LARGE(F$1144:$F1154,2))-1,""),"")</f>
        <v/>
      </c>
    </row>
    <row r="1155" spans="1:7">
      <c r="A1155" s="86">
        <f>IF(A1148+A1146&gt;10,"Look Up",AVERAGE(A1150,A1151))</f>
        <v>7803.6083333333336</v>
      </c>
      <c r="B1155">
        <v>1105</v>
      </c>
      <c r="C1155">
        <v>1105</v>
      </c>
      <c r="D1155">
        <v>3</v>
      </c>
      <c r="E1155">
        <v>1045</v>
      </c>
      <c r="F1155" s="70">
        <v>44552</v>
      </c>
      <c r="G1155">
        <f>IFERROR(IF((F1155-F1154)&gt;1,(LARGE(F1155:$F1155,1)-LARGE(F$1144:$F1155,2))-1,""),"")</f>
        <v>1</v>
      </c>
    </row>
    <row r="1156" spans="1:7">
      <c r="A1156" s="85" t="s">
        <v>44030</v>
      </c>
      <c r="B1156">
        <v>1105</v>
      </c>
      <c r="C1156">
        <v>1105</v>
      </c>
      <c r="D1156">
        <v>4</v>
      </c>
      <c r="E1156">
        <v>6990</v>
      </c>
      <c r="F1156" s="70">
        <v>44553</v>
      </c>
      <c r="G1156" t="str">
        <f>IFERROR(IF((F1156-F1155)&gt;1,(LARGE(F1156:$F1156,1)-LARGE(F$1144:$F1156,2))-1,""),"")</f>
        <v/>
      </c>
    </row>
    <row r="1157" spans="1:7">
      <c r="A1157" s="88"/>
      <c r="B1157">
        <v>1105</v>
      </c>
      <c r="C1157">
        <v>1105</v>
      </c>
      <c r="D1157">
        <v>11</v>
      </c>
      <c r="E1157">
        <v>25392</v>
      </c>
      <c r="F1157" s="70">
        <v>44554</v>
      </c>
      <c r="G1157" t="str">
        <f>IFERROR(IF((F1157-F1156)&gt;1,(LARGE(F1157:$F1157,1)-LARGE(F$1144:$F1157,2))-1,""),"")</f>
        <v/>
      </c>
    </row>
    <row r="1158" spans="1:7">
      <c r="A1158" s="65">
        <f>VLOOKUP(TradeSheet!A79,TypeIDs!B:C,2,FALSE)</f>
        <v>27387</v>
      </c>
      <c r="B1158" t="s">
        <v>43998</v>
      </c>
      <c r="C1158" t="s">
        <v>43999</v>
      </c>
      <c r="D1158" t="s">
        <v>44000</v>
      </c>
      <c r="E1158" t="s">
        <v>44001</v>
      </c>
      <c r="F1158" t="s">
        <v>44009</v>
      </c>
      <c r="G1158" t="s">
        <v>44008</v>
      </c>
    </row>
    <row r="1159" spans="1:7">
      <c r="A1159" s="65" t="str">
        <f>CONCATENATE(SwaggerURL,input078)</f>
        <v>https://esi.evetech.net/latest/markets/10000021/history/?datasource=tranquility&amp;type_id=27387</v>
      </c>
      <c r="B1159">
        <v>1094</v>
      </c>
      <c r="C1159">
        <v>1094</v>
      </c>
      <c r="D1159">
        <v>4</v>
      </c>
      <c r="E1159">
        <v>4101</v>
      </c>
      <c r="F1159" s="70">
        <v>44540</v>
      </c>
      <c r="G1159" t="str">
        <f>IFERROR(IF((F1159-F1158)&gt;1,(LARGE(F1159:$F1159,1)-LARGE(F$1159:$F1159,2))-1,""),"")</f>
        <v/>
      </c>
    </row>
    <row r="1160" spans="1:7">
      <c r="A1160" s="79" t="s">
        <v>44018</v>
      </c>
      <c r="B1160">
        <v>1093.5</v>
      </c>
      <c r="C1160">
        <v>1093</v>
      </c>
      <c r="D1160">
        <v>2</v>
      </c>
      <c r="E1160">
        <v>2000</v>
      </c>
      <c r="F1160" s="70">
        <v>44541</v>
      </c>
      <c r="G1160" t="str">
        <f>IFERROR(IF((F1160-F1159)&gt;1,(LARGE(F1160:$F1160,1)-LARGE(F$1159:$F1160,2))-1,""),"")</f>
        <v/>
      </c>
    </row>
    <row r="1161" spans="1:7">
      <c r="A1161" s="78">
        <f>MAX(0,(CurrentDate-2)-F1172)</f>
        <v>1</v>
      </c>
      <c r="B1161">
        <v>1093</v>
      </c>
      <c r="C1161">
        <v>1093</v>
      </c>
      <c r="D1161">
        <v>1</v>
      </c>
      <c r="E1161">
        <v>1160</v>
      </c>
      <c r="F1161" s="70">
        <v>44542</v>
      </c>
      <c r="G1161" t="str">
        <f>IFERROR(IF((F1161-F1160)&gt;1,(LARGE(F1161:$F1161,1)-LARGE(F$1159:$F1161,2))-1,""),"")</f>
        <v/>
      </c>
    </row>
    <row r="1162" spans="1:7">
      <c r="A1162" s="79" t="s">
        <v>44026</v>
      </c>
      <c r="B1162">
        <v>1093</v>
      </c>
      <c r="C1162">
        <v>1093</v>
      </c>
      <c r="D1162">
        <v>1</v>
      </c>
      <c r="E1162">
        <v>1000</v>
      </c>
      <c r="F1162" s="70">
        <v>44543</v>
      </c>
      <c r="G1162" t="str">
        <f>IFERROR(IF((F1162-F1161)&gt;1,(LARGE(F1162:$F1162,1)-LARGE(F$1159:$F1162,2))-1,""),"")</f>
        <v/>
      </c>
    </row>
    <row r="1163" spans="1:7">
      <c r="A1163" s="83">
        <f>SUM(G1166:G1172)</f>
        <v>1</v>
      </c>
      <c r="B1163">
        <v>1094</v>
      </c>
      <c r="C1163">
        <v>1094</v>
      </c>
      <c r="D1163">
        <v>8</v>
      </c>
      <c r="E1163">
        <v>4153</v>
      </c>
      <c r="F1163" s="70">
        <v>44544</v>
      </c>
      <c r="G1163" t="str">
        <f>IFERROR(IF((F1163-F1162)&gt;1,(LARGE(F1163:$F1163,1)-LARGE(F$1159:$F1163,2))-1,""),"")</f>
        <v/>
      </c>
    </row>
    <row r="1164" spans="1:7">
      <c r="A1164" s="79" t="s">
        <v>44029</v>
      </c>
      <c r="B1164">
        <v>1095</v>
      </c>
      <c r="C1164">
        <v>1095</v>
      </c>
      <c r="D1164">
        <v>3</v>
      </c>
      <c r="E1164">
        <v>13000</v>
      </c>
      <c r="F1164" s="70">
        <v>44545</v>
      </c>
      <c r="G1164" t="str">
        <f>IFERROR(IF((F1164-F1163)&gt;1,(LARGE(F1164:$F1164,1)-LARGE(F$1159:$F1164,2))-1,""),"")</f>
        <v/>
      </c>
    </row>
    <row r="1165" spans="1:7">
      <c r="A1165" s="77">
        <f>(SUM(E1159:E1172)/(A1161+14)+SUM(G1159:G1172))</f>
        <v>5701.666666666667</v>
      </c>
      <c r="B1165">
        <v>1095</v>
      </c>
      <c r="C1165">
        <v>1095</v>
      </c>
      <c r="D1165">
        <v>7</v>
      </c>
      <c r="E1165">
        <v>8134</v>
      </c>
      <c r="F1165" s="70">
        <v>44546</v>
      </c>
      <c r="G1165" t="str">
        <f>IFERROR(IF((F1165-F1164)&gt;1,(LARGE(F1165:$F1165,1)-LARGE(F$1159:$F1165,2))-1,""),"")</f>
        <v/>
      </c>
    </row>
    <row r="1166" spans="1:7">
      <c r="A1166" s="77">
        <f>(SUM(E1166:E1172)/(A1161+7)+SUM(G1166:G1172))</f>
        <v>6496.25</v>
      </c>
      <c r="B1166">
        <v>1095</v>
      </c>
      <c r="C1166">
        <v>1095</v>
      </c>
      <c r="D1166">
        <v>1</v>
      </c>
      <c r="E1166">
        <v>1500</v>
      </c>
      <c r="F1166" s="70">
        <v>44547</v>
      </c>
      <c r="G1166" t="str">
        <f>IFERROR(IF((F1166-F1165)&gt;1,(LARGE(F1166:$F1166,1)-LARGE(F$1159:$F1166,2))-1,""),"")</f>
        <v/>
      </c>
    </row>
    <row r="1167" spans="1:7">
      <c r="A1167" s="79" t="s">
        <v>44028</v>
      </c>
      <c r="B1167">
        <v>1090</v>
      </c>
      <c r="C1167">
        <v>1090</v>
      </c>
      <c r="D1167">
        <v>6</v>
      </c>
      <c r="E1167">
        <v>7540</v>
      </c>
      <c r="F1167" s="70">
        <v>44548</v>
      </c>
      <c r="G1167" t="str">
        <f>IFERROR(IF((F1167-F1166)&gt;1,(LARGE(F1167:$F1167,1)-LARGE(F$1159:$F1167,2))-1,""),"")</f>
        <v/>
      </c>
    </row>
    <row r="1168" spans="1:7">
      <c r="A1168" s="77">
        <f>(SUM(D1169:D1172)/(A1161+4)+SUM(G1169:G1172))</f>
        <v>6.6</v>
      </c>
      <c r="B1168">
        <v>1050</v>
      </c>
      <c r="C1168">
        <v>1050</v>
      </c>
      <c r="D1168">
        <v>4</v>
      </c>
      <c r="E1168">
        <v>2300</v>
      </c>
      <c r="F1168" s="70">
        <v>44549</v>
      </c>
      <c r="G1168" t="str">
        <f>IFERROR(IF((F1168-F1167)&gt;1,(LARGE(F1168:$F1168,1)-LARGE(F$1159:$F1168,2))-1,""),"")</f>
        <v/>
      </c>
    </row>
    <row r="1169" spans="1:7">
      <c r="A1169" s="85" t="s">
        <v>44027</v>
      </c>
      <c r="B1169">
        <v>1095</v>
      </c>
      <c r="C1169">
        <v>1095</v>
      </c>
      <c r="D1169">
        <v>6</v>
      </c>
      <c r="E1169">
        <v>4950</v>
      </c>
      <c r="F1169" s="70">
        <v>44550</v>
      </c>
      <c r="G1169" t="str">
        <f>IFERROR(IF((F1169-F1168)&gt;1,(LARGE(F1169:$F1169,1)-LARGE(F$1159:$F1169,2))-1,""),"")</f>
        <v/>
      </c>
    </row>
    <row r="1170" spans="1:7">
      <c r="A1170" s="86">
        <f>IF(A1163+A1161&gt;10,"Look Up",AVERAGE(A1165,A1166))</f>
        <v>6098.9583333333339</v>
      </c>
      <c r="B1170">
        <v>1090</v>
      </c>
      <c r="C1170">
        <v>1090</v>
      </c>
      <c r="D1170">
        <v>5</v>
      </c>
      <c r="E1170">
        <v>3130</v>
      </c>
      <c r="F1170" s="70">
        <v>44552</v>
      </c>
      <c r="G1170">
        <f>IFERROR(IF((F1170-F1169)&gt;1,(LARGE(F1170:$F1170,1)-LARGE(F$1159:$F1170,2))-1,""),"")</f>
        <v>1</v>
      </c>
    </row>
    <row r="1171" spans="1:7">
      <c r="A1171" s="85" t="s">
        <v>44030</v>
      </c>
      <c r="B1171">
        <v>1090</v>
      </c>
      <c r="C1171">
        <v>1090</v>
      </c>
      <c r="D1171">
        <v>1</v>
      </c>
      <c r="E1171">
        <v>600</v>
      </c>
      <c r="F1171" s="70">
        <v>44553</v>
      </c>
      <c r="G1171" t="str">
        <f>IFERROR(IF((F1171-F1170)&gt;1,(LARGE(F1171:$F1171,1)-LARGE(F$1159:$F1171,2))-1,""),"")</f>
        <v/>
      </c>
    </row>
    <row r="1172" spans="1:7">
      <c r="A1172" s="88"/>
      <c r="B1172">
        <v>1096</v>
      </c>
      <c r="C1172">
        <v>1096</v>
      </c>
      <c r="D1172">
        <v>16</v>
      </c>
      <c r="E1172">
        <v>31942</v>
      </c>
      <c r="F1172" s="70">
        <v>44554</v>
      </c>
      <c r="G1172" t="str">
        <f>IFERROR(IF((F1172-F1171)&gt;1,(LARGE(F1172:$F1172,1)-LARGE(F$1159:$F1172,2))-1,""),"")</f>
        <v/>
      </c>
    </row>
    <row r="1173" spans="1:7">
      <c r="A1173" s="65">
        <f>VLOOKUP(TradeSheet!A80,TypeIDs!B:C,2,FALSE)</f>
        <v>27381</v>
      </c>
      <c r="B1173" t="s">
        <v>43998</v>
      </c>
      <c r="C1173" t="s">
        <v>43999</v>
      </c>
      <c r="D1173" t="s">
        <v>44000</v>
      </c>
      <c r="E1173" t="s">
        <v>44001</v>
      </c>
      <c r="F1173" t="s">
        <v>44009</v>
      </c>
      <c r="G1173" t="s">
        <v>44008</v>
      </c>
    </row>
    <row r="1174" spans="1:7">
      <c r="A1174" s="65" t="str">
        <f>CONCATENATE(SwaggerURL,input079)</f>
        <v>https://esi.evetech.net/latest/markets/10000021/history/?datasource=tranquility&amp;type_id=27381</v>
      </c>
      <c r="B1174">
        <v>1047</v>
      </c>
      <c r="C1174">
        <v>1047</v>
      </c>
      <c r="D1174">
        <v>1</v>
      </c>
      <c r="E1174">
        <v>500</v>
      </c>
      <c r="F1174" s="70">
        <v>44536</v>
      </c>
      <c r="G1174" t="str">
        <f>IFERROR(IF((F1174-F1173)&gt;1,(LARGE(F1174:$F1174,1)-LARGE(F$1174:$F1174,2))-1,""),"")</f>
        <v/>
      </c>
    </row>
    <row r="1175" spans="1:7">
      <c r="A1175" s="79" t="s">
        <v>44018</v>
      </c>
      <c r="B1175">
        <v>1045</v>
      </c>
      <c r="C1175">
        <v>1045</v>
      </c>
      <c r="D1175">
        <v>1</v>
      </c>
      <c r="E1175">
        <v>783</v>
      </c>
      <c r="F1175" s="70">
        <v>44538</v>
      </c>
      <c r="G1175">
        <f>IFERROR(IF((F1175-F1174)&gt;1,(LARGE(F1175:$F1175,1)-LARGE(F$1174:$F1175,2))-1,""),"")</f>
        <v>1</v>
      </c>
    </row>
    <row r="1176" spans="1:7">
      <c r="A1176" s="78">
        <f>MAX(0,(CurrentDate-2)-F1187)</f>
        <v>1</v>
      </c>
      <c r="B1176">
        <v>1044</v>
      </c>
      <c r="C1176">
        <v>1044</v>
      </c>
      <c r="D1176">
        <v>1</v>
      </c>
      <c r="E1176">
        <v>1000</v>
      </c>
      <c r="F1176" s="70">
        <v>44540</v>
      </c>
      <c r="G1176">
        <f>IFERROR(IF((F1176-F1175)&gt;1,(LARGE(F1176:$F1176,1)-LARGE(F$1174:$F1176,2))-1,""),"")</f>
        <v>1</v>
      </c>
    </row>
    <row r="1177" spans="1:7">
      <c r="A1177" s="79" t="s">
        <v>44026</v>
      </c>
      <c r="B1177">
        <v>1044</v>
      </c>
      <c r="C1177">
        <v>1044</v>
      </c>
      <c r="D1177">
        <v>1</v>
      </c>
      <c r="E1177">
        <v>1000</v>
      </c>
      <c r="F1177" s="70">
        <v>44541</v>
      </c>
      <c r="G1177" t="str">
        <f>IFERROR(IF((F1177-F1176)&gt;1,(LARGE(F1177:$F1177,1)-LARGE(F$1174:$F1177,2))-1,""),"")</f>
        <v/>
      </c>
    </row>
    <row r="1178" spans="1:7">
      <c r="A1178" s="83">
        <f>SUM(G1181:G1187)</f>
        <v>2</v>
      </c>
      <c r="B1178">
        <v>1042</v>
      </c>
      <c r="C1178">
        <v>1042</v>
      </c>
      <c r="D1178">
        <v>1</v>
      </c>
      <c r="E1178">
        <v>1240</v>
      </c>
      <c r="F1178" s="70">
        <v>44542</v>
      </c>
      <c r="G1178" t="str">
        <f>IFERROR(IF((F1178-F1177)&gt;1,(LARGE(F1178:$F1178,1)-LARGE(F$1174:$F1178,2))-1,""),"")</f>
        <v/>
      </c>
    </row>
    <row r="1179" spans="1:7">
      <c r="A1179" s="79" t="s">
        <v>44029</v>
      </c>
      <c r="B1179">
        <v>1042</v>
      </c>
      <c r="C1179">
        <v>1042</v>
      </c>
      <c r="D1179">
        <v>1</v>
      </c>
      <c r="E1179">
        <v>120</v>
      </c>
      <c r="F1179" s="70">
        <v>44544</v>
      </c>
      <c r="G1179">
        <f>IFERROR(IF((F1179-F1178)&gt;1,(LARGE(F1179:$F1179,1)-LARGE(F$1174:$F1179,2))-1,""),"")</f>
        <v>1</v>
      </c>
    </row>
    <row r="1180" spans="1:7">
      <c r="A1180" s="77">
        <f>(SUM(E1174:E1187)/(A1176+14)+SUM(G1174:G1187))</f>
        <v>2477.8666666666668</v>
      </c>
      <c r="B1180">
        <v>1042</v>
      </c>
      <c r="C1180">
        <v>1042</v>
      </c>
      <c r="D1180">
        <v>2</v>
      </c>
      <c r="E1180">
        <v>1060</v>
      </c>
      <c r="F1180" s="70">
        <v>44545</v>
      </c>
      <c r="G1180" t="str">
        <f>IFERROR(IF((F1180-F1179)&gt;1,(LARGE(F1180:$F1180,1)-LARGE(F$1174:$F1180,2))-1,""),"")</f>
        <v/>
      </c>
    </row>
    <row r="1181" spans="1:7">
      <c r="A1181" s="77">
        <f>(SUM(E1181:E1187)/(A1176+7)+SUM(G1181:G1187))</f>
        <v>3925.75</v>
      </c>
      <c r="B1181">
        <v>1045</v>
      </c>
      <c r="C1181">
        <v>1043.5</v>
      </c>
      <c r="D1181">
        <v>6</v>
      </c>
      <c r="E1181">
        <v>2400</v>
      </c>
      <c r="F1181" s="70">
        <v>44546</v>
      </c>
      <c r="G1181" t="str">
        <f>IFERROR(IF((F1181-F1180)&gt;1,(LARGE(F1181:$F1181,1)-LARGE(F$1174:$F1181,2))-1,""),"")</f>
        <v/>
      </c>
    </row>
    <row r="1182" spans="1:7">
      <c r="A1182" s="79" t="s">
        <v>44028</v>
      </c>
      <c r="B1182">
        <v>1048</v>
      </c>
      <c r="C1182">
        <v>1048</v>
      </c>
      <c r="D1182">
        <v>4</v>
      </c>
      <c r="E1182">
        <v>4800</v>
      </c>
      <c r="F1182" s="70">
        <v>44548</v>
      </c>
      <c r="G1182">
        <f>IFERROR(IF((F1182-F1181)&gt;1,(LARGE(F1182:$F1182,1)-LARGE(F$1174:$F1182,2))-1,""),"")</f>
        <v>1</v>
      </c>
    </row>
    <row r="1183" spans="1:7">
      <c r="A1183" s="77">
        <f>(SUM(D1184:D1187)/(A1176+4)+SUM(G1184:G1187))</f>
        <v>3</v>
      </c>
      <c r="B1183">
        <v>1046</v>
      </c>
      <c r="C1183">
        <v>1046</v>
      </c>
      <c r="D1183">
        <v>3</v>
      </c>
      <c r="E1183">
        <v>1500</v>
      </c>
      <c r="F1183" s="70">
        <v>44549</v>
      </c>
      <c r="G1183" t="str">
        <f>IFERROR(IF((F1183-F1182)&gt;1,(LARGE(F1183:$F1183,1)-LARGE(F$1174:$F1183,2))-1,""),"")</f>
        <v/>
      </c>
    </row>
    <row r="1184" spans="1:7">
      <c r="A1184" s="85" t="s">
        <v>44027</v>
      </c>
      <c r="B1184">
        <v>1048</v>
      </c>
      <c r="C1184">
        <v>1048</v>
      </c>
      <c r="D1184">
        <v>4</v>
      </c>
      <c r="E1184">
        <v>4500</v>
      </c>
      <c r="F1184" s="70">
        <v>44550</v>
      </c>
      <c r="G1184" t="str">
        <f>IFERROR(IF((F1184-F1183)&gt;1,(LARGE(F1184:$F1184,1)-LARGE(F$1174:$F1184,2))-1,""),"")</f>
        <v/>
      </c>
    </row>
    <row r="1185" spans="1:7">
      <c r="A1185" s="86">
        <f>IF(A1178+A1176&gt;10,"Look Up",AVERAGE(A1180,A1181))</f>
        <v>3201.8083333333334</v>
      </c>
      <c r="B1185">
        <v>1044</v>
      </c>
      <c r="C1185">
        <v>1044</v>
      </c>
      <c r="D1185">
        <v>1</v>
      </c>
      <c r="E1185">
        <v>795</v>
      </c>
      <c r="F1185" s="70">
        <v>44552</v>
      </c>
      <c r="G1185">
        <f>IFERROR(IF((F1185-F1184)&gt;1,(LARGE(F1185:$F1185,1)-LARGE(F$1174:$F1185,2))-1,""),"")</f>
        <v>1</v>
      </c>
    </row>
    <row r="1186" spans="1:7">
      <c r="A1186" s="85" t="s">
        <v>44030</v>
      </c>
      <c r="B1186">
        <v>1044</v>
      </c>
      <c r="C1186">
        <v>1044</v>
      </c>
      <c r="D1186">
        <v>2</v>
      </c>
      <c r="E1186">
        <v>1600</v>
      </c>
      <c r="F1186" s="70">
        <v>44553</v>
      </c>
      <c r="G1186" t="str">
        <f>IFERROR(IF((F1186-F1185)&gt;1,(LARGE(F1186:$F1186,1)-LARGE(F$1174:$F1186,2))-1,""),"")</f>
        <v/>
      </c>
    </row>
    <row r="1187" spans="1:7">
      <c r="A1187" s="88"/>
      <c r="B1187">
        <v>1045</v>
      </c>
      <c r="C1187">
        <v>1045</v>
      </c>
      <c r="D1187">
        <v>3</v>
      </c>
      <c r="E1187">
        <v>15795</v>
      </c>
      <c r="F1187" s="70">
        <v>44554</v>
      </c>
      <c r="G1187" t="str">
        <f>IFERROR(IF((F1187-F1186)&gt;1,(LARGE(F1187:$F1187,1)-LARGE(F$1174:$F1187,2))-1,""),"")</f>
        <v/>
      </c>
    </row>
    <row r="1188" spans="1:7">
      <c r="A1188" s="65">
        <f>VLOOKUP(TradeSheet!A81,TypeIDs!B:C,2,FALSE)</f>
        <v>27361</v>
      </c>
      <c r="B1188" t="s">
        <v>43998</v>
      </c>
      <c r="C1188" t="s">
        <v>43999</v>
      </c>
      <c r="D1188" t="s">
        <v>44000</v>
      </c>
      <c r="E1188" t="s">
        <v>44001</v>
      </c>
      <c r="F1188" t="s">
        <v>44009</v>
      </c>
      <c r="G1188" t="s">
        <v>44008</v>
      </c>
    </row>
    <row r="1189" spans="1:7">
      <c r="A1189" s="65" t="str">
        <f>CONCATENATE(SwaggerURL,input080)</f>
        <v>https://esi.evetech.net/latest/markets/10000021/history/?datasource=tranquility&amp;type_id=27361</v>
      </c>
      <c r="B1189">
        <v>1027</v>
      </c>
      <c r="C1189">
        <v>1027</v>
      </c>
      <c r="D1189">
        <v>1</v>
      </c>
      <c r="E1189">
        <v>1000</v>
      </c>
      <c r="F1189" s="70">
        <v>44540</v>
      </c>
      <c r="G1189" t="str">
        <f>IFERROR(IF((F1189-F1188)&gt;1,(LARGE(F1189:$F1189,1)-LARGE(F$1189:$F1189,2))-1,""),"")</f>
        <v/>
      </c>
    </row>
    <row r="1190" spans="1:7">
      <c r="A1190" s="79" t="s">
        <v>44018</v>
      </c>
      <c r="B1190">
        <v>1027</v>
      </c>
      <c r="C1190">
        <v>1027</v>
      </c>
      <c r="D1190">
        <v>3</v>
      </c>
      <c r="E1190">
        <v>3850</v>
      </c>
      <c r="F1190" s="70">
        <v>44541</v>
      </c>
      <c r="G1190" t="str">
        <f>IFERROR(IF((F1190-F1189)&gt;1,(LARGE(F1190:$F1190,1)-LARGE(F$1189:$F1190,2))-1,""),"")</f>
        <v/>
      </c>
    </row>
    <row r="1191" spans="1:7">
      <c r="A1191" s="78">
        <f>MAX(0,(CurrentDate-2)-F1202)</f>
        <v>1</v>
      </c>
      <c r="B1191">
        <v>1028</v>
      </c>
      <c r="C1191">
        <v>1028</v>
      </c>
      <c r="D1191">
        <v>2</v>
      </c>
      <c r="E1191">
        <v>1315</v>
      </c>
      <c r="F1191" s="70">
        <v>44542</v>
      </c>
      <c r="G1191" t="str">
        <f>IFERROR(IF((F1191-F1190)&gt;1,(LARGE(F1191:$F1191,1)-LARGE(F$1189:$F1191,2))-1,""),"")</f>
        <v/>
      </c>
    </row>
    <row r="1192" spans="1:7">
      <c r="A1192" s="79" t="s">
        <v>44026</v>
      </c>
      <c r="B1192">
        <v>1028</v>
      </c>
      <c r="C1192">
        <v>1028</v>
      </c>
      <c r="D1192">
        <v>1</v>
      </c>
      <c r="E1192">
        <v>1484</v>
      </c>
      <c r="F1192" s="70">
        <v>44543</v>
      </c>
      <c r="G1192" t="str">
        <f>IFERROR(IF((F1192-F1191)&gt;1,(LARGE(F1192:$F1192,1)-LARGE(F$1189:$F1192,2))-1,""),"")</f>
        <v/>
      </c>
    </row>
    <row r="1193" spans="1:7">
      <c r="A1193" s="83">
        <f>SUM(G1196:G1202)</f>
        <v>1</v>
      </c>
      <c r="B1193">
        <v>1028</v>
      </c>
      <c r="C1193">
        <v>1028</v>
      </c>
      <c r="D1193">
        <v>5</v>
      </c>
      <c r="E1193">
        <v>1616</v>
      </c>
      <c r="F1193" s="70">
        <v>44544</v>
      </c>
      <c r="G1193" t="str">
        <f>IFERROR(IF((F1193-F1192)&gt;1,(LARGE(F1193:$F1193,1)-LARGE(F$1189:$F1193,2))-1,""),"")</f>
        <v/>
      </c>
    </row>
    <row r="1194" spans="1:7">
      <c r="A1194" s="79" t="s">
        <v>44029</v>
      </c>
      <c r="B1194">
        <v>1028</v>
      </c>
      <c r="C1194">
        <v>1028</v>
      </c>
      <c r="D1194">
        <v>4</v>
      </c>
      <c r="E1194">
        <v>10760</v>
      </c>
      <c r="F1194" s="70">
        <v>44545</v>
      </c>
      <c r="G1194" t="str">
        <f>IFERROR(IF((F1194-F1193)&gt;1,(LARGE(F1194:$F1194,1)-LARGE(F$1189:$F1194,2))-1,""),"")</f>
        <v/>
      </c>
    </row>
    <row r="1195" spans="1:7">
      <c r="A1195" s="77">
        <f>(SUM(E1189:E1202)/(A1191+14)+SUM(G1189:G1202))</f>
        <v>5084.6000000000004</v>
      </c>
      <c r="B1195">
        <v>1028</v>
      </c>
      <c r="C1195">
        <v>1028</v>
      </c>
      <c r="D1195">
        <v>4</v>
      </c>
      <c r="E1195">
        <v>4100</v>
      </c>
      <c r="F1195" s="70">
        <v>44546</v>
      </c>
      <c r="G1195" t="str">
        <f>IFERROR(IF((F1195-F1194)&gt;1,(LARGE(F1195:$F1195,1)-LARGE(F$1189:$F1195,2))-1,""),"")</f>
        <v/>
      </c>
    </row>
    <row r="1196" spans="1:7">
      <c r="A1196" s="77">
        <f>(SUM(E1196:E1202)/(A1191+7)+SUM(G1196:G1202))</f>
        <v>6517.125</v>
      </c>
      <c r="B1196">
        <v>1028</v>
      </c>
      <c r="C1196">
        <v>1028</v>
      </c>
      <c r="D1196">
        <v>2</v>
      </c>
      <c r="E1196">
        <v>3500</v>
      </c>
      <c r="F1196" s="70">
        <v>44547</v>
      </c>
      <c r="G1196" t="str">
        <f>IFERROR(IF((F1196-F1195)&gt;1,(LARGE(F1196:$F1196,1)-LARGE(F$1189:$F1196,2))-1,""),"")</f>
        <v/>
      </c>
    </row>
    <row r="1197" spans="1:7">
      <c r="A1197" s="79" t="s">
        <v>44028</v>
      </c>
      <c r="B1197">
        <v>1028</v>
      </c>
      <c r="C1197">
        <v>1028</v>
      </c>
      <c r="D1197">
        <v>1</v>
      </c>
      <c r="E1197">
        <v>1500</v>
      </c>
      <c r="F1197" s="70">
        <v>44548</v>
      </c>
      <c r="G1197" t="str">
        <f>IFERROR(IF((F1197-F1196)&gt;1,(LARGE(F1197:$F1197,1)-LARGE(F$1189:$F1197,2))-1,""),"")</f>
        <v/>
      </c>
    </row>
    <row r="1198" spans="1:7">
      <c r="A1198" s="77">
        <f>(SUM(D1199:D1202)/(A1191+4)+SUM(G1199:G1202))</f>
        <v>5.8</v>
      </c>
      <c r="B1198">
        <v>1028</v>
      </c>
      <c r="C1198">
        <v>1028</v>
      </c>
      <c r="D1198">
        <v>4</v>
      </c>
      <c r="E1198">
        <v>1800</v>
      </c>
      <c r="F1198" s="70">
        <v>44549</v>
      </c>
      <c r="G1198" t="str">
        <f>IFERROR(IF((F1198-F1197)&gt;1,(LARGE(F1198:$F1198,1)-LARGE(F$1189:$F1198,2))-1,""),"")</f>
        <v/>
      </c>
    </row>
    <row r="1199" spans="1:7">
      <c r="A1199" s="85" t="s">
        <v>44027</v>
      </c>
      <c r="B1199">
        <v>1029</v>
      </c>
      <c r="C1199">
        <v>1029</v>
      </c>
      <c r="D1199">
        <v>4</v>
      </c>
      <c r="E1199">
        <v>9000</v>
      </c>
      <c r="F1199" s="70">
        <v>44550</v>
      </c>
      <c r="G1199" t="str">
        <f>IFERROR(IF((F1199-F1198)&gt;1,(LARGE(F1199:$F1199,1)-LARGE(F$1189:$F1199,2))-1,""),"")</f>
        <v/>
      </c>
    </row>
    <row r="1200" spans="1:7">
      <c r="A1200" s="86">
        <f>IF(A1193+A1191&gt;10,"Look Up",AVERAGE(A1195,A1196))</f>
        <v>5800.8625000000002</v>
      </c>
      <c r="B1200">
        <v>1027</v>
      </c>
      <c r="C1200">
        <v>1027</v>
      </c>
      <c r="D1200">
        <v>1</v>
      </c>
      <c r="E1200">
        <v>795</v>
      </c>
      <c r="F1200" s="70">
        <v>44552</v>
      </c>
      <c r="G1200">
        <f>IFERROR(IF((F1200-F1199)&gt;1,(LARGE(F1200:$F1200,1)-LARGE(F$1189:$F1200,2))-1,""),"")</f>
        <v>1</v>
      </c>
    </row>
    <row r="1201" spans="1:7">
      <c r="A1201" s="85" t="s">
        <v>44030</v>
      </c>
      <c r="B1201">
        <v>1027</v>
      </c>
      <c r="C1201">
        <v>1027</v>
      </c>
      <c r="D1201">
        <v>6</v>
      </c>
      <c r="E1201">
        <v>7444</v>
      </c>
      <c r="F1201" s="70">
        <v>44553</v>
      </c>
      <c r="G1201" t="str">
        <f>IFERROR(IF((F1201-F1200)&gt;1,(LARGE(F1201:$F1201,1)-LARGE(F$1189:$F1201,2))-1,""),"")</f>
        <v/>
      </c>
    </row>
    <row r="1202" spans="1:7">
      <c r="A1202" s="88"/>
      <c r="B1202">
        <v>1027</v>
      </c>
      <c r="C1202">
        <v>1027</v>
      </c>
      <c r="D1202">
        <v>13</v>
      </c>
      <c r="E1202">
        <v>28090</v>
      </c>
      <c r="F1202" s="70">
        <v>44554</v>
      </c>
      <c r="G1202" t="str">
        <f>IFERROR(IF((F1202-F1201)&gt;1,(LARGE(F1202:$F1202,1)-LARGE(F$1189:$F1202,2))-1,""),"")</f>
        <v/>
      </c>
    </row>
    <row r="1203" spans="1:7">
      <c r="A1203" s="65">
        <f>VLOOKUP(TradeSheet!A82,TypeIDs!B:C,2,FALSE)</f>
        <v>2817</v>
      </c>
      <c r="B1203" t="s">
        <v>43998</v>
      </c>
      <c r="C1203" t="s">
        <v>43999</v>
      </c>
      <c r="D1203" t="s">
        <v>44000</v>
      </c>
      <c r="E1203" t="s">
        <v>44001</v>
      </c>
      <c r="F1203" t="s">
        <v>44009</v>
      </c>
      <c r="G1203" t="s">
        <v>44008</v>
      </c>
    </row>
    <row r="1204" spans="1:7">
      <c r="A1204" s="65" t="str">
        <f>CONCATENATE(SwaggerURL,input081)</f>
        <v>https://esi.evetech.net/latest/markets/10000021/history/?datasource=tranquility&amp;type_id=2817</v>
      </c>
      <c r="B1204">
        <v>60</v>
      </c>
      <c r="C1204">
        <v>60</v>
      </c>
      <c r="D1204">
        <v>1</v>
      </c>
      <c r="E1204">
        <v>1100</v>
      </c>
      <c r="F1204" s="70">
        <v>44521</v>
      </c>
      <c r="G1204" t="str">
        <f>IFERROR(IF((F1204-F1203)&gt;1,(LARGE(F1204:$F1204,1)-LARGE(F$1204:$F1204,2))-1,""),"")</f>
        <v/>
      </c>
    </row>
    <row r="1205" spans="1:7">
      <c r="A1205" s="79" t="s">
        <v>44018</v>
      </c>
      <c r="B1205">
        <v>60</v>
      </c>
      <c r="C1205">
        <v>60</v>
      </c>
      <c r="D1205">
        <v>3</v>
      </c>
      <c r="E1205">
        <v>1901</v>
      </c>
      <c r="F1205" s="70">
        <v>44522</v>
      </c>
      <c r="G1205" t="str">
        <f>IFERROR(IF((F1205-F1204)&gt;1,(LARGE(F1205:$F1205,1)-LARGE(F$1204:$F1205,2))-1,""),"")</f>
        <v/>
      </c>
    </row>
    <row r="1206" spans="1:7">
      <c r="A1206" s="78">
        <f>MAX(0,(CurrentDate-2)-F1217)</f>
        <v>2</v>
      </c>
      <c r="B1206">
        <v>60</v>
      </c>
      <c r="C1206">
        <v>60</v>
      </c>
      <c r="D1206">
        <v>1</v>
      </c>
      <c r="E1206">
        <v>2000</v>
      </c>
      <c r="F1206" s="70">
        <v>44523</v>
      </c>
      <c r="G1206" t="str">
        <f>IFERROR(IF((F1206-F1205)&gt;1,(LARGE(F1206:$F1206,1)-LARGE(F$1204:$F1206,2))-1,""),"")</f>
        <v/>
      </c>
    </row>
    <row r="1207" spans="1:7">
      <c r="A1207" s="79" t="s">
        <v>44026</v>
      </c>
      <c r="B1207">
        <v>60</v>
      </c>
      <c r="C1207">
        <v>60</v>
      </c>
      <c r="D1207">
        <v>2</v>
      </c>
      <c r="E1207">
        <v>3000</v>
      </c>
      <c r="F1207" s="70">
        <v>44524</v>
      </c>
      <c r="G1207" t="str">
        <f>IFERROR(IF((F1207-F1206)&gt;1,(LARGE(F1207:$F1207,1)-LARGE(F$1204:$F1207,2))-1,""),"")</f>
        <v/>
      </c>
    </row>
    <row r="1208" spans="1:7">
      <c r="A1208" s="83">
        <f>SUM(G1211:G1217)</f>
        <v>12</v>
      </c>
      <c r="B1208">
        <v>60</v>
      </c>
      <c r="C1208">
        <v>60</v>
      </c>
      <c r="D1208">
        <v>1</v>
      </c>
      <c r="E1208">
        <v>600</v>
      </c>
      <c r="F1208" s="70">
        <v>44527</v>
      </c>
      <c r="G1208">
        <f>IFERROR(IF((F1208-F1207)&gt;1,(LARGE(F1208:$F1208,1)-LARGE(F$1204:$F1208,2))-1,""),"")</f>
        <v>2</v>
      </c>
    </row>
    <row r="1209" spans="1:7">
      <c r="A1209" s="79" t="s">
        <v>44029</v>
      </c>
      <c r="B1209">
        <v>60</v>
      </c>
      <c r="C1209">
        <v>60</v>
      </c>
      <c r="D1209">
        <v>1</v>
      </c>
      <c r="E1209">
        <v>500</v>
      </c>
      <c r="F1209" s="70">
        <v>44533</v>
      </c>
      <c r="G1209">
        <f>IFERROR(IF((F1209-F1208)&gt;1,(LARGE(F1209:$F1209,1)-LARGE(F$1204:$F1209,2))-1,""),"")</f>
        <v>5</v>
      </c>
    </row>
    <row r="1210" spans="1:7">
      <c r="A1210" s="77">
        <f>(SUM(E1204:E1217)/(A1206+14)+SUM(G1204:G1217))</f>
        <v>251485.875</v>
      </c>
      <c r="B1210">
        <v>60</v>
      </c>
      <c r="C1210">
        <v>60</v>
      </c>
      <c r="D1210">
        <v>1</v>
      </c>
      <c r="E1210">
        <v>693966</v>
      </c>
      <c r="F1210" s="70">
        <v>44534</v>
      </c>
      <c r="G1210" t="str">
        <f>IFERROR(IF((F1210-F1209)&gt;1,(LARGE(F1210:$F1210,1)-LARGE(F$1204:$F1210,2))-1,""),"")</f>
        <v/>
      </c>
    </row>
    <row r="1211" spans="1:7">
      <c r="A1211" s="77">
        <f>(SUM(E1211:E1217)/(A1206+7)+SUM(G1211:G1217))</f>
        <v>368945.66666666669</v>
      </c>
      <c r="B1211">
        <v>60</v>
      </c>
      <c r="C1211">
        <v>60</v>
      </c>
      <c r="D1211">
        <v>1</v>
      </c>
      <c r="E1211">
        <v>500</v>
      </c>
      <c r="F1211" s="70">
        <v>44535</v>
      </c>
      <c r="G1211" t="str">
        <f>IFERROR(IF((F1211-F1210)&gt;1,(LARGE(F1211:$F1211,1)-LARGE(F$1204:$F1211,2))-1,""),"")</f>
        <v/>
      </c>
    </row>
    <row r="1212" spans="1:7">
      <c r="A1212" s="79" t="s">
        <v>44028</v>
      </c>
      <c r="B1212">
        <v>60</v>
      </c>
      <c r="C1212">
        <v>60</v>
      </c>
      <c r="D1212">
        <v>2</v>
      </c>
      <c r="E1212">
        <v>3314455</v>
      </c>
      <c r="F1212" s="70">
        <v>44538</v>
      </c>
      <c r="G1212">
        <f>IFERROR(IF((F1212-F1211)&gt;1,(LARGE(F1212:$F1212,1)-LARGE(F$1204:$F1212,2))-1,""),"")</f>
        <v>2</v>
      </c>
    </row>
    <row r="1213" spans="1:7">
      <c r="A1213" s="77">
        <f>(SUM(D1214:D1217)/(A1206+4)+SUM(G1214:G1217))</f>
        <v>3.8333333333333335</v>
      </c>
      <c r="B1213">
        <v>300</v>
      </c>
      <c r="C1213">
        <v>300</v>
      </c>
      <c r="D1213">
        <v>1</v>
      </c>
      <c r="E1213">
        <v>663</v>
      </c>
      <c r="F1213" s="70">
        <v>44546</v>
      </c>
      <c r="G1213">
        <f>IFERROR(IF((F1213-F1212)&gt;1,(LARGE(F1213:$F1213,1)-LARGE(F$1204:$F1213,2))-1,""),"")</f>
        <v>7</v>
      </c>
    </row>
    <row r="1214" spans="1:7">
      <c r="A1214" s="85" t="s">
        <v>44027</v>
      </c>
      <c r="B1214">
        <v>400</v>
      </c>
      <c r="C1214">
        <v>400</v>
      </c>
      <c r="D1214">
        <v>2</v>
      </c>
      <c r="E1214">
        <v>2350</v>
      </c>
      <c r="F1214" s="70">
        <v>44547</v>
      </c>
      <c r="G1214" t="str">
        <f>IFERROR(IF((F1214-F1213)&gt;1,(LARGE(F1214:$F1214,1)-LARGE(F$1204:$F1214,2))-1,""),"")</f>
        <v/>
      </c>
    </row>
    <row r="1215" spans="1:7">
      <c r="A1215" s="86" t="str">
        <f>IF(A1208+A1206&gt;10,"Look Up",AVERAGE(A1210,A1211))</f>
        <v>Look Up</v>
      </c>
      <c r="B1215">
        <v>378.1</v>
      </c>
      <c r="C1215">
        <v>378.1</v>
      </c>
      <c r="D1215">
        <v>1</v>
      </c>
      <c r="E1215">
        <v>1000</v>
      </c>
      <c r="F1215" s="70">
        <v>44551</v>
      </c>
      <c r="G1215">
        <f>IFERROR(IF((F1215-F1214)&gt;1,(LARGE(F1215:$F1215,1)-LARGE(F$1204:$F1215,2))-1,""),"")</f>
        <v>3</v>
      </c>
    </row>
    <row r="1216" spans="1:7">
      <c r="A1216" s="85" t="s">
        <v>44030</v>
      </c>
      <c r="B1216">
        <v>377.8</v>
      </c>
      <c r="C1216">
        <v>377.8</v>
      </c>
      <c r="D1216">
        <v>1</v>
      </c>
      <c r="E1216">
        <v>1000</v>
      </c>
      <c r="F1216" s="70">
        <v>44552</v>
      </c>
      <c r="G1216" t="str">
        <f>IFERROR(IF((F1216-F1215)&gt;1,(LARGE(F1216:$F1216,1)-LARGE(F$1204:$F1216,2))-1,""),"")</f>
        <v/>
      </c>
    </row>
    <row r="1217" spans="1:7">
      <c r="A1217" s="88"/>
      <c r="B1217">
        <v>377.8</v>
      </c>
      <c r="C1217">
        <v>377.8</v>
      </c>
      <c r="D1217">
        <v>1</v>
      </c>
      <c r="E1217">
        <v>435</v>
      </c>
      <c r="F1217" s="70">
        <v>44553</v>
      </c>
      <c r="G1217" t="str">
        <f>IFERROR(IF((F1217-F1216)&gt;1,(LARGE(F1217:$F1217,1)-LARGE(F$1204:$F1217,2))-1,""),"")</f>
        <v/>
      </c>
    </row>
    <row r="1218" spans="1:7">
      <c r="A1218" s="65">
        <f>VLOOKUP(TradeSheet!A83,TypeIDs!B:C,2,FALSE)</f>
        <v>24473</v>
      </c>
      <c r="B1218" t="s">
        <v>43998</v>
      </c>
      <c r="C1218" t="s">
        <v>43999</v>
      </c>
      <c r="D1218" t="s">
        <v>44000</v>
      </c>
      <c r="E1218" t="s">
        <v>44001</v>
      </c>
      <c r="F1218" t="s">
        <v>44009</v>
      </c>
      <c r="G1218" t="s">
        <v>44008</v>
      </c>
    </row>
    <row r="1219" spans="1:7">
      <c r="A1219" s="65" t="str">
        <f>CONCATENATE(SwaggerURL,input082)</f>
        <v>https://esi.evetech.net/latest/markets/10000021/history/?datasource=tranquility&amp;type_id=24473</v>
      </c>
      <c r="B1219">
        <v>107.9</v>
      </c>
      <c r="C1219">
        <v>107.9</v>
      </c>
      <c r="D1219">
        <v>1</v>
      </c>
      <c r="E1219">
        <v>2000</v>
      </c>
      <c r="F1219" s="70">
        <v>44523</v>
      </c>
      <c r="G1219" t="str">
        <f>IFERROR(IF((F1219-F1218)&gt;1,(LARGE(F1219:$F1219,1)-LARGE(F$1219:$F1219,2))-1,""),"")</f>
        <v/>
      </c>
    </row>
    <row r="1220" spans="1:7">
      <c r="A1220" s="79" t="s">
        <v>44018</v>
      </c>
      <c r="B1220">
        <v>110</v>
      </c>
      <c r="C1220">
        <v>110</v>
      </c>
      <c r="D1220">
        <v>3</v>
      </c>
      <c r="E1220">
        <v>3150</v>
      </c>
      <c r="F1220" s="70">
        <v>44524</v>
      </c>
      <c r="G1220" t="str">
        <f>IFERROR(IF((F1220-F1219)&gt;1,(LARGE(F1220:$F1220,1)-LARGE(F$1219:$F1220,2))-1,""),"")</f>
        <v/>
      </c>
    </row>
    <row r="1221" spans="1:7">
      <c r="A1221" s="78">
        <f>MAX(0,(CurrentDate-2)-F1232)</f>
        <v>2</v>
      </c>
      <c r="B1221">
        <v>110.1</v>
      </c>
      <c r="C1221">
        <v>110.1</v>
      </c>
      <c r="D1221">
        <v>1</v>
      </c>
      <c r="E1221">
        <v>5000</v>
      </c>
      <c r="F1221" s="70">
        <v>44532</v>
      </c>
      <c r="G1221">
        <f>IFERROR(IF((F1221-F1220)&gt;1,(LARGE(F1221:$F1221,1)-LARGE(F$1219:$F1221,2))-1,""),"")</f>
        <v>7</v>
      </c>
    </row>
    <row r="1222" spans="1:7">
      <c r="A1222" s="79" t="s">
        <v>44026</v>
      </c>
      <c r="B1222">
        <v>110.1</v>
      </c>
      <c r="C1222">
        <v>110.1</v>
      </c>
      <c r="D1222">
        <v>2</v>
      </c>
      <c r="E1222">
        <v>2000</v>
      </c>
      <c r="F1222" s="70">
        <v>44533</v>
      </c>
      <c r="G1222" t="str">
        <f>IFERROR(IF((F1222-F1221)&gt;1,(LARGE(F1222:$F1222,1)-LARGE(F$1219:$F1222,2))-1,""),"")</f>
        <v/>
      </c>
    </row>
    <row r="1223" spans="1:7">
      <c r="A1223" s="83">
        <f>SUM(G1226:G1232)</f>
        <v>7</v>
      </c>
      <c r="B1223">
        <v>110.1</v>
      </c>
      <c r="C1223">
        <v>110.1</v>
      </c>
      <c r="D1223">
        <v>1</v>
      </c>
      <c r="E1223">
        <v>600</v>
      </c>
      <c r="F1223" s="70">
        <v>44534</v>
      </c>
      <c r="G1223" t="str">
        <f>IFERROR(IF((F1223-F1222)&gt;1,(LARGE(F1223:$F1223,1)-LARGE(F$1219:$F1223,2))-1,""),"")</f>
        <v/>
      </c>
    </row>
    <row r="1224" spans="1:7">
      <c r="A1224" s="79" t="s">
        <v>44029</v>
      </c>
      <c r="B1224">
        <v>110.1</v>
      </c>
      <c r="C1224">
        <v>110.1</v>
      </c>
      <c r="D1224">
        <v>1</v>
      </c>
      <c r="E1224">
        <v>400</v>
      </c>
      <c r="F1224" s="70">
        <v>44535</v>
      </c>
      <c r="G1224" t="str">
        <f>IFERROR(IF((F1224-F1223)&gt;1,(LARGE(F1224:$F1224,1)-LARGE(F$1219:$F1224,2))-1,""),"")</f>
        <v/>
      </c>
    </row>
    <row r="1225" spans="1:7">
      <c r="A1225" s="77">
        <f>(SUM(E1219:E1232)/(A1221+14)+SUM(G1219:G1232))</f>
        <v>1281.1875</v>
      </c>
      <c r="B1225">
        <v>110</v>
      </c>
      <c r="C1225">
        <v>110</v>
      </c>
      <c r="D1225">
        <v>2</v>
      </c>
      <c r="E1225">
        <v>2000</v>
      </c>
      <c r="F1225" s="70">
        <v>44539</v>
      </c>
      <c r="G1225">
        <f>IFERROR(IF((F1225-F1224)&gt;1,(LARGE(F1225:$F1225,1)-LARGE(F$1219:$F1225,2))-1,""),"")</f>
        <v>3</v>
      </c>
    </row>
    <row r="1226" spans="1:7">
      <c r="A1226" s="77">
        <f>(SUM(E1226:E1232)/(A1221+7)+SUM(G1226:G1232))</f>
        <v>571.11111111111109</v>
      </c>
      <c r="B1226">
        <v>110.1</v>
      </c>
      <c r="C1226">
        <v>110.1</v>
      </c>
      <c r="D1226">
        <v>1</v>
      </c>
      <c r="E1226">
        <v>1000</v>
      </c>
      <c r="F1226" s="70">
        <v>44540</v>
      </c>
      <c r="G1226" t="str">
        <f>IFERROR(IF((F1226-F1225)&gt;1,(LARGE(F1226:$F1226,1)-LARGE(F$1219:$F1226,2))-1,""),"")</f>
        <v/>
      </c>
    </row>
    <row r="1227" spans="1:7">
      <c r="A1227" s="79" t="s">
        <v>44028</v>
      </c>
      <c r="B1227">
        <v>110.1</v>
      </c>
      <c r="C1227">
        <v>110.1</v>
      </c>
      <c r="D1227">
        <v>2</v>
      </c>
      <c r="E1227">
        <v>650</v>
      </c>
      <c r="F1227" s="70">
        <v>44542</v>
      </c>
      <c r="G1227">
        <f>IFERROR(IF((F1227-F1226)&gt;1,(LARGE(F1227:$F1227,1)-LARGE(F$1219:$F1227,2))-1,""),"")</f>
        <v>1</v>
      </c>
    </row>
    <row r="1228" spans="1:7">
      <c r="A1228" s="77">
        <f>(SUM(D1229:D1232)/(A1221+4)+SUM(G1229:G1232))</f>
        <v>6.833333333333333</v>
      </c>
      <c r="B1228">
        <v>110.1</v>
      </c>
      <c r="C1228">
        <v>110.1</v>
      </c>
      <c r="D1228">
        <v>1</v>
      </c>
      <c r="E1228">
        <v>327</v>
      </c>
      <c r="F1228" s="70">
        <v>44543</v>
      </c>
      <c r="G1228" t="str">
        <f>IFERROR(IF((F1228-F1227)&gt;1,(LARGE(F1228:$F1228,1)-LARGE(F$1219:$F1228,2))-1,""),"")</f>
        <v/>
      </c>
    </row>
    <row r="1229" spans="1:7">
      <c r="A1229" s="85" t="s">
        <v>44027</v>
      </c>
      <c r="B1229">
        <v>600</v>
      </c>
      <c r="C1229">
        <v>600</v>
      </c>
      <c r="D1229">
        <v>2</v>
      </c>
      <c r="E1229">
        <v>500</v>
      </c>
      <c r="F1229" s="70">
        <v>44548</v>
      </c>
      <c r="G1229">
        <f>IFERROR(IF((F1229-F1228)&gt;1,(LARGE(F1229:$F1229,1)-LARGE(F$1219:$F1229,2))-1,""),"")</f>
        <v>4</v>
      </c>
    </row>
    <row r="1230" spans="1:7">
      <c r="A1230" s="86">
        <f>IF(A1223+A1221&gt;10,"Look Up",AVERAGE(A1225,A1226))</f>
        <v>926.14930555555554</v>
      </c>
      <c r="B1230">
        <v>276</v>
      </c>
      <c r="C1230">
        <v>276</v>
      </c>
      <c r="D1230">
        <v>1</v>
      </c>
      <c r="E1230">
        <v>1000</v>
      </c>
      <c r="F1230" s="70">
        <v>44551</v>
      </c>
      <c r="G1230">
        <f>IFERROR(IF((F1230-F1229)&gt;1,(LARGE(F1230:$F1230,1)-LARGE(F$1219:$F1230,2))-1,""),"")</f>
        <v>2</v>
      </c>
    </row>
    <row r="1231" spans="1:7">
      <c r="A1231" s="85" t="s">
        <v>44030</v>
      </c>
      <c r="B1231">
        <v>275.89999999999998</v>
      </c>
      <c r="C1231">
        <v>275.89999999999998</v>
      </c>
      <c r="D1231">
        <v>1</v>
      </c>
      <c r="E1231">
        <v>1000</v>
      </c>
      <c r="F1231" s="70">
        <v>44552</v>
      </c>
      <c r="G1231" t="str">
        <f>IFERROR(IF((F1231-F1230)&gt;1,(LARGE(F1231:$F1231,1)-LARGE(F$1219:$F1231,2))-1,""),"")</f>
        <v/>
      </c>
    </row>
    <row r="1232" spans="1:7">
      <c r="A1232" s="88"/>
      <c r="B1232">
        <v>275.89999999999998</v>
      </c>
      <c r="C1232">
        <v>275.89999999999998</v>
      </c>
      <c r="D1232">
        <v>1</v>
      </c>
      <c r="E1232">
        <v>600</v>
      </c>
      <c r="F1232" s="70">
        <v>44553</v>
      </c>
      <c r="G1232" t="str">
        <f>IFERROR(IF((F1232-F1231)&gt;1,(LARGE(F1232:$F1232,1)-LARGE(F$1219:$F1232,2))-1,""),"")</f>
        <v/>
      </c>
    </row>
    <row r="1233" spans="1:7">
      <c r="A1233" s="65">
        <f>VLOOKUP(TradeSheet!A84,TypeIDs!B:C,2,FALSE)</f>
        <v>24471</v>
      </c>
      <c r="B1233" t="s">
        <v>43998</v>
      </c>
      <c r="C1233" t="s">
        <v>43999</v>
      </c>
      <c r="D1233" t="s">
        <v>44000</v>
      </c>
      <c r="E1233" t="s">
        <v>44001</v>
      </c>
      <c r="F1233" t="s">
        <v>44009</v>
      </c>
      <c r="G1233" t="s">
        <v>44008</v>
      </c>
    </row>
    <row r="1234" spans="1:7">
      <c r="A1234" s="65" t="str">
        <f>CONCATENATE(SwaggerURL,input083)</f>
        <v>https://esi.evetech.net/latest/markets/10000021/history/?datasource=tranquility&amp;type_id=24471</v>
      </c>
      <c r="B1234">
        <v>119.3</v>
      </c>
      <c r="C1234">
        <v>119.3</v>
      </c>
      <c r="D1234">
        <v>1</v>
      </c>
      <c r="E1234">
        <v>500</v>
      </c>
      <c r="F1234" s="70">
        <v>44533</v>
      </c>
      <c r="G1234" t="str">
        <f>IFERROR(IF((F1234-F1233)&gt;1,(LARGE(F1234:$F1234,1)-LARGE(F$1234:$F1234,2))-1,""),"")</f>
        <v/>
      </c>
    </row>
    <row r="1235" spans="1:7">
      <c r="A1235" s="79" t="s">
        <v>44018</v>
      </c>
      <c r="B1235">
        <v>119.3</v>
      </c>
      <c r="C1235">
        <v>119.3</v>
      </c>
      <c r="D1235">
        <v>1</v>
      </c>
      <c r="E1235">
        <v>3200</v>
      </c>
      <c r="F1235" s="70">
        <v>44534</v>
      </c>
      <c r="G1235" t="str">
        <f>IFERROR(IF((F1235-F1234)&gt;1,(LARGE(F1235:$F1235,1)-LARGE(F$1234:$F1235,2))-1,""),"")</f>
        <v/>
      </c>
    </row>
    <row r="1236" spans="1:7">
      <c r="A1236" s="78">
        <f>MAX(0,(CurrentDate-2)-F1247)</f>
        <v>2</v>
      </c>
      <c r="B1236">
        <v>119.2</v>
      </c>
      <c r="C1236">
        <v>119.2</v>
      </c>
      <c r="D1236">
        <v>3</v>
      </c>
      <c r="E1236">
        <v>1300</v>
      </c>
      <c r="F1236" s="70">
        <v>44539</v>
      </c>
      <c r="G1236">
        <f>IFERROR(IF((F1236-F1235)&gt;1,(LARGE(F1236:$F1236,1)-LARGE(F$1234:$F1236,2))-1,""),"")</f>
        <v>4</v>
      </c>
    </row>
    <row r="1237" spans="1:7">
      <c r="A1237" s="79" t="s">
        <v>44026</v>
      </c>
      <c r="B1237">
        <v>119.4</v>
      </c>
      <c r="C1237">
        <v>119.4</v>
      </c>
      <c r="D1237">
        <v>1</v>
      </c>
      <c r="E1237">
        <v>1650</v>
      </c>
      <c r="F1237" s="70">
        <v>44540</v>
      </c>
      <c r="G1237" t="str">
        <f>IFERROR(IF((F1237-F1236)&gt;1,(LARGE(F1237:$F1237,1)-LARGE(F$1234:$F1237,2))-1,""),"")</f>
        <v/>
      </c>
    </row>
    <row r="1238" spans="1:7">
      <c r="A1238" s="83">
        <f>SUM(G1241:G1247)</f>
        <v>1</v>
      </c>
      <c r="B1238">
        <v>119.4</v>
      </c>
      <c r="C1238">
        <v>119.4</v>
      </c>
      <c r="D1238">
        <v>2</v>
      </c>
      <c r="E1238">
        <v>650</v>
      </c>
      <c r="F1238" s="70">
        <v>44542</v>
      </c>
      <c r="G1238">
        <f>IFERROR(IF((F1238-F1237)&gt;1,(LARGE(F1238:$F1238,1)-LARGE(F$1234:$F1238,2))-1,""),"")</f>
        <v>1</v>
      </c>
    </row>
    <row r="1239" spans="1:7">
      <c r="A1239" s="79" t="s">
        <v>44029</v>
      </c>
      <c r="B1239">
        <v>119.4</v>
      </c>
      <c r="C1239">
        <v>119.4</v>
      </c>
      <c r="D1239">
        <v>2</v>
      </c>
      <c r="E1239">
        <v>3550</v>
      </c>
      <c r="F1239" s="70">
        <v>44544</v>
      </c>
      <c r="G1239">
        <f>IFERROR(IF((F1239-F1238)&gt;1,(LARGE(F1239:$F1239,1)-LARGE(F$1234:$F1239,2))-1,""),"")</f>
        <v>1</v>
      </c>
    </row>
    <row r="1240" spans="1:7">
      <c r="A1240" s="77">
        <f>(SUM(E1234:E1247)/(A1236+14)+SUM(G1234:G1247))</f>
        <v>2360.75</v>
      </c>
      <c r="B1240">
        <v>119.5</v>
      </c>
      <c r="C1240">
        <v>119.5</v>
      </c>
      <c r="D1240">
        <v>2</v>
      </c>
      <c r="E1240">
        <v>1300</v>
      </c>
      <c r="F1240" s="70">
        <v>44545</v>
      </c>
      <c r="G1240" t="str">
        <f>IFERROR(IF((F1240-F1239)&gt;1,(LARGE(F1240:$F1240,1)-LARGE(F$1234:$F1240,2))-1,""),"")</f>
        <v/>
      </c>
    </row>
    <row r="1241" spans="1:7">
      <c r="A1241" s="77">
        <f>(SUM(E1241:E1247)/(A1236+7)+SUM(G1241:G1247))</f>
        <v>2835.4444444444443</v>
      </c>
      <c r="B1241">
        <v>119.5</v>
      </c>
      <c r="C1241">
        <v>119.5</v>
      </c>
      <c r="D1241">
        <v>4</v>
      </c>
      <c r="E1241">
        <v>9050</v>
      </c>
      <c r="F1241" s="70">
        <v>44546</v>
      </c>
      <c r="G1241" t="str">
        <f>IFERROR(IF((F1241-F1240)&gt;1,(LARGE(F1241:$F1241,1)-LARGE(F$1234:$F1241,2))-1,""),"")</f>
        <v/>
      </c>
    </row>
    <row r="1242" spans="1:7">
      <c r="A1242" s="79" t="s">
        <v>44028</v>
      </c>
      <c r="B1242">
        <v>119.6</v>
      </c>
      <c r="C1242">
        <v>119.6</v>
      </c>
      <c r="D1242">
        <v>1</v>
      </c>
      <c r="E1242">
        <v>300</v>
      </c>
      <c r="F1242" s="70">
        <v>44548</v>
      </c>
      <c r="G1242">
        <f>IFERROR(IF((F1242-F1241)&gt;1,(LARGE(F1242:$F1242,1)-LARGE(F$1234:$F1242,2))-1,""),"")</f>
        <v>1</v>
      </c>
    </row>
    <row r="1243" spans="1:7">
      <c r="A1243" s="77">
        <f>(SUM(D1244:D1247)/(A1236+4)+SUM(G1244:G1247))</f>
        <v>1</v>
      </c>
      <c r="B1243">
        <v>119.6</v>
      </c>
      <c r="C1243">
        <v>119.6</v>
      </c>
      <c r="D1243">
        <v>2</v>
      </c>
      <c r="E1243">
        <v>2500</v>
      </c>
      <c r="F1243" s="70">
        <v>44549</v>
      </c>
      <c r="G1243" t="str">
        <f>IFERROR(IF((F1243-F1242)&gt;1,(LARGE(F1243:$F1243,1)-LARGE(F$1234:$F1243,2))-1,""),"")</f>
        <v/>
      </c>
    </row>
    <row r="1244" spans="1:7">
      <c r="A1244" s="85" t="s">
        <v>44027</v>
      </c>
      <c r="B1244">
        <v>119.6</v>
      </c>
      <c r="C1244">
        <v>119.6</v>
      </c>
      <c r="D1244">
        <v>1</v>
      </c>
      <c r="E1244">
        <v>4800</v>
      </c>
      <c r="F1244" s="70">
        <v>44550</v>
      </c>
      <c r="G1244" t="str">
        <f>IFERROR(IF((F1244-F1243)&gt;1,(LARGE(F1244:$F1244,1)-LARGE(F$1234:$F1244,2))-1,""),"")</f>
        <v/>
      </c>
    </row>
    <row r="1245" spans="1:7">
      <c r="A1245" s="86">
        <f>IF(A1238+A1236&gt;10,"Look Up",AVERAGE(A1240,A1241))</f>
        <v>2598.0972222222222</v>
      </c>
      <c r="B1245">
        <v>119.5</v>
      </c>
      <c r="C1245">
        <v>119.5</v>
      </c>
      <c r="D1245">
        <v>2</v>
      </c>
      <c r="E1245">
        <v>6000</v>
      </c>
      <c r="F1245" s="70">
        <v>44551</v>
      </c>
      <c r="G1245" t="str">
        <f>IFERROR(IF((F1245-F1244)&gt;1,(LARGE(F1245:$F1245,1)-LARGE(F$1234:$F1245,2))-1,""),"")</f>
        <v/>
      </c>
    </row>
    <row r="1246" spans="1:7">
      <c r="A1246" s="85" t="s">
        <v>44030</v>
      </c>
      <c r="B1246">
        <v>119.5</v>
      </c>
      <c r="C1246">
        <v>119.5</v>
      </c>
      <c r="D1246">
        <v>2</v>
      </c>
      <c r="E1246">
        <v>2600</v>
      </c>
      <c r="F1246" s="70">
        <v>44552</v>
      </c>
      <c r="G1246" t="str">
        <f>IFERROR(IF((F1246-F1245)&gt;1,(LARGE(F1246:$F1246,1)-LARGE(F$1234:$F1246,2))-1,""),"")</f>
        <v/>
      </c>
    </row>
    <row r="1247" spans="1:7">
      <c r="A1247" s="88"/>
      <c r="B1247">
        <v>119.5</v>
      </c>
      <c r="C1247">
        <v>119.5</v>
      </c>
      <c r="D1247">
        <v>1</v>
      </c>
      <c r="E1247">
        <v>260</v>
      </c>
      <c r="F1247" s="70">
        <v>44553</v>
      </c>
      <c r="G1247" t="str">
        <f>IFERROR(IF((F1247-F1246)&gt;1,(LARGE(F1247:$F1247,1)-LARGE(F$1234:$F1247,2))-1,""),"")</f>
        <v/>
      </c>
    </row>
    <row r="1248" spans="1:7">
      <c r="A1248" s="65">
        <f>VLOOKUP(TradeSheet!A85,TypeIDs!B:C,2,FALSE)</f>
        <v>27321</v>
      </c>
      <c r="B1248" t="s">
        <v>43998</v>
      </c>
      <c r="C1248" t="s">
        <v>43999</v>
      </c>
      <c r="D1248" t="s">
        <v>44000</v>
      </c>
      <c r="E1248" t="s">
        <v>44001</v>
      </c>
      <c r="F1248" t="s">
        <v>44009</v>
      </c>
      <c r="G1248" t="s">
        <v>44008</v>
      </c>
    </row>
    <row r="1249" spans="1:7">
      <c r="A1249" s="65" t="str">
        <f>CONCATENATE(SwaggerURL,input084)</f>
        <v>https://esi.evetech.net/latest/markets/10000021/history/?datasource=tranquility&amp;type_id=27321</v>
      </c>
      <c r="B1249">
        <v>880</v>
      </c>
      <c r="C1249">
        <v>880</v>
      </c>
      <c r="D1249">
        <v>7</v>
      </c>
      <c r="E1249">
        <v>4947</v>
      </c>
      <c r="F1249" s="70">
        <v>44527</v>
      </c>
      <c r="G1249" t="str">
        <f>IFERROR(IF((F1249-F1248)&gt;1,(LARGE(F1249:$F1249,1)-LARGE(F$1249:$F1249,2))-1,""),"")</f>
        <v/>
      </c>
    </row>
    <row r="1250" spans="1:7">
      <c r="A1250" s="79" t="s">
        <v>44018</v>
      </c>
      <c r="B1250">
        <v>880</v>
      </c>
      <c r="C1250">
        <v>880</v>
      </c>
      <c r="D1250">
        <v>1</v>
      </c>
      <c r="E1250">
        <v>270</v>
      </c>
      <c r="F1250" s="70">
        <v>44531</v>
      </c>
      <c r="G1250">
        <f>IFERROR(IF((F1250-F1249)&gt;1,(LARGE(F1250:$F1250,1)-LARGE(F$1249:$F1250,2))-1,""),"")</f>
        <v>3</v>
      </c>
    </row>
    <row r="1251" spans="1:7">
      <c r="A1251" s="78">
        <f>MAX(0,(CurrentDate-2)-F1262)</f>
        <v>2</v>
      </c>
      <c r="B1251">
        <v>778</v>
      </c>
      <c r="C1251">
        <v>778</v>
      </c>
      <c r="D1251">
        <v>2</v>
      </c>
      <c r="E1251">
        <v>2464</v>
      </c>
      <c r="F1251" s="70">
        <v>44532</v>
      </c>
      <c r="G1251" t="str">
        <f>IFERROR(IF((F1251-F1250)&gt;1,(LARGE(F1251:$F1251,1)-LARGE(F$1249:$F1251,2))-1,""),"")</f>
        <v/>
      </c>
    </row>
    <row r="1252" spans="1:7">
      <c r="A1252" s="79" t="s">
        <v>44026</v>
      </c>
      <c r="B1252">
        <v>778</v>
      </c>
      <c r="C1252">
        <v>778</v>
      </c>
      <c r="D1252">
        <v>1</v>
      </c>
      <c r="E1252">
        <v>700</v>
      </c>
      <c r="F1252" s="70">
        <v>44534</v>
      </c>
      <c r="G1252">
        <f>IFERROR(IF((F1252-F1251)&gt;1,(LARGE(F1252:$F1252,1)-LARGE(F$1249:$F1252,2))-1,""),"")</f>
        <v>1</v>
      </c>
    </row>
    <row r="1253" spans="1:7">
      <c r="A1253" s="83">
        <f>SUM(G1256:G1262)</f>
        <v>6</v>
      </c>
      <c r="B1253">
        <v>778</v>
      </c>
      <c r="C1253">
        <v>778</v>
      </c>
      <c r="D1253">
        <v>2</v>
      </c>
      <c r="E1253">
        <v>1050</v>
      </c>
      <c r="F1253" s="70">
        <v>44535</v>
      </c>
      <c r="G1253" t="str">
        <f>IFERROR(IF((F1253-F1252)&gt;1,(LARGE(F1253:$F1253,1)-LARGE(F$1249:$F1253,2))-1,""),"")</f>
        <v/>
      </c>
    </row>
    <row r="1254" spans="1:7">
      <c r="A1254" s="79" t="s">
        <v>44029</v>
      </c>
      <c r="B1254">
        <v>778</v>
      </c>
      <c r="C1254">
        <v>778</v>
      </c>
      <c r="D1254">
        <v>1</v>
      </c>
      <c r="E1254">
        <v>1563</v>
      </c>
      <c r="F1254" s="70">
        <v>44538</v>
      </c>
      <c r="G1254">
        <f>IFERROR(IF((F1254-F1253)&gt;1,(LARGE(F1254:$F1254,1)-LARGE(F$1249:$F1254,2))-1,""),"")</f>
        <v>2</v>
      </c>
    </row>
    <row r="1255" spans="1:7">
      <c r="A1255" s="77">
        <f>(SUM(E1249:E1262)/(A1251+14)+SUM(G1249:G1262))</f>
        <v>1254</v>
      </c>
      <c r="B1255">
        <v>778</v>
      </c>
      <c r="C1255">
        <v>778</v>
      </c>
      <c r="D1255">
        <v>1</v>
      </c>
      <c r="E1255">
        <v>1000</v>
      </c>
      <c r="F1255" s="70">
        <v>44540</v>
      </c>
      <c r="G1255">
        <f>IFERROR(IF((F1255-F1254)&gt;1,(LARGE(F1255:$F1255,1)-LARGE(F$1249:$F1255,2))-1,""),"")</f>
        <v>1</v>
      </c>
    </row>
    <row r="1256" spans="1:7">
      <c r="A1256" s="77">
        <f>(SUM(E1256:E1262)/(A1251+7)+SUM(G1256:G1262))</f>
        <v>879.55555555555554</v>
      </c>
      <c r="B1256">
        <v>778</v>
      </c>
      <c r="C1256">
        <v>778</v>
      </c>
      <c r="D1256">
        <v>1</v>
      </c>
      <c r="E1256">
        <v>250</v>
      </c>
      <c r="F1256" s="70">
        <v>44541</v>
      </c>
      <c r="G1256" t="str">
        <f>IFERROR(IF((F1256-F1255)&gt;1,(LARGE(F1256:$F1256,1)-LARGE(F$1249:$F1256,2))-1,""),"")</f>
        <v/>
      </c>
    </row>
    <row r="1257" spans="1:7">
      <c r="A1257" s="79" t="s">
        <v>44028</v>
      </c>
      <c r="B1257">
        <v>778</v>
      </c>
      <c r="C1257">
        <v>778</v>
      </c>
      <c r="D1257">
        <v>3</v>
      </c>
      <c r="E1257">
        <v>1700</v>
      </c>
      <c r="F1257" s="70">
        <v>44545</v>
      </c>
      <c r="G1257">
        <f>IFERROR(IF((F1257-F1256)&gt;1,(LARGE(F1257:$F1257,1)-LARGE(F$1249:$F1257,2))-1,""),"")</f>
        <v>3</v>
      </c>
    </row>
    <row r="1258" spans="1:7">
      <c r="A1258" s="77">
        <f>(SUM(D1259:D1262)/(A1251+4)+SUM(G1259:G1262))</f>
        <v>3.833333333333333</v>
      </c>
      <c r="B1258">
        <v>778</v>
      </c>
      <c r="C1258">
        <v>778</v>
      </c>
      <c r="D1258">
        <v>1</v>
      </c>
      <c r="E1258">
        <v>1000</v>
      </c>
      <c r="F1258" s="70">
        <v>44547</v>
      </c>
      <c r="G1258">
        <f>IFERROR(IF((F1258-F1257)&gt;1,(LARGE(F1258:$F1258,1)-LARGE(F$1249:$F1258,2))-1,""),"")</f>
        <v>1</v>
      </c>
    </row>
    <row r="1259" spans="1:7">
      <c r="A1259" s="85" t="s">
        <v>44027</v>
      </c>
      <c r="B1259">
        <v>778</v>
      </c>
      <c r="C1259">
        <v>778</v>
      </c>
      <c r="D1259">
        <v>4</v>
      </c>
      <c r="E1259">
        <v>2400</v>
      </c>
      <c r="F1259" s="70">
        <v>44548</v>
      </c>
      <c r="G1259" t="str">
        <f>IFERROR(IF((F1259-F1258)&gt;1,(LARGE(F1259:$F1259,1)-LARGE(F$1249:$F1259,2))-1,""),"")</f>
        <v/>
      </c>
    </row>
    <row r="1260" spans="1:7">
      <c r="A1260" s="86">
        <f>IF(A1253+A1251&gt;10,"Look Up",AVERAGE(A1255,A1256))</f>
        <v>1066.7777777777778</v>
      </c>
      <c r="B1260">
        <v>778</v>
      </c>
      <c r="C1260">
        <v>778</v>
      </c>
      <c r="D1260">
        <v>3</v>
      </c>
      <c r="E1260">
        <v>728</v>
      </c>
      <c r="F1260" s="70">
        <v>44549</v>
      </c>
      <c r="G1260" t="str">
        <f>IFERROR(IF((F1260-F1259)&gt;1,(LARGE(F1260:$F1260,1)-LARGE(F$1249:$F1260,2))-1,""),"")</f>
        <v/>
      </c>
    </row>
    <row r="1261" spans="1:7">
      <c r="A1261" s="85" t="s">
        <v>44030</v>
      </c>
      <c r="B1261">
        <v>778</v>
      </c>
      <c r="C1261">
        <v>778</v>
      </c>
      <c r="D1261">
        <v>2</v>
      </c>
      <c r="E1261">
        <v>1018</v>
      </c>
      <c r="F1261" s="70">
        <v>44551</v>
      </c>
      <c r="G1261">
        <f>IFERROR(IF((F1261-F1260)&gt;1,(LARGE(F1261:$F1261,1)-LARGE(F$1249:$F1261,2))-1,""),"")</f>
        <v>1</v>
      </c>
    </row>
    <row r="1262" spans="1:7">
      <c r="A1262" s="88"/>
      <c r="B1262">
        <v>778</v>
      </c>
      <c r="C1262">
        <v>778</v>
      </c>
      <c r="D1262">
        <v>2</v>
      </c>
      <c r="E1262">
        <v>766</v>
      </c>
      <c r="F1262" s="70">
        <v>44553</v>
      </c>
      <c r="G1262">
        <f>IFERROR(IF((F1262-F1261)&gt;1,(LARGE(F1262:$F1262,1)-LARGE(F$1249:$F1262,2))-1,""),"")</f>
        <v>1</v>
      </c>
    </row>
    <row r="1263" spans="1:7">
      <c r="A1263" s="65">
        <f>VLOOKUP(TradeSheet!A86,TypeIDs!B:C,2,FALSE)</f>
        <v>27327</v>
      </c>
      <c r="B1263" t="s">
        <v>43998</v>
      </c>
      <c r="C1263" t="s">
        <v>43999</v>
      </c>
      <c r="D1263" t="s">
        <v>44000</v>
      </c>
      <c r="E1263" t="s">
        <v>44001</v>
      </c>
      <c r="F1263" t="s">
        <v>44009</v>
      </c>
      <c r="G1263" t="s">
        <v>44008</v>
      </c>
    </row>
    <row r="1264" spans="1:7">
      <c r="A1264" s="65" t="str">
        <f>CONCATENATE(SwaggerURL,input085)</f>
        <v>https://esi.evetech.net/latest/markets/10000021/history/?datasource=tranquility&amp;type_id=27327</v>
      </c>
      <c r="B1264">
        <v>699.9</v>
      </c>
      <c r="C1264">
        <v>699.9</v>
      </c>
      <c r="D1264">
        <v>1</v>
      </c>
      <c r="E1264">
        <v>270</v>
      </c>
      <c r="F1264" s="70">
        <v>44531</v>
      </c>
      <c r="G1264" t="str">
        <f>IFERROR(IF((F1264-F1263)&gt;1,(LARGE(F1264:$F1264,1)-LARGE(F$1264:$F1264,2))-1,""),"")</f>
        <v/>
      </c>
    </row>
    <row r="1265" spans="1:7">
      <c r="A1265" s="79" t="s">
        <v>44018</v>
      </c>
      <c r="B1265">
        <v>699.9</v>
      </c>
      <c r="C1265">
        <v>699.9</v>
      </c>
      <c r="D1265">
        <v>2</v>
      </c>
      <c r="E1265">
        <v>1000</v>
      </c>
      <c r="F1265" s="70">
        <v>44532</v>
      </c>
      <c r="G1265" t="str">
        <f>IFERROR(IF((F1265-F1264)&gt;1,(LARGE(F1265:$F1265,1)-LARGE(F$1264:$F1265,2))-1,""),"")</f>
        <v/>
      </c>
    </row>
    <row r="1266" spans="1:7">
      <c r="A1266" s="78">
        <f>MAX(0,(CurrentDate-2)-F1277)</f>
        <v>1</v>
      </c>
      <c r="B1266">
        <v>699.9</v>
      </c>
      <c r="C1266">
        <v>699.9</v>
      </c>
      <c r="D1266">
        <v>1</v>
      </c>
      <c r="E1266">
        <v>700</v>
      </c>
      <c r="F1266" s="70">
        <v>44534</v>
      </c>
      <c r="G1266">
        <f>IFERROR(IF((F1266-F1265)&gt;1,(LARGE(F1266:$F1266,1)-LARGE(F$1264:$F1266,2))-1,""),"")</f>
        <v>1</v>
      </c>
    </row>
    <row r="1267" spans="1:7">
      <c r="A1267" s="79" t="s">
        <v>44026</v>
      </c>
      <c r="B1267">
        <v>699.9</v>
      </c>
      <c r="C1267">
        <v>699.9</v>
      </c>
      <c r="D1267">
        <v>2</v>
      </c>
      <c r="E1267">
        <v>3700</v>
      </c>
      <c r="F1267" s="70">
        <v>44535</v>
      </c>
      <c r="G1267" t="str">
        <f>IFERROR(IF((F1267-F1266)&gt;1,(LARGE(F1267:$F1267,1)-LARGE(F$1264:$F1267,2))-1,""),"")</f>
        <v/>
      </c>
    </row>
    <row r="1268" spans="1:7">
      <c r="A1268" s="83">
        <f>SUM(G1271:G1277)</f>
        <v>6</v>
      </c>
      <c r="B1268">
        <v>699.9</v>
      </c>
      <c r="C1268">
        <v>699.9</v>
      </c>
      <c r="D1268">
        <v>2</v>
      </c>
      <c r="E1268">
        <v>265</v>
      </c>
      <c r="F1268" s="70">
        <v>44539</v>
      </c>
      <c r="G1268">
        <f>IFERROR(IF((F1268-F1267)&gt;1,(LARGE(F1268:$F1268,1)-LARGE(F$1264:$F1268,2))-1,""),"")</f>
        <v>3</v>
      </c>
    </row>
    <row r="1269" spans="1:7">
      <c r="A1269" s="79" t="s">
        <v>44029</v>
      </c>
      <c r="B1269">
        <v>699.9</v>
      </c>
      <c r="C1269">
        <v>699.9</v>
      </c>
      <c r="D1269">
        <v>1</v>
      </c>
      <c r="E1269">
        <v>1000</v>
      </c>
      <c r="F1269" s="70">
        <v>44540</v>
      </c>
      <c r="G1269" t="str">
        <f>IFERROR(IF((F1269-F1268)&gt;1,(LARGE(F1269:$F1269,1)-LARGE(F$1264:$F1269,2))-1,""),"")</f>
        <v/>
      </c>
    </row>
    <row r="1270" spans="1:7">
      <c r="A1270" s="77">
        <f>(SUM(E1264:E1277)/(A1266+14)+SUM(G1264:G1277))</f>
        <v>1489.2</v>
      </c>
      <c r="B1270">
        <v>699.9</v>
      </c>
      <c r="C1270">
        <v>699.9</v>
      </c>
      <c r="D1270">
        <v>2</v>
      </c>
      <c r="E1270">
        <v>750</v>
      </c>
      <c r="F1270" s="70">
        <v>44541</v>
      </c>
      <c r="G1270" t="str">
        <f>IFERROR(IF((F1270-F1269)&gt;1,(LARGE(F1270:$F1270,1)-LARGE(F$1264:$F1270,2))-1,""),"")</f>
        <v/>
      </c>
    </row>
    <row r="1271" spans="1:7">
      <c r="A1271" s="77">
        <f>(SUM(E1271:E1277)/(A1266+7)+SUM(G1271:G1277))</f>
        <v>1818.875</v>
      </c>
      <c r="B1271">
        <v>699.9</v>
      </c>
      <c r="C1271">
        <v>699.9</v>
      </c>
      <c r="D1271">
        <v>4</v>
      </c>
      <c r="E1271">
        <v>2045</v>
      </c>
      <c r="F1271" s="70">
        <v>44545</v>
      </c>
      <c r="G1271">
        <f>IFERROR(IF((F1271-F1270)&gt;1,(LARGE(F1271:$F1271,1)-LARGE(F$1264:$F1271,2))-1,""),"")</f>
        <v>3</v>
      </c>
    </row>
    <row r="1272" spans="1:7">
      <c r="A1272" s="79" t="s">
        <v>44028</v>
      </c>
      <c r="B1272">
        <v>699.9</v>
      </c>
      <c r="C1272">
        <v>699.9</v>
      </c>
      <c r="D1272">
        <v>6</v>
      </c>
      <c r="E1272">
        <v>4413</v>
      </c>
      <c r="F1272" s="70">
        <v>44548</v>
      </c>
      <c r="G1272">
        <f>IFERROR(IF((F1272-F1271)&gt;1,(LARGE(F1272:$F1272,1)-LARGE(F$1264:$F1272,2))-1,""),"")</f>
        <v>2</v>
      </c>
    </row>
    <row r="1273" spans="1:7">
      <c r="A1273" s="77">
        <f>(SUM(D1274:D1277)/(A1266+4)+SUM(G1274:G1277))</f>
        <v>2.6</v>
      </c>
      <c r="B1273">
        <v>699</v>
      </c>
      <c r="C1273">
        <v>699</v>
      </c>
      <c r="D1273">
        <v>1</v>
      </c>
      <c r="E1273">
        <v>500</v>
      </c>
      <c r="F1273" s="70">
        <v>44549</v>
      </c>
      <c r="G1273" t="str">
        <f>IFERROR(IF((F1273-F1272)&gt;1,(LARGE(F1273:$F1273,1)-LARGE(F$1264:$F1273,2))-1,""),"")</f>
        <v/>
      </c>
    </row>
    <row r="1274" spans="1:7">
      <c r="A1274" s="85" t="s">
        <v>44027</v>
      </c>
      <c r="B1274">
        <v>699</v>
      </c>
      <c r="C1274">
        <v>699</v>
      </c>
      <c r="D1274">
        <v>1</v>
      </c>
      <c r="E1274">
        <v>75</v>
      </c>
      <c r="F1274" s="70">
        <v>44550</v>
      </c>
      <c r="G1274" t="str">
        <f>IFERROR(IF((F1274-F1273)&gt;1,(LARGE(F1274:$F1274,1)-LARGE(F$1264:$F1274,2))-1,""),"")</f>
        <v/>
      </c>
    </row>
    <row r="1275" spans="1:7">
      <c r="A1275" s="86">
        <f>IF(A1268+A1266&gt;10,"Look Up",AVERAGE(A1270,A1271))</f>
        <v>1654.0374999999999</v>
      </c>
      <c r="B1275">
        <v>699.9</v>
      </c>
      <c r="C1275">
        <v>699.9</v>
      </c>
      <c r="D1275">
        <v>2</v>
      </c>
      <c r="E1275">
        <v>250</v>
      </c>
      <c r="F1275" s="70">
        <v>44551</v>
      </c>
      <c r="G1275" t="str">
        <f>IFERROR(IF((F1275-F1274)&gt;1,(LARGE(F1275:$F1275,1)-LARGE(F$1264:$F1275,2))-1,""),"")</f>
        <v/>
      </c>
    </row>
    <row r="1276" spans="1:7">
      <c r="A1276" s="85" t="s">
        <v>44030</v>
      </c>
      <c r="B1276">
        <v>699.9</v>
      </c>
      <c r="C1276">
        <v>699.9</v>
      </c>
      <c r="D1276">
        <v>2</v>
      </c>
      <c r="E1276">
        <v>1257</v>
      </c>
      <c r="F1276" s="70">
        <v>44553</v>
      </c>
      <c r="G1276">
        <f>IFERROR(IF((F1276-F1275)&gt;1,(LARGE(F1276:$F1276,1)-LARGE(F$1264:$F1276,2))-1,""),"")</f>
        <v>1</v>
      </c>
    </row>
    <row r="1277" spans="1:7">
      <c r="A1277" s="88"/>
      <c r="B1277">
        <v>699.9</v>
      </c>
      <c r="C1277">
        <v>699.9</v>
      </c>
      <c r="D1277">
        <v>3</v>
      </c>
      <c r="E1277">
        <v>5963</v>
      </c>
      <c r="F1277" s="70">
        <v>44554</v>
      </c>
      <c r="G1277" t="str">
        <f>IFERROR(IF((F1277-F1276)&gt;1,(LARGE(F1277:$F1277,1)-LARGE(F$1264:$F1277,2))-1,""),"")</f>
        <v/>
      </c>
    </row>
    <row r="1278" spans="1:7">
      <c r="A1278" s="65">
        <f>VLOOKUP(TradeSheet!A87,TypeIDs!B:C,2,FALSE)</f>
        <v>24523</v>
      </c>
      <c r="B1278" t="s">
        <v>43998</v>
      </c>
      <c r="C1278" t="s">
        <v>43999</v>
      </c>
      <c r="D1278" t="s">
        <v>44000</v>
      </c>
      <c r="E1278" t="s">
        <v>44001</v>
      </c>
      <c r="F1278" t="s">
        <v>44009</v>
      </c>
      <c r="G1278" t="s">
        <v>44008</v>
      </c>
    </row>
    <row r="1279" spans="1:7">
      <c r="A1279" s="65" t="str">
        <f>CONCATENATE(SwaggerURL,input086)</f>
        <v>https://esi.evetech.net/latest/markets/10000021/history/?datasource=tranquility&amp;type_id=24523</v>
      </c>
      <c r="B1279">
        <v>2596</v>
      </c>
      <c r="C1279">
        <v>2595</v>
      </c>
      <c r="D1279">
        <v>8</v>
      </c>
      <c r="E1279">
        <v>39000</v>
      </c>
      <c r="F1279" s="70">
        <v>44541</v>
      </c>
      <c r="G1279" t="str">
        <f>IFERROR(IF((F1279-F1278)&gt;1,(LARGE(F1279:$F1279,1)-LARGE(F$1279:$F1279,2))-1,""),"")</f>
        <v/>
      </c>
    </row>
    <row r="1280" spans="1:7">
      <c r="A1280" s="79" t="s">
        <v>44018</v>
      </c>
      <c r="B1280">
        <v>2595</v>
      </c>
      <c r="C1280">
        <v>2595</v>
      </c>
      <c r="D1280">
        <v>2</v>
      </c>
      <c r="E1280">
        <v>10000</v>
      </c>
      <c r="F1280" s="70">
        <v>44542</v>
      </c>
      <c r="G1280" t="str">
        <f>IFERROR(IF((F1280-F1279)&gt;1,(LARGE(F1280:$F1280,1)-LARGE(F$1279:$F1280,2))-1,""),"")</f>
        <v/>
      </c>
    </row>
    <row r="1281" spans="1:7">
      <c r="A1281" s="78">
        <f>MAX(0,(CurrentDate-2)-F1292)</f>
        <v>1</v>
      </c>
      <c r="B1281">
        <v>2589</v>
      </c>
      <c r="C1281">
        <v>2589</v>
      </c>
      <c r="D1281">
        <v>5</v>
      </c>
      <c r="E1281">
        <v>49388</v>
      </c>
      <c r="F1281" s="70">
        <v>44543</v>
      </c>
      <c r="G1281" t="str">
        <f>IFERROR(IF((F1281-F1280)&gt;1,(LARGE(F1281:$F1281,1)-LARGE(F$1279:$F1281,2))-1,""),"")</f>
        <v/>
      </c>
    </row>
    <row r="1282" spans="1:7">
      <c r="A1282" s="79" t="s">
        <v>44026</v>
      </c>
      <c r="B1282">
        <v>2596</v>
      </c>
      <c r="C1282">
        <v>2596</v>
      </c>
      <c r="D1282">
        <v>2</v>
      </c>
      <c r="E1282">
        <v>2660</v>
      </c>
      <c r="F1282" s="70">
        <v>44544</v>
      </c>
      <c r="G1282" t="str">
        <f>IFERROR(IF((F1282-F1281)&gt;1,(LARGE(F1282:$F1282,1)-LARGE(F$1279:$F1282,2))-1,""),"")</f>
        <v/>
      </c>
    </row>
    <row r="1283" spans="1:7">
      <c r="A1283" s="83">
        <f>SUM(G1286:G1292)</f>
        <v>0</v>
      </c>
      <c r="B1283">
        <v>2590</v>
      </c>
      <c r="C1283">
        <v>2590</v>
      </c>
      <c r="D1283">
        <v>1</v>
      </c>
      <c r="E1283">
        <v>500</v>
      </c>
      <c r="F1283" s="70">
        <v>44545</v>
      </c>
      <c r="G1283" t="str">
        <f>IFERROR(IF((F1283-F1282)&gt;1,(LARGE(F1283:$F1283,1)-LARGE(F$1279:$F1283,2))-1,""),"")</f>
        <v/>
      </c>
    </row>
    <row r="1284" spans="1:7">
      <c r="A1284" s="79" t="s">
        <v>44029</v>
      </c>
      <c r="B1284">
        <v>2596</v>
      </c>
      <c r="C1284">
        <v>2596</v>
      </c>
      <c r="D1284">
        <v>3</v>
      </c>
      <c r="E1284">
        <v>18000</v>
      </c>
      <c r="F1284" s="70">
        <v>44546</v>
      </c>
      <c r="G1284" t="str">
        <f>IFERROR(IF((F1284-F1283)&gt;1,(LARGE(F1284:$F1284,1)-LARGE(F$1279:$F1284,2))-1,""),"")</f>
        <v/>
      </c>
    </row>
    <row r="1285" spans="1:7">
      <c r="A1285" s="77">
        <f>(SUM(E1279:E1292)/(A1281+14)+SUM(G1279:G1292))</f>
        <v>23175.8</v>
      </c>
      <c r="B1285">
        <v>2550</v>
      </c>
      <c r="C1285">
        <v>2550</v>
      </c>
      <c r="D1285">
        <v>1</v>
      </c>
      <c r="E1285">
        <v>800</v>
      </c>
      <c r="F1285" s="70">
        <v>44547</v>
      </c>
      <c r="G1285" t="str">
        <f>IFERROR(IF((F1285-F1284)&gt;1,(LARGE(F1285:$F1285,1)-LARGE(F$1279:$F1285,2))-1,""),"")</f>
        <v/>
      </c>
    </row>
    <row r="1286" spans="1:7">
      <c r="A1286" s="77">
        <f>(SUM(E1286:E1292)/(A1281+7)+SUM(G1286:G1292))</f>
        <v>28411.125</v>
      </c>
      <c r="B1286">
        <v>2550</v>
      </c>
      <c r="C1286">
        <v>2550</v>
      </c>
      <c r="D1286">
        <v>7</v>
      </c>
      <c r="E1286">
        <v>5766</v>
      </c>
      <c r="F1286" s="70">
        <v>44548</v>
      </c>
      <c r="G1286" t="str">
        <f>IFERROR(IF((F1286-F1285)&gt;1,(LARGE(F1286:$F1286,1)-LARGE(F$1279:$F1286,2))-1,""),"")</f>
        <v/>
      </c>
    </row>
    <row r="1287" spans="1:7">
      <c r="A1287" s="79" t="s">
        <v>44028</v>
      </c>
      <c r="B1287">
        <v>2500</v>
      </c>
      <c r="C1287">
        <v>2500</v>
      </c>
      <c r="D1287">
        <v>5</v>
      </c>
      <c r="E1287">
        <v>13120</v>
      </c>
      <c r="F1287" s="70">
        <v>44549</v>
      </c>
      <c r="G1287" t="str">
        <f>IFERROR(IF((F1287-F1286)&gt;1,(LARGE(F1287:$F1287,1)-LARGE(F$1279:$F1287,2))-1,""),"")</f>
        <v/>
      </c>
    </row>
    <row r="1288" spans="1:7">
      <c r="A1288" s="77">
        <f>(SUM(D1289:D1292)/(A1281+4)+SUM(G1289:G1292))</f>
        <v>3.8</v>
      </c>
      <c r="B1288">
        <v>2499</v>
      </c>
      <c r="C1288">
        <v>2499</v>
      </c>
      <c r="D1288">
        <v>5</v>
      </c>
      <c r="E1288">
        <v>12003</v>
      </c>
      <c r="F1288" s="70">
        <v>44550</v>
      </c>
      <c r="G1288" t="str">
        <f>IFERROR(IF((F1288-F1287)&gt;1,(LARGE(F1288:$F1288,1)-LARGE(F$1279:$F1288,2))-1,""),"")</f>
        <v/>
      </c>
    </row>
    <row r="1289" spans="1:7">
      <c r="A1289" s="85" t="s">
        <v>44027</v>
      </c>
      <c r="B1289">
        <v>2498</v>
      </c>
      <c r="C1289">
        <v>2498</v>
      </c>
      <c r="D1289">
        <v>6</v>
      </c>
      <c r="E1289">
        <v>100600</v>
      </c>
      <c r="F1289" s="70">
        <v>44551</v>
      </c>
      <c r="G1289" t="str">
        <f>IFERROR(IF((F1289-F1288)&gt;1,(LARGE(F1289:$F1289,1)-LARGE(F$1279:$F1289,2))-1,""),"")</f>
        <v/>
      </c>
    </row>
    <row r="1290" spans="1:7">
      <c r="A1290" s="86">
        <f>IF(A1283+A1281&gt;10,"Look Up",AVERAGE(A1285,A1286))</f>
        <v>25793.462500000001</v>
      </c>
      <c r="B1290">
        <v>2499</v>
      </c>
      <c r="C1290">
        <v>2499</v>
      </c>
      <c r="D1290">
        <v>1</v>
      </c>
      <c r="E1290">
        <v>6000</v>
      </c>
      <c r="F1290" s="70">
        <v>44552</v>
      </c>
      <c r="G1290" t="str">
        <f>IFERROR(IF((F1290-F1289)&gt;1,(LARGE(F1290:$F1290,1)-LARGE(F$1279:$F1290,2))-1,""),"")</f>
        <v/>
      </c>
    </row>
    <row r="1291" spans="1:7">
      <c r="A1291" s="85" t="s">
        <v>44030</v>
      </c>
      <c r="B1291">
        <v>2499</v>
      </c>
      <c r="C1291">
        <v>2499</v>
      </c>
      <c r="D1291">
        <v>8</v>
      </c>
      <c r="E1291">
        <v>57800</v>
      </c>
      <c r="F1291" s="70">
        <v>44553</v>
      </c>
      <c r="G1291" t="str">
        <f>IFERROR(IF((F1291-F1290)&gt;1,(LARGE(F1291:$F1291,1)-LARGE(F$1279:$F1291,2))-1,""),"")</f>
        <v/>
      </c>
    </row>
    <row r="1292" spans="1:7">
      <c r="A1292" s="88"/>
      <c r="B1292">
        <v>2700</v>
      </c>
      <c r="C1292">
        <v>2700</v>
      </c>
      <c r="D1292">
        <v>4</v>
      </c>
      <c r="E1292">
        <v>32000</v>
      </c>
      <c r="F1292" s="70">
        <v>44554</v>
      </c>
      <c r="G1292" t="str">
        <f>IFERROR(IF((F1292-F1291)&gt;1,(LARGE(F1292:$F1292,1)-LARGE(F$1279:$F1292,2))-1,""),"")</f>
        <v/>
      </c>
    </row>
    <row r="1293" spans="1:7">
      <c r="A1293" s="65">
        <f>VLOOKUP(TradeSheet!A88,TypeIDs!B:C,2,FALSE)</f>
        <v>24519</v>
      </c>
      <c r="B1293" t="s">
        <v>43998</v>
      </c>
      <c r="C1293" t="s">
        <v>43999</v>
      </c>
      <c r="D1293" t="s">
        <v>44000</v>
      </c>
      <c r="E1293" t="s">
        <v>44001</v>
      </c>
      <c r="F1293" t="s">
        <v>44009</v>
      </c>
      <c r="G1293" t="s">
        <v>44008</v>
      </c>
    </row>
    <row r="1294" spans="1:7">
      <c r="A1294" s="65" t="str">
        <f>CONCATENATE(SwaggerURL,input087)</f>
        <v>https://esi.evetech.net/latest/markets/10000021/history/?datasource=tranquility&amp;type_id=24519</v>
      </c>
      <c r="B1294">
        <v>3025</v>
      </c>
      <c r="C1294">
        <v>3025</v>
      </c>
      <c r="D1294">
        <v>5</v>
      </c>
      <c r="E1294">
        <v>6555</v>
      </c>
      <c r="F1294" s="70">
        <v>44524</v>
      </c>
      <c r="G1294" t="str">
        <f>IFERROR(IF((F1294-F1293)&gt;1,(LARGE(F1294:$F1294,1)-LARGE(F$1294:$F1294,2))-1,""),"")</f>
        <v/>
      </c>
    </row>
    <row r="1295" spans="1:7">
      <c r="A1295" s="79" t="s">
        <v>44018</v>
      </c>
      <c r="B1295">
        <v>3025</v>
      </c>
      <c r="C1295">
        <v>3025</v>
      </c>
      <c r="D1295">
        <v>1</v>
      </c>
      <c r="E1295">
        <v>400</v>
      </c>
      <c r="F1295" s="70">
        <v>44527</v>
      </c>
      <c r="G1295">
        <f>IFERROR(IF((F1295-F1294)&gt;1,(LARGE(F1295:$F1295,1)-LARGE(F$1294:$F1295,2))-1,""),"")</f>
        <v>2</v>
      </c>
    </row>
    <row r="1296" spans="1:7">
      <c r="A1296" s="78">
        <f>MAX(0,(CurrentDate-2)-F1307)</f>
        <v>1</v>
      </c>
      <c r="B1296">
        <v>2900</v>
      </c>
      <c r="C1296">
        <v>2900</v>
      </c>
      <c r="D1296">
        <v>2</v>
      </c>
      <c r="E1296">
        <v>2500</v>
      </c>
      <c r="F1296" s="70">
        <v>44531</v>
      </c>
      <c r="G1296">
        <f>IFERROR(IF((F1296-F1295)&gt;1,(LARGE(F1296:$F1296,1)-LARGE(F$1294:$F1296,2))-1,""),"")</f>
        <v>3</v>
      </c>
    </row>
    <row r="1297" spans="1:7">
      <c r="A1297" s="79" t="s">
        <v>44026</v>
      </c>
      <c r="B1297">
        <v>2949</v>
      </c>
      <c r="C1297">
        <v>2949</v>
      </c>
      <c r="D1297">
        <v>8</v>
      </c>
      <c r="E1297">
        <v>5526</v>
      </c>
      <c r="F1297" s="70">
        <v>44534</v>
      </c>
      <c r="G1297">
        <f>IFERROR(IF((F1297-F1296)&gt;1,(LARGE(F1297:$F1297,1)-LARGE(F$1294:$F1297,2))-1,""),"")</f>
        <v>2</v>
      </c>
    </row>
    <row r="1298" spans="1:7">
      <c r="A1298" s="83">
        <f>SUM(G1301:G1307)</f>
        <v>2</v>
      </c>
      <c r="B1298">
        <v>2900</v>
      </c>
      <c r="C1298">
        <v>2900</v>
      </c>
      <c r="D1298">
        <v>2</v>
      </c>
      <c r="E1298">
        <v>1500</v>
      </c>
      <c r="F1298" s="70">
        <v>44535</v>
      </c>
      <c r="G1298" t="str">
        <f>IFERROR(IF((F1298-F1297)&gt;1,(LARGE(F1298:$F1298,1)-LARGE(F$1294:$F1298,2))-1,""),"")</f>
        <v/>
      </c>
    </row>
    <row r="1299" spans="1:7">
      <c r="A1299" s="79" t="s">
        <v>44029</v>
      </c>
      <c r="B1299">
        <v>3040</v>
      </c>
      <c r="C1299">
        <v>3040</v>
      </c>
      <c r="D1299">
        <v>3</v>
      </c>
      <c r="E1299">
        <v>780</v>
      </c>
      <c r="F1299" s="70">
        <v>44536</v>
      </c>
      <c r="G1299" t="str">
        <f>IFERROR(IF((F1299-F1298)&gt;1,(LARGE(F1299:$F1299,1)-LARGE(F$1294:$F1299,2))-1,""),"")</f>
        <v/>
      </c>
    </row>
    <row r="1300" spans="1:7">
      <c r="A1300" s="77">
        <f>(SUM(E1294:E1307)/(A1296+14)+SUM(G1294:G1307))</f>
        <v>3739.6666666666665</v>
      </c>
      <c r="B1300">
        <v>2550</v>
      </c>
      <c r="C1300">
        <v>2550</v>
      </c>
      <c r="D1300">
        <v>1</v>
      </c>
      <c r="E1300">
        <v>500</v>
      </c>
      <c r="F1300" s="70">
        <v>44545</v>
      </c>
      <c r="G1300">
        <f>IFERROR(IF((F1300-F1299)&gt;1,(LARGE(F1300:$F1300,1)-LARGE(F$1294:$F1300,2))-1,""),"")</f>
        <v>8</v>
      </c>
    </row>
    <row r="1301" spans="1:7">
      <c r="A1301" s="77">
        <f>(SUM(E1301:E1307)/(A1296+7)+SUM(G1301:G1307))</f>
        <v>4761.875</v>
      </c>
      <c r="B1301">
        <v>2550</v>
      </c>
      <c r="C1301">
        <v>2550</v>
      </c>
      <c r="D1301">
        <v>1</v>
      </c>
      <c r="E1301">
        <v>800</v>
      </c>
      <c r="F1301" s="70">
        <v>44547</v>
      </c>
      <c r="G1301">
        <f>IFERROR(IF((F1301-F1300)&gt;1,(LARGE(F1301:$F1301,1)-LARGE(F$1294:$F1301,2))-1,""),"")</f>
        <v>1</v>
      </c>
    </row>
    <row r="1302" spans="1:7">
      <c r="A1302" s="79" t="s">
        <v>44028</v>
      </c>
      <c r="B1302">
        <v>2550</v>
      </c>
      <c r="C1302">
        <v>2550</v>
      </c>
      <c r="D1302">
        <v>4</v>
      </c>
      <c r="E1302">
        <v>2820</v>
      </c>
      <c r="F1302" s="70">
        <v>44548</v>
      </c>
      <c r="G1302" t="str">
        <f>IFERROR(IF((F1302-F1301)&gt;1,(LARGE(F1302:$F1302,1)-LARGE(F$1294:$F1302,2))-1,""),"")</f>
        <v/>
      </c>
    </row>
    <row r="1303" spans="1:7">
      <c r="A1303" s="77">
        <f>(SUM(D1304:D1307)/(A1296+4)+SUM(G1304:G1307))</f>
        <v>3</v>
      </c>
      <c r="B1303">
        <v>3025</v>
      </c>
      <c r="C1303">
        <v>3025</v>
      </c>
      <c r="D1303">
        <v>6</v>
      </c>
      <c r="E1303">
        <v>13955</v>
      </c>
      <c r="F1303" s="70">
        <v>44549</v>
      </c>
      <c r="G1303" t="str">
        <f>IFERROR(IF((F1303-F1302)&gt;1,(LARGE(F1303:$F1303,1)-LARGE(F$1294:$F1303,2))-1,""),"")</f>
        <v/>
      </c>
    </row>
    <row r="1304" spans="1:7">
      <c r="A1304" s="85" t="s">
        <v>44027</v>
      </c>
      <c r="B1304">
        <v>3025</v>
      </c>
      <c r="C1304">
        <v>3025</v>
      </c>
      <c r="D1304">
        <v>4</v>
      </c>
      <c r="E1304">
        <v>8435</v>
      </c>
      <c r="F1304" s="70">
        <v>44550</v>
      </c>
      <c r="G1304" t="str">
        <f>IFERROR(IF((F1304-F1303)&gt;1,(LARGE(F1304:$F1304,1)-LARGE(F$1294:$F1304,2))-1,""),"")</f>
        <v/>
      </c>
    </row>
    <row r="1305" spans="1:7">
      <c r="A1305" s="86">
        <f>IF(A1298+A1296&gt;10,"Look Up",AVERAGE(A1300,A1301))</f>
        <v>4250.770833333333</v>
      </c>
      <c r="B1305">
        <v>3025</v>
      </c>
      <c r="C1305">
        <v>3025</v>
      </c>
      <c r="D1305">
        <v>2</v>
      </c>
      <c r="E1305">
        <v>5800</v>
      </c>
      <c r="F1305" s="70">
        <v>44551</v>
      </c>
      <c r="G1305" t="str">
        <f>IFERROR(IF((F1305-F1304)&gt;1,(LARGE(F1305:$F1305,1)-LARGE(F$1294:$F1305,2))-1,""),"")</f>
        <v/>
      </c>
    </row>
    <row r="1306" spans="1:7">
      <c r="A1306" s="85" t="s">
        <v>44030</v>
      </c>
      <c r="B1306">
        <v>3025</v>
      </c>
      <c r="C1306">
        <v>3025</v>
      </c>
      <c r="D1306">
        <v>3</v>
      </c>
      <c r="E1306">
        <v>5469</v>
      </c>
      <c r="F1306" s="70">
        <v>44552</v>
      </c>
      <c r="G1306" t="str">
        <f>IFERROR(IF((F1306-F1305)&gt;1,(LARGE(F1306:$F1306,1)-LARGE(F$1294:$F1306,2))-1,""),"")</f>
        <v/>
      </c>
    </row>
    <row r="1307" spans="1:7">
      <c r="A1307" s="88"/>
      <c r="B1307">
        <v>3025</v>
      </c>
      <c r="C1307">
        <v>3025</v>
      </c>
      <c r="D1307">
        <v>1</v>
      </c>
      <c r="E1307">
        <v>800</v>
      </c>
      <c r="F1307" s="70">
        <v>44554</v>
      </c>
      <c r="G1307">
        <f>IFERROR(IF((F1307-F1306)&gt;1,(LARGE(F1307:$F1307,1)-LARGE(F$1294:$F1307,2))-1,""),"")</f>
        <v>1</v>
      </c>
    </row>
    <row r="1308" spans="1:7">
      <c r="A1308" s="65">
        <f>VLOOKUP(TradeSheet!A89,TypeIDs!B:C,2,FALSE)</f>
        <v>24527</v>
      </c>
      <c r="B1308" t="s">
        <v>43998</v>
      </c>
      <c r="C1308" t="s">
        <v>43999</v>
      </c>
      <c r="D1308" t="s">
        <v>44000</v>
      </c>
      <c r="E1308" t="s">
        <v>44001</v>
      </c>
      <c r="F1308" t="s">
        <v>44009</v>
      </c>
      <c r="G1308" t="s">
        <v>44008</v>
      </c>
    </row>
    <row r="1309" spans="1:7">
      <c r="A1309" s="65" t="str">
        <f>CONCATENATE(SwaggerURL,input088)</f>
        <v>https://esi.evetech.net/latest/markets/10000021/history/?datasource=tranquility&amp;type_id=24527</v>
      </c>
      <c r="B1309">
        <v>2400</v>
      </c>
      <c r="C1309">
        <v>2400</v>
      </c>
      <c r="D1309">
        <v>4</v>
      </c>
      <c r="E1309">
        <v>16800</v>
      </c>
      <c r="F1309" s="70">
        <v>44535</v>
      </c>
      <c r="G1309" t="str">
        <f>IFERROR(IF((F1309-F1308)&gt;1,(LARGE(F1309:$F1309,1)-LARGE(F$1309:$F1309,2))-1,""),"")</f>
        <v/>
      </c>
    </row>
    <row r="1310" spans="1:7">
      <c r="A1310" s="79" t="s">
        <v>44018</v>
      </c>
      <c r="B1310">
        <v>2400</v>
      </c>
      <c r="C1310">
        <v>2400</v>
      </c>
      <c r="D1310">
        <v>1</v>
      </c>
      <c r="E1310">
        <v>400</v>
      </c>
      <c r="F1310" s="70">
        <v>44536</v>
      </c>
      <c r="G1310" t="str">
        <f>IFERROR(IF((F1310-F1309)&gt;1,(LARGE(F1310:$F1310,1)-LARGE(F$1309:$F1310,2))-1,""),"")</f>
        <v/>
      </c>
    </row>
    <row r="1311" spans="1:7">
      <c r="A1311" s="78">
        <f>MAX(0,(CurrentDate-2)-F1322)</f>
        <v>1</v>
      </c>
      <c r="B1311">
        <v>2400</v>
      </c>
      <c r="C1311">
        <v>2400</v>
      </c>
      <c r="D1311">
        <v>1</v>
      </c>
      <c r="E1311">
        <v>5000</v>
      </c>
      <c r="F1311" s="70">
        <v>44537</v>
      </c>
      <c r="G1311" t="str">
        <f>IFERROR(IF((F1311-F1310)&gt;1,(LARGE(F1311:$F1311,1)-LARGE(F$1309:$F1311,2))-1,""),"")</f>
        <v/>
      </c>
    </row>
    <row r="1312" spans="1:7">
      <c r="A1312" s="79" t="s">
        <v>44026</v>
      </c>
      <c r="B1312">
        <v>2300</v>
      </c>
      <c r="C1312">
        <v>2300</v>
      </c>
      <c r="D1312">
        <v>1</v>
      </c>
      <c r="E1312">
        <v>40</v>
      </c>
      <c r="F1312" s="70">
        <v>44538</v>
      </c>
      <c r="G1312" t="str">
        <f>IFERROR(IF((F1312-F1311)&gt;1,(LARGE(F1312:$F1312,1)-LARGE(F$1309:$F1312,2))-1,""),"")</f>
        <v/>
      </c>
    </row>
    <row r="1313" spans="1:7">
      <c r="A1313" s="83">
        <f>SUM(G1316:G1322)</f>
        <v>4</v>
      </c>
      <c r="B1313">
        <v>2300</v>
      </c>
      <c r="C1313">
        <v>2300</v>
      </c>
      <c r="D1313">
        <v>1</v>
      </c>
      <c r="E1313">
        <v>1000</v>
      </c>
      <c r="F1313" s="70">
        <v>44540</v>
      </c>
      <c r="G1313">
        <f>IFERROR(IF((F1313-F1312)&gt;1,(LARGE(F1313:$F1313,1)-LARGE(F$1309:$F1313,2))-1,""),"")</f>
        <v>1</v>
      </c>
    </row>
    <row r="1314" spans="1:7">
      <c r="A1314" s="79" t="s">
        <v>44029</v>
      </c>
      <c r="B1314">
        <v>2300</v>
      </c>
      <c r="C1314">
        <v>2300</v>
      </c>
      <c r="D1314">
        <v>3</v>
      </c>
      <c r="E1314">
        <v>10000</v>
      </c>
      <c r="F1314" s="70">
        <v>44541</v>
      </c>
      <c r="G1314" t="str">
        <f>IFERROR(IF((F1314-F1313)&gt;1,(LARGE(F1314:$F1314,1)-LARGE(F$1309:$F1314,2))-1,""),"")</f>
        <v/>
      </c>
    </row>
    <row r="1315" spans="1:7">
      <c r="A1315" s="77">
        <f>(SUM(E1309:E1322)/(A1311+14)+SUM(G1309:G1322))</f>
        <v>8073.0666666666666</v>
      </c>
      <c r="B1315">
        <v>2300</v>
      </c>
      <c r="C1315">
        <v>2300</v>
      </c>
      <c r="D1315">
        <v>3</v>
      </c>
      <c r="E1315">
        <v>64000</v>
      </c>
      <c r="F1315" s="70">
        <v>44543</v>
      </c>
      <c r="G1315">
        <f>IFERROR(IF((F1315-F1314)&gt;1,(LARGE(F1315:$F1315,1)-LARGE(F$1309:$F1315,2))-1,""),"")</f>
        <v>1</v>
      </c>
    </row>
    <row r="1316" spans="1:7">
      <c r="A1316" s="77">
        <f>(SUM(E1316:E1322)/(A1311+7)+SUM(G1316:G1322))</f>
        <v>2974.75</v>
      </c>
      <c r="B1316">
        <v>2400</v>
      </c>
      <c r="C1316">
        <v>2400</v>
      </c>
      <c r="D1316">
        <v>1</v>
      </c>
      <c r="E1316">
        <v>1395</v>
      </c>
      <c r="F1316" s="70">
        <v>44544</v>
      </c>
      <c r="G1316" t="str">
        <f>IFERROR(IF((F1316-F1315)&gt;1,(LARGE(F1316:$F1316,1)-LARGE(F$1309:$F1316,2))-1,""),"")</f>
        <v/>
      </c>
    </row>
    <row r="1317" spans="1:7">
      <c r="A1317" s="79" t="s">
        <v>44028</v>
      </c>
      <c r="B1317">
        <v>4499</v>
      </c>
      <c r="C1317">
        <v>4499</v>
      </c>
      <c r="D1317">
        <v>3</v>
      </c>
      <c r="E1317">
        <v>10971</v>
      </c>
      <c r="F1317" s="70">
        <v>44545</v>
      </c>
      <c r="G1317" t="str">
        <f>IFERROR(IF((F1317-F1316)&gt;1,(LARGE(F1317:$F1317,1)-LARGE(F$1309:$F1317,2))-1,""),"")</f>
        <v/>
      </c>
    </row>
    <row r="1318" spans="1:7">
      <c r="A1318" s="77">
        <f>(SUM(D1319:D1322)/(A1311+4)+SUM(G1319:G1322))</f>
        <v>2.2000000000000002</v>
      </c>
      <c r="B1318">
        <v>2518</v>
      </c>
      <c r="C1318">
        <v>2518</v>
      </c>
      <c r="D1318">
        <v>1</v>
      </c>
      <c r="E1318">
        <v>1000</v>
      </c>
      <c r="F1318" s="70">
        <v>44549</v>
      </c>
      <c r="G1318">
        <f>IFERROR(IF((F1318-F1317)&gt;1,(LARGE(F1318:$F1318,1)-LARGE(F$1309:$F1318,2))-1,""),"")</f>
        <v>3</v>
      </c>
    </row>
    <row r="1319" spans="1:7">
      <c r="A1319" s="85" t="s">
        <v>44027</v>
      </c>
      <c r="B1319">
        <v>2518</v>
      </c>
      <c r="C1319">
        <v>2518</v>
      </c>
      <c r="D1319">
        <v>2</v>
      </c>
      <c r="E1319">
        <v>1400</v>
      </c>
      <c r="F1319" s="70">
        <v>44550</v>
      </c>
      <c r="G1319" t="str">
        <f>IFERROR(IF((F1319-F1318)&gt;1,(LARGE(F1319:$F1319,1)-LARGE(F$1309:$F1319,2))-1,""),"")</f>
        <v/>
      </c>
    </row>
    <row r="1320" spans="1:7">
      <c r="A1320" s="86">
        <f>IF(A1313+A1311&gt;10,"Look Up",AVERAGE(A1315,A1316))</f>
        <v>5523.9083333333328</v>
      </c>
      <c r="B1320">
        <v>2518</v>
      </c>
      <c r="C1320">
        <v>2518</v>
      </c>
      <c r="D1320">
        <v>1</v>
      </c>
      <c r="E1320">
        <v>500</v>
      </c>
      <c r="F1320" s="70">
        <v>44551</v>
      </c>
      <c r="G1320" t="str">
        <f>IFERROR(IF((F1320-F1319)&gt;1,(LARGE(F1320:$F1320,1)-LARGE(F$1309:$F1320,2))-1,""),"")</f>
        <v/>
      </c>
    </row>
    <row r="1321" spans="1:7">
      <c r="A1321" s="85" t="s">
        <v>44030</v>
      </c>
      <c r="B1321">
        <v>2518</v>
      </c>
      <c r="C1321">
        <v>2518</v>
      </c>
      <c r="D1321">
        <v>2</v>
      </c>
      <c r="E1321">
        <v>3500</v>
      </c>
      <c r="F1321" s="70">
        <v>44553</v>
      </c>
      <c r="G1321">
        <f>IFERROR(IF((F1321-F1320)&gt;1,(LARGE(F1321:$F1321,1)-LARGE(F$1309:$F1321,2))-1,""),"")</f>
        <v>1</v>
      </c>
    </row>
    <row r="1322" spans="1:7">
      <c r="A1322" s="88"/>
      <c r="B1322">
        <v>2000</v>
      </c>
      <c r="C1322">
        <v>2000</v>
      </c>
      <c r="D1322">
        <v>1</v>
      </c>
      <c r="E1322">
        <v>5000</v>
      </c>
      <c r="F1322" s="70">
        <v>44554</v>
      </c>
      <c r="G1322" t="str">
        <f>IFERROR(IF((F1322-F1321)&gt;1,(LARGE(F1322:$F1322,1)-LARGE(F$1309:$F1322,2))-1,""),"")</f>
        <v/>
      </c>
    </row>
    <row r="1323" spans="1:7">
      <c r="A1323" s="65">
        <f>VLOOKUP(TradeSheet!A90,TypeIDs!B:C,2,FALSE)</f>
        <v>27339</v>
      </c>
      <c r="B1323" t="s">
        <v>43998</v>
      </c>
      <c r="C1323" t="s">
        <v>43999</v>
      </c>
      <c r="D1323" t="s">
        <v>44000</v>
      </c>
      <c r="E1323" t="s">
        <v>44001</v>
      </c>
      <c r="F1323" t="s">
        <v>44009</v>
      </c>
      <c r="G1323" t="s">
        <v>44008</v>
      </c>
    </row>
    <row r="1324" spans="1:7">
      <c r="A1324" s="65" t="str">
        <f>CONCATENATE(SwaggerURL,input089)</f>
        <v>https://esi.evetech.net/latest/markets/10000021/history/?datasource=tranquility&amp;type_id=27339</v>
      </c>
      <c r="B1324">
        <v>2799</v>
      </c>
      <c r="C1324">
        <v>2799</v>
      </c>
      <c r="D1324">
        <v>3</v>
      </c>
      <c r="E1324">
        <v>2600</v>
      </c>
      <c r="F1324" s="70">
        <v>44535</v>
      </c>
      <c r="G1324" t="str">
        <f>IFERROR(IF((F1324-F1323)&gt;1,(LARGE(F1324:$F1324,1)-LARGE(F$1324:$F1324,2))-1,""),"")</f>
        <v/>
      </c>
    </row>
    <row r="1325" spans="1:7">
      <c r="A1325" s="79" t="s">
        <v>44018</v>
      </c>
      <c r="B1325">
        <v>3075</v>
      </c>
      <c r="C1325">
        <v>3075</v>
      </c>
      <c r="D1325">
        <v>2</v>
      </c>
      <c r="E1325">
        <v>5000</v>
      </c>
      <c r="F1325" s="70">
        <v>44536</v>
      </c>
      <c r="G1325" t="str">
        <f>IFERROR(IF((F1325-F1324)&gt;1,(LARGE(F1325:$F1325,1)-LARGE(F$1324:$F1325,2))-1,""),"")</f>
        <v/>
      </c>
    </row>
    <row r="1326" spans="1:7">
      <c r="A1326" s="78">
        <f>MAX(0,(CurrentDate-2)-F1337)</f>
        <v>2</v>
      </c>
      <c r="B1326">
        <v>3071</v>
      </c>
      <c r="C1326">
        <v>3071</v>
      </c>
      <c r="D1326">
        <v>1</v>
      </c>
      <c r="E1326">
        <v>518</v>
      </c>
      <c r="F1326" s="70">
        <v>44537</v>
      </c>
      <c r="G1326" t="str">
        <f>IFERROR(IF((F1326-F1325)&gt;1,(LARGE(F1326:$F1326,1)-LARGE(F$1324:$F1326,2))-1,""),"")</f>
        <v/>
      </c>
    </row>
    <row r="1327" spans="1:7">
      <c r="A1327" s="79" t="s">
        <v>44026</v>
      </c>
      <c r="B1327">
        <v>3069</v>
      </c>
      <c r="C1327">
        <v>3069</v>
      </c>
      <c r="D1327">
        <v>1</v>
      </c>
      <c r="E1327">
        <v>100</v>
      </c>
      <c r="F1327" s="70">
        <v>44538</v>
      </c>
      <c r="G1327" t="str">
        <f>IFERROR(IF((F1327-F1326)&gt;1,(LARGE(F1327:$F1327,1)-LARGE(F$1324:$F1327,2))-1,""),"")</f>
        <v/>
      </c>
    </row>
    <row r="1328" spans="1:7">
      <c r="A1328" s="83">
        <f>SUM(G1331:G1337)</f>
        <v>5</v>
      </c>
      <c r="B1328">
        <v>3068</v>
      </c>
      <c r="C1328">
        <v>3068</v>
      </c>
      <c r="D1328">
        <v>2</v>
      </c>
      <c r="E1328">
        <v>1090</v>
      </c>
      <c r="F1328" s="70">
        <v>44539</v>
      </c>
      <c r="G1328" t="str">
        <f>IFERROR(IF((F1328-F1327)&gt;1,(LARGE(F1328:$F1328,1)-LARGE(F$1324:$F1328,2))-1,""),"")</f>
        <v/>
      </c>
    </row>
    <row r="1329" spans="1:7">
      <c r="A1329" s="79" t="s">
        <v>44029</v>
      </c>
      <c r="B1329">
        <v>3069</v>
      </c>
      <c r="C1329">
        <v>3069</v>
      </c>
      <c r="D1329">
        <v>2</v>
      </c>
      <c r="E1329">
        <v>3200</v>
      </c>
      <c r="F1329" s="70">
        <v>44540</v>
      </c>
      <c r="G1329" t="str">
        <f>IFERROR(IF((F1329-F1328)&gt;1,(LARGE(F1329:$F1329,1)-LARGE(F$1324:$F1329,2))-1,""),"")</f>
        <v/>
      </c>
    </row>
    <row r="1330" spans="1:7">
      <c r="A1330" s="77">
        <f>(SUM(E1324:E1337)/(A1326+14)+SUM(G1324:G1337))</f>
        <v>11184.25</v>
      </c>
      <c r="B1330">
        <v>3069</v>
      </c>
      <c r="C1330">
        <v>3069</v>
      </c>
      <c r="D1330">
        <v>2</v>
      </c>
      <c r="E1330">
        <v>3200</v>
      </c>
      <c r="F1330" s="70">
        <v>44541</v>
      </c>
      <c r="G1330" t="str">
        <f>IFERROR(IF((F1330-F1329)&gt;1,(LARGE(F1330:$F1330,1)-LARGE(F$1324:$F1330,2))-1,""),"")</f>
        <v/>
      </c>
    </row>
    <row r="1331" spans="1:7">
      <c r="A1331" s="77">
        <f>(SUM(E1331:E1337)/(A1326+7)+SUM(G1331:G1337))</f>
        <v>18133.888888888891</v>
      </c>
      <c r="B1331">
        <v>3075</v>
      </c>
      <c r="C1331">
        <v>3075</v>
      </c>
      <c r="D1331">
        <v>5</v>
      </c>
      <c r="E1331">
        <v>111737</v>
      </c>
      <c r="F1331" s="70">
        <v>44543</v>
      </c>
      <c r="G1331">
        <f>IFERROR(IF((F1331-F1330)&gt;1,(LARGE(F1331:$F1331,1)-LARGE(F$1324:$F1331,2))-1,""),"")</f>
        <v>1</v>
      </c>
    </row>
    <row r="1332" spans="1:7">
      <c r="A1332" s="79" t="s">
        <v>44028</v>
      </c>
      <c r="B1332">
        <v>4000</v>
      </c>
      <c r="C1332">
        <v>4000</v>
      </c>
      <c r="D1332">
        <v>7</v>
      </c>
      <c r="E1332">
        <v>24000</v>
      </c>
      <c r="F1332" s="70">
        <v>44544</v>
      </c>
      <c r="G1332" t="str">
        <f>IFERROR(IF((F1332-F1331)&gt;1,(LARGE(F1332:$F1332,1)-LARGE(F$1324:$F1332,2))-1,""),"")</f>
        <v/>
      </c>
    </row>
    <row r="1333" spans="1:7">
      <c r="A1333" s="77">
        <f>(SUM(D1334:D1337)/(A1326+4)+SUM(G1334:G1337))</f>
        <v>5.666666666666667</v>
      </c>
      <c r="B1333">
        <v>4500</v>
      </c>
      <c r="C1333">
        <v>4500</v>
      </c>
      <c r="D1333">
        <v>3</v>
      </c>
      <c r="E1333">
        <v>12923</v>
      </c>
      <c r="F1333" s="70">
        <v>44545</v>
      </c>
      <c r="G1333" t="str">
        <f>IFERROR(IF((F1333-F1332)&gt;1,(LARGE(F1333:$F1333,1)-LARGE(F$1324:$F1333,2))-1,""),"")</f>
        <v/>
      </c>
    </row>
    <row r="1334" spans="1:7">
      <c r="A1334" s="85" t="s">
        <v>44027</v>
      </c>
      <c r="B1334">
        <v>3337</v>
      </c>
      <c r="C1334">
        <v>3337</v>
      </c>
      <c r="D1334">
        <v>3</v>
      </c>
      <c r="E1334">
        <v>9000</v>
      </c>
      <c r="F1334" s="70">
        <v>44546</v>
      </c>
      <c r="G1334" t="str">
        <f>IFERROR(IF((F1334-F1333)&gt;1,(LARGE(F1334:$F1334,1)-LARGE(F$1324:$F1334,2))-1,""),"")</f>
        <v/>
      </c>
    </row>
    <row r="1335" spans="1:7">
      <c r="A1335" s="86">
        <f>IF(A1328+A1326&gt;10,"Look Up",AVERAGE(A1330,A1331))</f>
        <v>14659.069444444445</v>
      </c>
      <c r="B1335">
        <v>3337</v>
      </c>
      <c r="C1335">
        <v>3337</v>
      </c>
      <c r="D1335">
        <v>3</v>
      </c>
      <c r="E1335">
        <v>3800</v>
      </c>
      <c r="F1335" s="70">
        <v>44547</v>
      </c>
      <c r="G1335" t="str">
        <f>IFERROR(IF((F1335-F1334)&gt;1,(LARGE(F1335:$F1335,1)-LARGE(F$1324:$F1335,2))-1,""),"")</f>
        <v/>
      </c>
    </row>
    <row r="1336" spans="1:7">
      <c r="A1336" s="85" t="s">
        <v>44030</v>
      </c>
      <c r="B1336">
        <v>3337</v>
      </c>
      <c r="C1336">
        <v>3337</v>
      </c>
      <c r="D1336">
        <v>3</v>
      </c>
      <c r="E1336">
        <v>1200</v>
      </c>
      <c r="F1336" s="70">
        <v>44548</v>
      </c>
      <c r="G1336" t="str">
        <f>IFERROR(IF((F1336-F1335)&gt;1,(LARGE(F1336:$F1336,1)-LARGE(F$1324:$F1336,2))-1,""),"")</f>
        <v/>
      </c>
    </row>
    <row r="1337" spans="1:7">
      <c r="A1337" s="88"/>
      <c r="B1337">
        <v>3337</v>
      </c>
      <c r="C1337">
        <v>3337</v>
      </c>
      <c r="D1337">
        <v>1</v>
      </c>
      <c r="E1337">
        <v>500</v>
      </c>
      <c r="F1337" s="70">
        <v>44553</v>
      </c>
      <c r="G1337">
        <f>IFERROR(IF((F1337-F1336)&gt;1,(LARGE(F1337:$F1337,1)-LARGE(F$1324:$F1337,2))-1,""),"")</f>
        <v>4</v>
      </c>
    </row>
    <row r="1338" spans="1:7">
      <c r="A1338" s="65">
        <f>VLOOKUP(TradeSheet!A91,TypeIDs!B:C,2,FALSE)</f>
        <v>27359</v>
      </c>
      <c r="B1338" t="s">
        <v>43998</v>
      </c>
      <c r="C1338" t="s">
        <v>43999</v>
      </c>
      <c r="D1338" t="s">
        <v>44000</v>
      </c>
      <c r="E1338" t="s">
        <v>44001</v>
      </c>
      <c r="F1338" t="s">
        <v>44009</v>
      </c>
      <c r="G1338" t="s">
        <v>44008</v>
      </c>
    </row>
    <row r="1339" spans="1:7">
      <c r="A1339" s="65" t="str">
        <f>CONCATENATE(SwaggerURL,input090)</f>
        <v>https://esi.evetech.net/latest/markets/10000021/history/?datasource=tranquility&amp;type_id=27359</v>
      </c>
      <c r="B1339">
        <v>3100</v>
      </c>
      <c r="C1339">
        <v>3100</v>
      </c>
      <c r="D1339">
        <v>1</v>
      </c>
      <c r="E1339">
        <v>2000</v>
      </c>
      <c r="F1339" s="70">
        <v>44522</v>
      </c>
      <c r="G1339" t="str">
        <f>IFERROR(IF((F1339-F1338)&gt;1,(LARGE(F1339:$F1339,1)-LARGE(F$1339:$F1339,2))-1,""),"")</f>
        <v/>
      </c>
    </row>
    <row r="1340" spans="1:7">
      <c r="A1340" s="79" t="s">
        <v>44018</v>
      </c>
      <c r="B1340">
        <v>3099</v>
      </c>
      <c r="C1340">
        <v>3099</v>
      </c>
      <c r="D1340">
        <v>3</v>
      </c>
      <c r="E1340">
        <v>2481</v>
      </c>
      <c r="F1340" s="70">
        <v>44524</v>
      </c>
      <c r="G1340">
        <f>IFERROR(IF((F1340-F1339)&gt;1,(LARGE(F1340:$F1340,1)-LARGE(F$1339:$F1340,2))-1,""),"")</f>
        <v>1</v>
      </c>
    </row>
    <row r="1341" spans="1:7">
      <c r="A1341" s="78">
        <f>MAX(0,(CurrentDate-2)-F1352)</f>
        <v>1</v>
      </c>
      <c r="B1341">
        <v>3099</v>
      </c>
      <c r="C1341">
        <v>3099</v>
      </c>
      <c r="D1341">
        <v>1</v>
      </c>
      <c r="E1341">
        <v>570</v>
      </c>
      <c r="F1341" s="70">
        <v>44525</v>
      </c>
      <c r="G1341" t="str">
        <f>IFERROR(IF((F1341-F1340)&gt;1,(LARGE(F1341:$F1341,1)-LARGE(F$1339:$F1341,2))-1,""),"")</f>
        <v/>
      </c>
    </row>
    <row r="1342" spans="1:7">
      <c r="A1342" s="79" t="s">
        <v>44026</v>
      </c>
      <c r="B1342">
        <v>3099</v>
      </c>
      <c r="C1342">
        <v>3099</v>
      </c>
      <c r="D1342">
        <v>1</v>
      </c>
      <c r="E1342">
        <v>570</v>
      </c>
      <c r="F1342" s="70">
        <v>44527</v>
      </c>
      <c r="G1342">
        <f>IFERROR(IF((F1342-F1341)&gt;1,(LARGE(F1342:$F1342,1)-LARGE(F$1339:$F1342,2))-1,""),"")</f>
        <v>1</v>
      </c>
    </row>
    <row r="1343" spans="1:7">
      <c r="A1343" s="83">
        <f>SUM(G1346:G1352)</f>
        <v>11</v>
      </c>
      <c r="B1343">
        <v>2990</v>
      </c>
      <c r="C1343">
        <v>2990</v>
      </c>
      <c r="D1343">
        <v>1</v>
      </c>
      <c r="E1343">
        <v>2000</v>
      </c>
      <c r="F1343" s="70">
        <v>44532</v>
      </c>
      <c r="G1343">
        <f>IFERROR(IF((F1343-F1342)&gt;1,(LARGE(F1343:$F1343,1)-LARGE(F$1339:$F1343,2))-1,""),"")</f>
        <v>4</v>
      </c>
    </row>
    <row r="1344" spans="1:7">
      <c r="A1344" s="79" t="s">
        <v>44029</v>
      </c>
      <c r="B1344">
        <v>3057</v>
      </c>
      <c r="C1344">
        <v>3057</v>
      </c>
      <c r="D1344">
        <v>7</v>
      </c>
      <c r="E1344">
        <v>6320</v>
      </c>
      <c r="F1344" s="70">
        <v>44534</v>
      </c>
      <c r="G1344">
        <f>IFERROR(IF((F1344-F1343)&gt;1,(LARGE(F1344:$F1344,1)-LARGE(F$1339:$F1344,2))-1,""),"")</f>
        <v>1</v>
      </c>
    </row>
    <row r="1345" spans="1:7">
      <c r="A1345" s="77">
        <f>(SUM(E1339:E1352)/(A1341+14)+SUM(G1339:G1352))</f>
        <v>5642.2666666666664</v>
      </c>
      <c r="B1345">
        <v>3041</v>
      </c>
      <c r="C1345">
        <v>3041</v>
      </c>
      <c r="D1345">
        <v>3</v>
      </c>
      <c r="E1345">
        <v>5480</v>
      </c>
      <c r="F1345" s="70">
        <v>44536</v>
      </c>
      <c r="G1345">
        <f>IFERROR(IF((F1345-F1344)&gt;1,(LARGE(F1345:$F1345,1)-LARGE(F$1339:$F1345,2))-1,""),"")</f>
        <v>1</v>
      </c>
    </row>
    <row r="1346" spans="1:7">
      <c r="A1346" s="77">
        <f>(SUM(E1346:E1352)/(A1341+7)+SUM(G1346:G1352))</f>
        <v>8127</v>
      </c>
      <c r="B1346">
        <v>3041</v>
      </c>
      <c r="C1346">
        <v>3041</v>
      </c>
      <c r="D1346">
        <v>1</v>
      </c>
      <c r="E1346">
        <v>1200</v>
      </c>
      <c r="F1346" s="70">
        <v>44539</v>
      </c>
      <c r="G1346">
        <f>IFERROR(IF((F1346-F1345)&gt;1,(LARGE(F1346:$F1346,1)-LARGE(F$1339:$F1346,2))-1,""),"")</f>
        <v>2</v>
      </c>
    </row>
    <row r="1347" spans="1:7">
      <c r="A1347" s="79" t="s">
        <v>44028</v>
      </c>
      <c r="B1347">
        <v>3040</v>
      </c>
      <c r="C1347">
        <v>3040</v>
      </c>
      <c r="D1347">
        <v>4</v>
      </c>
      <c r="E1347">
        <v>1820</v>
      </c>
      <c r="F1347" s="70">
        <v>44547</v>
      </c>
      <c r="G1347">
        <f>IFERROR(IF((F1347-F1346)&gt;1,(LARGE(F1347:$F1347,1)-LARGE(F$1339:$F1347,2))-1,""),"")</f>
        <v>7</v>
      </c>
    </row>
    <row r="1348" spans="1:7">
      <c r="A1348" s="77">
        <f>(SUM(D1349:D1352)/(A1341+4)+SUM(G1349:G1352))</f>
        <v>4.8</v>
      </c>
      <c r="B1348">
        <v>3057</v>
      </c>
      <c r="C1348">
        <v>3057</v>
      </c>
      <c r="D1348">
        <v>9</v>
      </c>
      <c r="E1348">
        <v>15509</v>
      </c>
      <c r="F1348" s="70">
        <v>44548</v>
      </c>
      <c r="G1348" t="str">
        <f>IFERROR(IF((F1348-F1347)&gt;1,(LARGE(F1348:$F1348,1)-LARGE(F$1339:$F1348,2))-1,""),"")</f>
        <v/>
      </c>
    </row>
    <row r="1349" spans="1:7">
      <c r="A1349" s="85" t="s">
        <v>44027</v>
      </c>
      <c r="B1349">
        <v>3056</v>
      </c>
      <c r="C1349">
        <v>3056</v>
      </c>
      <c r="D1349">
        <v>3</v>
      </c>
      <c r="E1349">
        <v>17800</v>
      </c>
      <c r="F1349" s="70">
        <v>44549</v>
      </c>
      <c r="G1349" t="str">
        <f>IFERROR(IF((F1349-F1348)&gt;1,(LARGE(F1349:$F1349,1)-LARGE(F$1339:$F1349,2))-1,""),"")</f>
        <v/>
      </c>
    </row>
    <row r="1350" spans="1:7">
      <c r="A1350" s="86" t="str">
        <f>IF(A1343+A1341&gt;10,"Look Up",AVERAGE(A1345,A1346))</f>
        <v>Look Up</v>
      </c>
      <c r="B1350">
        <v>3056</v>
      </c>
      <c r="C1350">
        <v>3056</v>
      </c>
      <c r="D1350">
        <v>1</v>
      </c>
      <c r="E1350">
        <v>10000</v>
      </c>
      <c r="F1350" s="70">
        <v>44550</v>
      </c>
      <c r="G1350" t="str">
        <f>IFERROR(IF((F1350-F1349)&gt;1,(LARGE(F1350:$F1350,1)-LARGE(F$1339:$F1350,2))-1,""),"")</f>
        <v/>
      </c>
    </row>
    <row r="1351" spans="1:7">
      <c r="A1351" s="85" t="s">
        <v>44030</v>
      </c>
      <c r="B1351">
        <v>3056</v>
      </c>
      <c r="C1351">
        <v>3056</v>
      </c>
      <c r="D1351">
        <v>6</v>
      </c>
      <c r="E1351">
        <v>10599</v>
      </c>
      <c r="F1351" s="70">
        <v>44551</v>
      </c>
      <c r="G1351" t="str">
        <f>IFERROR(IF((F1351-F1350)&gt;1,(LARGE(F1351:$F1351,1)-LARGE(F$1339:$F1351,2))-1,""),"")</f>
        <v/>
      </c>
    </row>
    <row r="1352" spans="1:7">
      <c r="A1352" s="88"/>
      <c r="B1352">
        <v>3057</v>
      </c>
      <c r="C1352">
        <v>3057</v>
      </c>
      <c r="D1352">
        <v>4</v>
      </c>
      <c r="E1352">
        <v>8000</v>
      </c>
      <c r="F1352" s="70">
        <v>44554</v>
      </c>
      <c r="G1352">
        <f>IFERROR(IF((F1352-F1351)&gt;1,(LARGE(F1352:$F1352,1)-LARGE(F$1339:$F1352,2))-1,""),"")</f>
        <v>2</v>
      </c>
    </row>
    <row r="1353" spans="1:7">
      <c r="A1353" s="65">
        <f>VLOOKUP(TradeSheet!A92,TypeIDs!B:C,2,FALSE)</f>
        <v>27345</v>
      </c>
      <c r="B1353" t="s">
        <v>43998</v>
      </c>
      <c r="C1353" t="s">
        <v>43999</v>
      </c>
      <c r="D1353" t="s">
        <v>44000</v>
      </c>
      <c r="E1353" t="s">
        <v>44001</v>
      </c>
      <c r="F1353" t="s">
        <v>44009</v>
      </c>
      <c r="G1353" t="s">
        <v>44008</v>
      </c>
    </row>
    <row r="1354" spans="1:7">
      <c r="A1354" s="65" t="str">
        <f>CONCATENATE(SwaggerURL,input091)</f>
        <v>https://esi.evetech.net/latest/markets/10000021/history/?datasource=tranquility&amp;type_id=27345</v>
      </c>
      <c r="B1354">
        <v>2547</v>
      </c>
      <c r="C1354">
        <v>2547</v>
      </c>
      <c r="D1354">
        <v>1</v>
      </c>
      <c r="E1354">
        <v>2000</v>
      </c>
      <c r="F1354" s="70">
        <v>44522</v>
      </c>
      <c r="G1354" t="str">
        <f>IFERROR(IF((F1354-F1353)&gt;1,(LARGE(F1354:$F1354,1)-LARGE(F$1354:$F1354,2))-1,""),"")</f>
        <v/>
      </c>
    </row>
    <row r="1355" spans="1:7">
      <c r="A1355" s="79" t="s">
        <v>44018</v>
      </c>
      <c r="B1355">
        <v>2546</v>
      </c>
      <c r="C1355">
        <v>2546</v>
      </c>
      <c r="D1355">
        <v>1</v>
      </c>
      <c r="E1355">
        <v>1111</v>
      </c>
      <c r="F1355" s="70">
        <v>44524</v>
      </c>
      <c r="G1355">
        <f>IFERROR(IF((F1355-F1354)&gt;1,(LARGE(F1355:$F1355,1)-LARGE(F$1354:$F1355,2))-1,""),"")</f>
        <v>1</v>
      </c>
    </row>
    <row r="1356" spans="1:7">
      <c r="A1356" s="78">
        <f>MAX(0,(CurrentDate-2)-F1367)</f>
        <v>1</v>
      </c>
      <c r="B1356">
        <v>2547</v>
      </c>
      <c r="C1356">
        <v>2547</v>
      </c>
      <c r="D1356">
        <v>1</v>
      </c>
      <c r="E1356">
        <v>2400</v>
      </c>
      <c r="F1356" s="70">
        <v>44531</v>
      </c>
      <c r="G1356">
        <f>IFERROR(IF((F1356-F1355)&gt;1,(LARGE(F1356:$F1356,1)-LARGE(F$1354:$F1356,2))-1,""),"")</f>
        <v>6</v>
      </c>
    </row>
    <row r="1357" spans="1:7">
      <c r="A1357" s="79" t="s">
        <v>44026</v>
      </c>
      <c r="B1357">
        <v>2546</v>
      </c>
      <c r="C1357">
        <v>2546</v>
      </c>
      <c r="D1357">
        <v>1</v>
      </c>
      <c r="E1357">
        <v>480</v>
      </c>
      <c r="F1357" s="70">
        <v>44534</v>
      </c>
      <c r="G1357">
        <f>IFERROR(IF((F1357-F1356)&gt;1,(LARGE(F1357:$F1357,1)-LARGE(F$1354:$F1357,2))-1,""),"")</f>
        <v>2</v>
      </c>
    </row>
    <row r="1358" spans="1:7">
      <c r="A1358" s="83">
        <f>SUM(G1361:G1367)</f>
        <v>0</v>
      </c>
      <c r="B1358">
        <v>2535</v>
      </c>
      <c r="C1358">
        <v>2535</v>
      </c>
      <c r="D1358">
        <v>1</v>
      </c>
      <c r="E1358">
        <v>5000</v>
      </c>
      <c r="F1358" s="70">
        <v>44536</v>
      </c>
      <c r="G1358">
        <f>IFERROR(IF((F1358-F1357)&gt;1,(LARGE(F1358:$F1358,1)-LARGE(F$1354:$F1358,2))-1,""),"")</f>
        <v>1</v>
      </c>
    </row>
    <row r="1359" spans="1:7">
      <c r="A1359" s="79" t="s">
        <v>44029</v>
      </c>
      <c r="B1359">
        <v>2528</v>
      </c>
      <c r="C1359">
        <v>2528</v>
      </c>
      <c r="D1359">
        <v>2</v>
      </c>
      <c r="E1359">
        <v>500</v>
      </c>
      <c r="F1359" s="70">
        <v>44545</v>
      </c>
      <c r="G1359">
        <f>IFERROR(IF((F1359-F1358)&gt;1,(LARGE(F1359:$F1359,1)-LARGE(F$1354:$F1359,2))-1,""),"")</f>
        <v>8</v>
      </c>
    </row>
    <row r="1360" spans="1:7">
      <c r="A1360" s="77">
        <f>(SUM(E1354:E1367)/(A1356+14)+SUM(G1354:G1367))</f>
        <v>5332.4</v>
      </c>
      <c r="B1360">
        <v>2766</v>
      </c>
      <c r="C1360">
        <v>2766</v>
      </c>
      <c r="D1360">
        <v>3</v>
      </c>
      <c r="E1360">
        <v>4188</v>
      </c>
      <c r="F1360" s="70">
        <v>44547</v>
      </c>
      <c r="G1360">
        <f>IFERROR(IF((F1360-F1359)&gt;1,(LARGE(F1360:$F1360,1)-LARGE(F$1354:$F1360,2))-1,""),"")</f>
        <v>1</v>
      </c>
    </row>
    <row r="1361" spans="1:7">
      <c r="A1361" s="77">
        <f>(SUM(E1361:E1367)/(A1356+7)+SUM(G1361:G1367))</f>
        <v>8002.75</v>
      </c>
      <c r="B1361">
        <v>2766</v>
      </c>
      <c r="C1361">
        <v>2766</v>
      </c>
      <c r="D1361">
        <v>8</v>
      </c>
      <c r="E1361">
        <v>12516</v>
      </c>
      <c r="F1361" s="70">
        <v>44548</v>
      </c>
      <c r="G1361" t="str">
        <f>IFERROR(IF((F1361-F1360)&gt;1,(LARGE(F1361:$F1361,1)-LARGE(F$1354:$F1361,2))-1,""),"")</f>
        <v/>
      </c>
    </row>
    <row r="1362" spans="1:7">
      <c r="A1362" s="79" t="s">
        <v>44028</v>
      </c>
      <c r="B1362">
        <v>2766</v>
      </c>
      <c r="C1362">
        <v>2766</v>
      </c>
      <c r="D1362">
        <v>8</v>
      </c>
      <c r="E1362">
        <v>28600</v>
      </c>
      <c r="F1362" s="70">
        <v>44549</v>
      </c>
      <c r="G1362" t="str">
        <f>IFERROR(IF((F1362-F1361)&gt;1,(LARGE(F1362:$F1362,1)-LARGE(F$1354:$F1362,2))-1,""),"")</f>
        <v/>
      </c>
    </row>
    <row r="1363" spans="1:7">
      <c r="A1363" s="77">
        <f>(SUM(D1364:D1367)/(A1356+4)+SUM(G1364:G1367))</f>
        <v>1.6</v>
      </c>
      <c r="B1363">
        <v>2766</v>
      </c>
      <c r="C1363">
        <v>2766</v>
      </c>
      <c r="D1363">
        <v>4</v>
      </c>
      <c r="E1363">
        <v>8000</v>
      </c>
      <c r="F1363" s="70">
        <v>44550</v>
      </c>
      <c r="G1363" t="str">
        <f>IFERROR(IF((F1363-F1362)&gt;1,(LARGE(F1363:$F1363,1)-LARGE(F$1354:$F1363,2))-1,""),"")</f>
        <v/>
      </c>
    </row>
    <row r="1364" spans="1:7">
      <c r="A1364" s="85" t="s">
        <v>44027</v>
      </c>
      <c r="B1364">
        <v>2766</v>
      </c>
      <c r="C1364">
        <v>2766</v>
      </c>
      <c r="D1364">
        <v>1</v>
      </c>
      <c r="E1364">
        <v>1406</v>
      </c>
      <c r="F1364" s="70">
        <v>44551</v>
      </c>
      <c r="G1364" t="str">
        <f>IFERROR(IF((F1364-F1363)&gt;1,(LARGE(F1364:$F1364,1)-LARGE(F$1354:$F1364,2))-1,""),"")</f>
        <v/>
      </c>
    </row>
    <row r="1365" spans="1:7">
      <c r="A1365" s="86">
        <f>IF(A1358+A1356&gt;10,"Look Up",AVERAGE(A1360,A1361))</f>
        <v>6667.5749999999998</v>
      </c>
      <c r="B1365">
        <v>2766</v>
      </c>
      <c r="C1365">
        <v>2766</v>
      </c>
      <c r="D1365">
        <v>3</v>
      </c>
      <c r="E1365">
        <v>6900</v>
      </c>
      <c r="F1365" s="70">
        <v>44552</v>
      </c>
      <c r="G1365" t="str">
        <f>IFERROR(IF((F1365-F1364)&gt;1,(LARGE(F1365:$F1365,1)-LARGE(F$1354:$F1365,2))-1,""),"")</f>
        <v/>
      </c>
    </row>
    <row r="1366" spans="1:7">
      <c r="A1366" s="85" t="s">
        <v>44030</v>
      </c>
      <c r="B1366">
        <v>2766</v>
      </c>
      <c r="C1366">
        <v>2766</v>
      </c>
      <c r="D1366">
        <v>3</v>
      </c>
      <c r="E1366">
        <v>4200</v>
      </c>
      <c r="F1366" s="70">
        <v>44553</v>
      </c>
      <c r="G1366" t="str">
        <f>IFERROR(IF((F1366-F1365)&gt;1,(LARGE(F1366:$F1366,1)-LARGE(F$1354:$F1366,2))-1,""),"")</f>
        <v/>
      </c>
    </row>
    <row r="1367" spans="1:7">
      <c r="A1367" s="88"/>
      <c r="B1367">
        <v>2766</v>
      </c>
      <c r="C1367">
        <v>2766</v>
      </c>
      <c r="D1367">
        <v>1</v>
      </c>
      <c r="E1367">
        <v>2400</v>
      </c>
      <c r="F1367" s="70">
        <v>44554</v>
      </c>
      <c r="G1367" t="str">
        <f>IFERROR(IF((F1367-F1366)&gt;1,(LARGE(F1367:$F1367,1)-LARGE(F$1354:$F1367,2))-1,""),"")</f>
        <v/>
      </c>
    </row>
    <row r="1368" spans="1:7">
      <c r="A1368" s="65">
        <f>VLOOKUP(TradeSheet!A93,TypeIDs!B:C,2,FALSE)</f>
        <v>56748</v>
      </c>
      <c r="B1368" t="s">
        <v>43998</v>
      </c>
      <c r="C1368" t="s">
        <v>43999</v>
      </c>
      <c r="D1368" t="s">
        <v>44000</v>
      </c>
      <c r="E1368" t="s">
        <v>44001</v>
      </c>
      <c r="F1368" t="s">
        <v>44009</v>
      </c>
      <c r="G1368" t="s">
        <v>44008</v>
      </c>
    </row>
    <row r="1369" spans="1:7">
      <c r="A1369" s="65" t="str">
        <f>CONCATENATE(SwaggerURL,input092)</f>
        <v>https://esi.evetech.net/latest/markets/10000021/history/?datasource=tranquility&amp;type_id=56748</v>
      </c>
      <c r="B1369">
        <v>183000</v>
      </c>
      <c r="C1369">
        <v>183000</v>
      </c>
      <c r="D1369">
        <v>1</v>
      </c>
      <c r="E1369">
        <v>5</v>
      </c>
      <c r="F1369" s="70">
        <v>44520</v>
      </c>
      <c r="G1369" t="str">
        <f>IFERROR(IF((F1369-F1368)&gt;1,(LARGE(F1369:$F1369,1)-LARGE(F$1369:$F1369,2))-1,""),"")</f>
        <v/>
      </c>
    </row>
    <row r="1370" spans="1:7">
      <c r="A1370" s="79" t="s">
        <v>44018</v>
      </c>
      <c r="B1370">
        <v>180000</v>
      </c>
      <c r="C1370">
        <v>180000</v>
      </c>
      <c r="D1370">
        <v>1</v>
      </c>
      <c r="E1370">
        <v>10</v>
      </c>
      <c r="F1370" s="70">
        <v>44523</v>
      </c>
      <c r="G1370">
        <f>IFERROR(IF((F1370-F1369)&gt;1,(LARGE(F1370:$F1370,1)-LARGE(F$1369:$F1370,2))-1,""),"")</f>
        <v>2</v>
      </c>
    </row>
    <row r="1371" spans="1:7">
      <c r="A1371" s="78">
        <f>MAX(0,(CurrentDate-2)-F1382)</f>
        <v>4</v>
      </c>
      <c r="B1371">
        <v>180000</v>
      </c>
      <c r="C1371">
        <v>180000</v>
      </c>
      <c r="D1371">
        <v>1</v>
      </c>
      <c r="E1371">
        <v>1</v>
      </c>
      <c r="F1371" s="70">
        <v>44524</v>
      </c>
      <c r="G1371" t="str">
        <f>IFERROR(IF((F1371-F1370)&gt;1,(LARGE(F1371:$F1371,1)-LARGE(F$1369:$F1371,2))-1,""),"")</f>
        <v/>
      </c>
    </row>
    <row r="1372" spans="1:7">
      <c r="A1372" s="79" t="s">
        <v>44026</v>
      </c>
      <c r="B1372">
        <v>175000</v>
      </c>
      <c r="C1372">
        <v>175000</v>
      </c>
      <c r="D1372">
        <v>2</v>
      </c>
      <c r="E1372">
        <v>22</v>
      </c>
      <c r="F1372" s="70">
        <v>44528</v>
      </c>
      <c r="G1372">
        <f>IFERROR(IF((F1372-F1371)&gt;1,(LARGE(F1372:$F1372,1)-LARGE(F$1369:$F1372,2))-1,""),"")</f>
        <v>3</v>
      </c>
    </row>
    <row r="1373" spans="1:7">
      <c r="A1373" s="83">
        <f>SUM(G1376:G1382)</f>
        <v>5</v>
      </c>
      <c r="B1373">
        <v>173960</v>
      </c>
      <c r="C1373">
        <v>173900</v>
      </c>
      <c r="D1373">
        <v>2</v>
      </c>
      <c r="E1373">
        <v>25</v>
      </c>
      <c r="F1373" s="70">
        <v>44532</v>
      </c>
      <c r="G1373">
        <f>IFERROR(IF((F1373-F1372)&gt;1,(LARGE(F1373:$F1373,1)-LARGE(F$1369:$F1373,2))-1,""),"")</f>
        <v>3</v>
      </c>
    </row>
    <row r="1374" spans="1:7">
      <c r="A1374" s="79" t="s">
        <v>44029</v>
      </c>
      <c r="B1374">
        <v>159900</v>
      </c>
      <c r="C1374">
        <v>159900</v>
      </c>
      <c r="D1374">
        <v>2</v>
      </c>
      <c r="E1374">
        <v>25</v>
      </c>
      <c r="F1374" s="70">
        <v>44538</v>
      </c>
      <c r="G1374">
        <f>IFERROR(IF((F1374-F1373)&gt;1,(LARGE(F1374:$F1374,1)-LARGE(F$1369:$F1374,2))-1,""),"")</f>
        <v>5</v>
      </c>
    </row>
    <row r="1375" spans="1:7">
      <c r="A1375" s="77">
        <f>(SUM(E1369:E1382)/(A1371+14)+SUM(G1369:G1382))</f>
        <v>51.666666666666664</v>
      </c>
      <c r="B1375">
        <v>158942.85999999999</v>
      </c>
      <c r="C1375">
        <v>158900</v>
      </c>
      <c r="D1375">
        <v>2</v>
      </c>
      <c r="E1375">
        <v>35</v>
      </c>
      <c r="F1375" s="70">
        <v>44539</v>
      </c>
      <c r="G1375" t="str">
        <f>IFERROR(IF((F1375-F1374)&gt;1,(LARGE(F1375:$F1375,1)-LARGE(F$1369:$F1375,2))-1,""),"")</f>
        <v/>
      </c>
    </row>
    <row r="1376" spans="1:7">
      <c r="A1376" s="77">
        <f>(SUM(E1376:E1382)/(A1371+7)+SUM(G1376:G1382))</f>
        <v>48.909090909090907</v>
      </c>
      <c r="B1376">
        <v>150000</v>
      </c>
      <c r="C1376">
        <v>150000</v>
      </c>
      <c r="D1376">
        <v>1</v>
      </c>
      <c r="E1376">
        <v>10</v>
      </c>
      <c r="F1376" s="70">
        <v>44543</v>
      </c>
      <c r="G1376">
        <f>IFERROR(IF((F1376-F1375)&gt;1,(LARGE(F1376:$F1376,1)-LARGE(F$1369:$F1376,2))-1,""),"")</f>
        <v>3</v>
      </c>
    </row>
    <row r="1377" spans="1:7">
      <c r="A1377" s="79" t="s">
        <v>44028</v>
      </c>
      <c r="B1377">
        <v>149757.14000000001</v>
      </c>
      <c r="C1377">
        <v>145000</v>
      </c>
      <c r="D1377">
        <v>4</v>
      </c>
      <c r="E1377">
        <v>70</v>
      </c>
      <c r="F1377" s="70">
        <v>44545</v>
      </c>
      <c r="G1377">
        <f>IFERROR(IF((F1377-F1376)&gt;1,(LARGE(F1377:$F1377,1)-LARGE(F$1369:$F1377,2))-1,""),"")</f>
        <v>1</v>
      </c>
    </row>
    <row r="1378" spans="1:7">
      <c r="A1378" s="77">
        <f>(SUM(D1379:D1382)/(A1371+4)+SUM(G1379:G1382))</f>
        <v>2.625</v>
      </c>
      <c r="B1378">
        <v>168700</v>
      </c>
      <c r="C1378">
        <v>168700</v>
      </c>
      <c r="D1378">
        <v>9</v>
      </c>
      <c r="E1378">
        <v>135</v>
      </c>
      <c r="F1378" s="70">
        <v>44546</v>
      </c>
      <c r="G1378" t="str">
        <f>IFERROR(IF((F1378-F1377)&gt;1,(LARGE(F1378:$F1378,1)-LARGE(F$1369:$F1378,2))-1,""),"")</f>
        <v/>
      </c>
    </row>
    <row r="1379" spans="1:7">
      <c r="A1379" s="85" t="s">
        <v>44027</v>
      </c>
      <c r="B1379">
        <v>168700</v>
      </c>
      <c r="C1379">
        <v>168700</v>
      </c>
      <c r="D1379">
        <v>1</v>
      </c>
      <c r="E1379">
        <v>30</v>
      </c>
      <c r="F1379" s="70">
        <v>44547</v>
      </c>
      <c r="G1379" t="str">
        <f>IFERROR(IF((F1379-F1378)&gt;1,(LARGE(F1379:$F1379,1)-LARGE(F$1369:$F1379,2))-1,""),"")</f>
        <v/>
      </c>
    </row>
    <row r="1380" spans="1:7">
      <c r="A1380" s="86">
        <f>IF(A1373+A1371&gt;10,"Look Up",AVERAGE(A1375,A1376))</f>
        <v>50.287878787878782</v>
      </c>
      <c r="B1380">
        <v>168700</v>
      </c>
      <c r="C1380">
        <v>168700</v>
      </c>
      <c r="D1380">
        <v>7</v>
      </c>
      <c r="E1380">
        <v>165</v>
      </c>
      <c r="F1380" s="70">
        <v>44548</v>
      </c>
      <c r="G1380" t="str">
        <f>IFERROR(IF((F1380-F1379)&gt;1,(LARGE(F1380:$F1380,1)-LARGE(F$1369:$F1380,2))-1,""),"")</f>
        <v/>
      </c>
    </row>
    <row r="1381" spans="1:7">
      <c r="A1381" s="85" t="s">
        <v>44030</v>
      </c>
      <c r="B1381">
        <v>168525</v>
      </c>
      <c r="C1381">
        <v>168000</v>
      </c>
      <c r="D1381">
        <v>3</v>
      </c>
      <c r="E1381">
        <v>60</v>
      </c>
      <c r="F1381" s="70">
        <v>44549</v>
      </c>
      <c r="G1381" t="str">
        <f>IFERROR(IF((F1381-F1380)&gt;1,(LARGE(F1381:$F1381,1)-LARGE(F$1369:$F1381,2))-1,""),"")</f>
        <v/>
      </c>
    </row>
    <row r="1382" spans="1:7">
      <c r="A1382" s="88"/>
      <c r="B1382">
        <v>168700</v>
      </c>
      <c r="C1382">
        <v>168700</v>
      </c>
      <c r="D1382">
        <v>2</v>
      </c>
      <c r="E1382">
        <v>13</v>
      </c>
      <c r="F1382" s="70">
        <v>44551</v>
      </c>
      <c r="G1382">
        <f>IFERROR(IF((F1382-F1381)&gt;1,(LARGE(F1382:$F1382,1)-LARGE(F$1369:$F1382,2))-1,""),"")</f>
        <v>1</v>
      </c>
    </row>
    <row r="1383" spans="1:7">
      <c r="A1383" s="65">
        <f>VLOOKUP(TradeSheet!A94,TypeIDs!B:C,2,FALSE)</f>
        <v>22778</v>
      </c>
      <c r="B1383" t="s">
        <v>43998</v>
      </c>
      <c r="C1383" t="s">
        <v>43999</v>
      </c>
      <c r="D1383" t="s">
        <v>44000</v>
      </c>
      <c r="E1383" t="s">
        <v>44001</v>
      </c>
      <c r="F1383" t="s">
        <v>44009</v>
      </c>
      <c r="G1383" t="s">
        <v>44008</v>
      </c>
    </row>
    <row r="1384" spans="1:7">
      <c r="A1384" s="65" t="str">
        <f>CONCATENATE(SwaggerURL,input093)</f>
        <v>https://esi.evetech.net/latest/markets/10000021/history/?datasource=tranquility&amp;type_id=22778</v>
      </c>
      <c r="B1384">
        <v>69420</v>
      </c>
      <c r="C1384">
        <v>69420</v>
      </c>
      <c r="D1384">
        <v>4</v>
      </c>
      <c r="E1384">
        <v>103</v>
      </c>
      <c r="F1384" s="70">
        <v>44538</v>
      </c>
      <c r="G1384" t="str">
        <f>IFERROR(IF((F1384-F1383)&gt;1,(LARGE(F1384:$F1384,1)-LARGE(F$1384:$F1384,2))-1,""),"")</f>
        <v/>
      </c>
    </row>
    <row r="1385" spans="1:7">
      <c r="A1385" s="79" t="s">
        <v>44018</v>
      </c>
      <c r="B1385">
        <v>69000</v>
      </c>
      <c r="C1385">
        <v>69000</v>
      </c>
      <c r="D1385">
        <v>4</v>
      </c>
      <c r="E1385">
        <v>129</v>
      </c>
      <c r="F1385" s="70">
        <v>44539</v>
      </c>
      <c r="G1385" t="str">
        <f>IFERROR(IF((F1385-F1384)&gt;1,(LARGE(F1385:$F1385,1)-LARGE(F$1384:$F1385,2))-1,""),"")</f>
        <v/>
      </c>
    </row>
    <row r="1386" spans="1:7">
      <c r="A1386" s="78">
        <f>MAX(0,(CurrentDate-2)-F1397)</f>
        <v>2</v>
      </c>
      <c r="B1386">
        <v>69420</v>
      </c>
      <c r="C1386">
        <v>69420</v>
      </c>
      <c r="D1386">
        <v>6</v>
      </c>
      <c r="E1386">
        <v>155</v>
      </c>
      <c r="F1386" s="70">
        <v>44542</v>
      </c>
      <c r="G1386">
        <f>IFERROR(IF((F1386-F1385)&gt;1,(LARGE(F1386:$F1386,1)-LARGE(F$1384:$F1386,2))-1,""),"")</f>
        <v>2</v>
      </c>
    </row>
    <row r="1387" spans="1:7">
      <c r="A1387" s="79" t="s">
        <v>44026</v>
      </c>
      <c r="B1387">
        <v>69420</v>
      </c>
      <c r="C1387">
        <v>69420</v>
      </c>
      <c r="D1387">
        <v>6</v>
      </c>
      <c r="E1387">
        <v>306</v>
      </c>
      <c r="F1387" s="70">
        <v>44543</v>
      </c>
      <c r="G1387" t="str">
        <f>IFERROR(IF((F1387-F1386)&gt;1,(LARGE(F1387:$F1387,1)-LARGE(F$1384:$F1387,2))-1,""),"")</f>
        <v/>
      </c>
    </row>
    <row r="1388" spans="1:7">
      <c r="A1388" s="83">
        <f>SUM(G1391:G1397)</f>
        <v>0</v>
      </c>
      <c r="B1388">
        <v>500</v>
      </c>
      <c r="C1388">
        <v>500</v>
      </c>
      <c r="D1388">
        <v>1</v>
      </c>
      <c r="E1388">
        <v>3</v>
      </c>
      <c r="F1388" s="70">
        <v>44544</v>
      </c>
      <c r="G1388" t="str">
        <f>IFERROR(IF((F1388-F1387)&gt;1,(LARGE(F1388:$F1388,1)-LARGE(F$1384:$F1388,2))-1,""),"")</f>
        <v/>
      </c>
    </row>
    <row r="1389" spans="1:7">
      <c r="A1389" s="79" t="s">
        <v>44029</v>
      </c>
      <c r="B1389">
        <v>69358.649999999994</v>
      </c>
      <c r="C1389">
        <v>69000</v>
      </c>
      <c r="D1389">
        <v>5</v>
      </c>
      <c r="E1389">
        <v>89</v>
      </c>
      <c r="F1389" s="70">
        <v>44545</v>
      </c>
      <c r="G1389" t="str">
        <f>IFERROR(IF((F1389-F1388)&gt;1,(LARGE(F1389:$F1389,1)-LARGE(F$1384:$F1389,2))-1,""),"")</f>
        <v/>
      </c>
    </row>
    <row r="1390" spans="1:7">
      <c r="A1390" s="77">
        <f>(SUM(E1384:E1397)/(A1386+14)+SUM(G1384:G1397))</f>
        <v>159.4375</v>
      </c>
      <c r="B1390">
        <v>69420</v>
      </c>
      <c r="C1390">
        <v>69420</v>
      </c>
      <c r="D1390">
        <v>10</v>
      </c>
      <c r="E1390">
        <v>313</v>
      </c>
      <c r="F1390" s="70">
        <v>44546</v>
      </c>
      <c r="G1390" t="str">
        <f>IFERROR(IF((F1390-F1389)&gt;1,(LARGE(F1390:$F1390,1)-LARGE(F$1384:$F1390,2))-1,""),"")</f>
        <v/>
      </c>
    </row>
    <row r="1391" spans="1:7">
      <c r="A1391" s="77">
        <f>(SUM(E1391:E1397)/(A1386+7)+SUM(G1391:G1397))</f>
        <v>157.88888888888889</v>
      </c>
      <c r="B1391">
        <v>68000</v>
      </c>
      <c r="C1391">
        <v>68000</v>
      </c>
      <c r="D1391">
        <v>4</v>
      </c>
      <c r="E1391">
        <v>193</v>
      </c>
      <c r="F1391" s="70">
        <v>44547</v>
      </c>
      <c r="G1391" t="str">
        <f>IFERROR(IF((F1391-F1390)&gt;1,(LARGE(F1391:$F1391,1)-LARGE(F$1384:$F1391,2))-1,""),"")</f>
        <v/>
      </c>
    </row>
    <row r="1392" spans="1:7">
      <c r="A1392" s="79" t="s">
        <v>44028</v>
      </c>
      <c r="B1392">
        <v>69420</v>
      </c>
      <c r="C1392">
        <v>69420</v>
      </c>
      <c r="D1392">
        <v>9</v>
      </c>
      <c r="E1392">
        <v>314</v>
      </c>
      <c r="F1392" s="70">
        <v>44548</v>
      </c>
      <c r="G1392" t="str">
        <f>IFERROR(IF((F1392-F1391)&gt;1,(LARGE(F1392:$F1392,1)-LARGE(F$1384:$F1392,2))-1,""),"")</f>
        <v/>
      </c>
    </row>
    <row r="1393" spans="1:7">
      <c r="A1393" s="77">
        <f>(SUM(D1394:D1397)/(A1386+4)+SUM(G1394:G1397))</f>
        <v>1.8333333333333333</v>
      </c>
      <c r="B1393">
        <v>69420</v>
      </c>
      <c r="C1393">
        <v>69420</v>
      </c>
      <c r="D1393">
        <v>3</v>
      </c>
      <c r="E1393">
        <v>220</v>
      </c>
      <c r="F1393" s="70">
        <v>44549</v>
      </c>
      <c r="G1393" t="str">
        <f>IFERROR(IF((F1393-F1392)&gt;1,(LARGE(F1393:$F1393,1)-LARGE(F$1384:$F1393,2))-1,""),"")</f>
        <v/>
      </c>
    </row>
    <row r="1394" spans="1:7">
      <c r="A1394" s="85" t="s">
        <v>44027</v>
      </c>
      <c r="B1394">
        <v>69420</v>
      </c>
      <c r="C1394">
        <v>69420</v>
      </c>
      <c r="D1394">
        <v>1</v>
      </c>
      <c r="E1394">
        <v>60</v>
      </c>
      <c r="F1394" s="70">
        <v>44550</v>
      </c>
      <c r="G1394" t="str">
        <f>IFERROR(IF((F1394-F1393)&gt;1,(LARGE(F1394:$F1394,1)-LARGE(F$1384:$F1394,2))-1,""),"")</f>
        <v/>
      </c>
    </row>
    <row r="1395" spans="1:7">
      <c r="A1395" s="86">
        <f>IF(A1388+A1386&gt;10,"Look Up",AVERAGE(A1390,A1391))</f>
        <v>158.66319444444446</v>
      </c>
      <c r="B1395">
        <v>69420</v>
      </c>
      <c r="C1395">
        <v>69420</v>
      </c>
      <c r="D1395">
        <v>6</v>
      </c>
      <c r="E1395">
        <v>475</v>
      </c>
      <c r="F1395" s="70">
        <v>44551</v>
      </c>
      <c r="G1395" t="str">
        <f>IFERROR(IF((F1395-F1394)&gt;1,(LARGE(F1395:$F1395,1)-LARGE(F$1384:$F1395,2))-1,""),"")</f>
        <v/>
      </c>
    </row>
    <row r="1396" spans="1:7">
      <c r="A1396" s="85" t="s">
        <v>44030</v>
      </c>
      <c r="B1396">
        <v>69420</v>
      </c>
      <c r="C1396">
        <v>69420</v>
      </c>
      <c r="D1396">
        <v>1</v>
      </c>
      <c r="E1396">
        <v>25</v>
      </c>
      <c r="F1396" s="70">
        <v>44552</v>
      </c>
      <c r="G1396" t="str">
        <f>IFERROR(IF((F1396-F1395)&gt;1,(LARGE(F1396:$F1396,1)-LARGE(F$1384:$F1396,2))-1,""),"")</f>
        <v/>
      </c>
    </row>
    <row r="1397" spans="1:7">
      <c r="A1397" s="88"/>
      <c r="B1397">
        <v>69390</v>
      </c>
      <c r="C1397">
        <v>69390</v>
      </c>
      <c r="D1397">
        <v>3</v>
      </c>
      <c r="E1397">
        <v>134</v>
      </c>
      <c r="F1397" s="70">
        <v>44553</v>
      </c>
      <c r="G1397" t="str">
        <f>IFERROR(IF((F1397-F1396)&gt;1,(LARGE(F1397:$F1397,1)-LARGE(F$1384:$F1397,2))-1,""),"")</f>
        <v/>
      </c>
    </row>
    <row r="1398" spans="1:7">
      <c r="A1398" s="65">
        <f>VLOOKUP(TradeSheet!A95,TypeIDs!B:C,2,FALSE)</f>
        <v>30028</v>
      </c>
      <c r="B1398" t="s">
        <v>43998</v>
      </c>
      <c r="C1398" t="s">
        <v>43999</v>
      </c>
      <c r="D1398" t="s">
        <v>44000</v>
      </c>
      <c r="E1398" t="s">
        <v>44001</v>
      </c>
      <c r="F1398" t="s">
        <v>44009</v>
      </c>
      <c r="G1398" t="s">
        <v>44008</v>
      </c>
    </row>
    <row r="1399" spans="1:7">
      <c r="A1399" s="65" t="str">
        <f>CONCATENATE(SwaggerURL,input094)</f>
        <v>https://esi.evetech.net/latest/markets/10000021/history/?datasource=tranquility&amp;type_id=30028</v>
      </c>
      <c r="B1399">
        <v>74940</v>
      </c>
      <c r="C1399">
        <v>74940</v>
      </c>
      <c r="D1399">
        <v>1</v>
      </c>
      <c r="E1399">
        <v>16</v>
      </c>
      <c r="F1399" s="70">
        <v>44532</v>
      </c>
      <c r="G1399" t="str">
        <f>IFERROR(IF((F1399-F1398)&gt;1,(LARGE(F1399:$F1399,1)-LARGE(F$1399:$F1399,2))-1,""),"")</f>
        <v/>
      </c>
    </row>
    <row r="1400" spans="1:7">
      <c r="A1400" s="79" t="s">
        <v>44018</v>
      </c>
      <c r="B1400">
        <v>74940</v>
      </c>
      <c r="C1400">
        <v>74940</v>
      </c>
      <c r="D1400">
        <v>1</v>
      </c>
      <c r="E1400">
        <v>16</v>
      </c>
      <c r="F1400" s="70">
        <v>44533</v>
      </c>
      <c r="G1400" t="str">
        <f>IFERROR(IF((F1400-F1399)&gt;1,(LARGE(F1400:$F1400,1)-LARGE(F$1399:$F1400,2))-1,""),"")</f>
        <v/>
      </c>
    </row>
    <row r="1401" spans="1:7">
      <c r="A1401" s="78">
        <f>MAX(0,(CurrentDate-2)-F1412)</f>
        <v>3</v>
      </c>
      <c r="B1401">
        <v>74900</v>
      </c>
      <c r="C1401">
        <v>74900</v>
      </c>
      <c r="D1401">
        <v>1</v>
      </c>
      <c r="E1401">
        <v>8</v>
      </c>
      <c r="F1401" s="70">
        <v>44534</v>
      </c>
      <c r="G1401" t="str">
        <f>IFERROR(IF((F1401-F1400)&gt;1,(LARGE(F1401:$F1401,1)-LARGE(F$1399:$F1401,2))-1,""),"")</f>
        <v/>
      </c>
    </row>
    <row r="1402" spans="1:7">
      <c r="A1402" s="79" t="s">
        <v>44026</v>
      </c>
      <c r="B1402">
        <v>74900</v>
      </c>
      <c r="C1402">
        <v>74900</v>
      </c>
      <c r="D1402">
        <v>2</v>
      </c>
      <c r="E1402">
        <v>32</v>
      </c>
      <c r="F1402" s="70">
        <v>44535</v>
      </c>
      <c r="G1402" t="str">
        <f>IFERROR(IF((F1402-F1401)&gt;1,(LARGE(F1402:$F1402,1)-LARGE(F$1399:$F1402,2))-1,""),"")</f>
        <v/>
      </c>
    </row>
    <row r="1403" spans="1:7">
      <c r="A1403" s="83">
        <f>SUM(G1406:G1412)</f>
        <v>3</v>
      </c>
      <c r="B1403">
        <v>72490</v>
      </c>
      <c r="C1403">
        <v>72490</v>
      </c>
      <c r="D1403">
        <v>1</v>
      </c>
      <c r="E1403">
        <v>16</v>
      </c>
      <c r="F1403" s="70">
        <v>44538</v>
      </c>
      <c r="G1403">
        <f>IFERROR(IF((F1403-F1402)&gt;1,(LARGE(F1403:$F1403,1)-LARGE(F$1399:$F1403,2))-1,""),"")</f>
        <v>2</v>
      </c>
    </row>
    <row r="1404" spans="1:7">
      <c r="A1404" s="79" t="s">
        <v>44029</v>
      </c>
      <c r="B1404">
        <v>70490</v>
      </c>
      <c r="C1404">
        <v>70490</v>
      </c>
      <c r="D1404">
        <v>1</v>
      </c>
      <c r="E1404">
        <v>8</v>
      </c>
      <c r="F1404" s="70">
        <v>44541</v>
      </c>
      <c r="G1404">
        <f>IFERROR(IF((F1404-F1403)&gt;1,(LARGE(F1404:$F1404,1)-LARGE(F$1399:$F1404,2))-1,""),"")</f>
        <v>2</v>
      </c>
    </row>
    <row r="1405" spans="1:7">
      <c r="A1405" s="77">
        <f>(SUM(E1399:E1412)/(A1401+14)+SUM(G1399:G1412))</f>
        <v>20.647058823529413</v>
      </c>
      <c r="B1405">
        <v>70000</v>
      </c>
      <c r="C1405">
        <v>70000</v>
      </c>
      <c r="D1405">
        <v>1</v>
      </c>
      <c r="E1405">
        <v>16</v>
      </c>
      <c r="F1405" s="70">
        <v>44542</v>
      </c>
      <c r="G1405" t="str">
        <f>IFERROR(IF((F1405-F1404)&gt;1,(LARGE(F1405:$F1405,1)-LARGE(F$1399:$F1405,2))-1,""),"")</f>
        <v/>
      </c>
    </row>
    <row r="1406" spans="1:7">
      <c r="A1406" s="77">
        <f>(SUM(E1406:E1412)/(A1401+7)+SUM(G1406:G1412))</f>
        <v>15</v>
      </c>
      <c r="B1406">
        <v>69970</v>
      </c>
      <c r="C1406">
        <v>69950</v>
      </c>
      <c r="D1406">
        <v>3</v>
      </c>
      <c r="E1406">
        <v>32</v>
      </c>
      <c r="F1406" s="70">
        <v>44544</v>
      </c>
      <c r="G1406">
        <f>IFERROR(IF((F1406-F1405)&gt;1,(LARGE(F1406:$F1406,1)-LARGE(F$1399:$F1406,2))-1,""),"")</f>
        <v>1</v>
      </c>
    </row>
    <row r="1407" spans="1:7">
      <c r="A1407" s="79" t="s">
        <v>44028</v>
      </c>
      <c r="B1407">
        <v>69500</v>
      </c>
      <c r="C1407">
        <v>69500</v>
      </c>
      <c r="D1407">
        <v>1</v>
      </c>
      <c r="E1407">
        <v>8</v>
      </c>
      <c r="F1407" s="70">
        <v>44545</v>
      </c>
      <c r="G1407" t="str">
        <f>IFERROR(IF((F1407-F1406)&gt;1,(LARGE(F1407:$F1407,1)-LARGE(F$1399:$F1407,2))-1,""),"")</f>
        <v/>
      </c>
    </row>
    <row r="1408" spans="1:7">
      <c r="A1408" s="77">
        <f>(SUM(D1409:D1412)/(A1401+4)+SUM(G1409:G1412))</f>
        <v>3</v>
      </c>
      <c r="B1408">
        <v>72510</v>
      </c>
      <c r="C1408">
        <v>72510</v>
      </c>
      <c r="D1408">
        <v>1</v>
      </c>
      <c r="E1408">
        <v>8</v>
      </c>
      <c r="F1408" s="70">
        <v>44546</v>
      </c>
      <c r="G1408" t="str">
        <f>IFERROR(IF((F1408-F1407)&gt;1,(LARGE(F1408:$F1408,1)-LARGE(F$1399:$F1408,2))-1,""),"")</f>
        <v/>
      </c>
    </row>
    <row r="1409" spans="1:7">
      <c r="A1409" s="85" t="s">
        <v>44027</v>
      </c>
      <c r="B1409">
        <v>69500</v>
      </c>
      <c r="C1409">
        <v>69500</v>
      </c>
      <c r="D1409">
        <v>1</v>
      </c>
      <c r="E1409">
        <v>16</v>
      </c>
      <c r="F1409" s="70">
        <v>44547</v>
      </c>
      <c r="G1409" t="str">
        <f>IFERROR(IF((F1409-F1408)&gt;1,(LARGE(F1409:$F1409,1)-LARGE(F$1399:$F1409,2))-1,""),"")</f>
        <v/>
      </c>
    </row>
    <row r="1410" spans="1:7">
      <c r="A1410" s="86">
        <f>IF(A1403+A1401&gt;10,"Look Up",AVERAGE(A1405,A1406))</f>
        <v>17.823529411764707</v>
      </c>
      <c r="B1410">
        <v>69500</v>
      </c>
      <c r="C1410">
        <v>69500</v>
      </c>
      <c r="D1410">
        <v>1</v>
      </c>
      <c r="E1410">
        <v>16</v>
      </c>
      <c r="F1410" s="70">
        <v>44548</v>
      </c>
      <c r="G1410" t="str">
        <f>IFERROR(IF((F1410-F1409)&gt;1,(LARGE(F1410:$F1410,1)-LARGE(F$1399:$F1410,2))-1,""),"")</f>
        <v/>
      </c>
    </row>
    <row r="1411" spans="1:7">
      <c r="A1411" s="85" t="s">
        <v>44030</v>
      </c>
      <c r="B1411">
        <v>69000</v>
      </c>
      <c r="C1411">
        <v>69000</v>
      </c>
      <c r="D1411">
        <v>3</v>
      </c>
      <c r="E1411">
        <v>32</v>
      </c>
      <c r="F1411" s="70">
        <v>44551</v>
      </c>
      <c r="G1411">
        <f>IFERROR(IF((F1411-F1410)&gt;1,(LARGE(F1411:$F1411,1)-LARGE(F$1399:$F1411,2))-1,""),"")</f>
        <v>2</v>
      </c>
    </row>
    <row r="1412" spans="1:7">
      <c r="A1412" s="88"/>
      <c r="B1412">
        <v>69500</v>
      </c>
      <c r="C1412">
        <v>69000</v>
      </c>
      <c r="D1412">
        <v>2</v>
      </c>
      <c r="E1412">
        <v>8</v>
      </c>
      <c r="F1412" s="70">
        <v>44552</v>
      </c>
      <c r="G1412" t="str">
        <f>IFERROR(IF((F1412-F1411)&gt;1,(LARGE(F1412:$F1412,1)-LARGE(F$1399:$F1412,2))-1,""),"")</f>
        <v/>
      </c>
    </row>
    <row r="1413" spans="1:7">
      <c r="A1413" s="65">
        <f>VLOOKUP(TradeSheet!A96,TypeIDs!B:C,2,FALSE)</f>
        <v>30013</v>
      </c>
      <c r="B1413" t="s">
        <v>43998</v>
      </c>
      <c r="C1413" t="s">
        <v>43999</v>
      </c>
      <c r="D1413" t="s">
        <v>44000</v>
      </c>
      <c r="E1413" t="s">
        <v>44001</v>
      </c>
      <c r="F1413" t="s">
        <v>44009</v>
      </c>
      <c r="G1413" t="s">
        <v>44008</v>
      </c>
    </row>
    <row r="1414" spans="1:7">
      <c r="A1414" s="65" t="str">
        <f>CONCATENATE(SwaggerURL,input095)</f>
        <v>https://esi.evetech.net/latest/markets/10000021/history/?datasource=tranquility&amp;type_id=30013</v>
      </c>
      <c r="B1414">
        <v>44000</v>
      </c>
      <c r="C1414">
        <v>44000</v>
      </c>
      <c r="D1414">
        <v>1</v>
      </c>
      <c r="E1414">
        <v>16</v>
      </c>
      <c r="F1414" s="70">
        <v>44537</v>
      </c>
      <c r="G1414" t="str">
        <f>IFERROR(IF((F1414-F1413)&gt;1,(LARGE(F1414:$F1414,1)-LARGE(F$1414:$F1414,2))-1,""),"")</f>
        <v/>
      </c>
    </row>
    <row r="1415" spans="1:7">
      <c r="A1415" s="79" t="s">
        <v>44018</v>
      </c>
      <c r="B1415">
        <v>43990</v>
      </c>
      <c r="C1415">
        <v>43990</v>
      </c>
      <c r="D1415">
        <v>1</v>
      </c>
      <c r="E1415">
        <v>32</v>
      </c>
      <c r="F1415" s="70">
        <v>44538</v>
      </c>
      <c r="G1415" t="str">
        <f>IFERROR(IF((F1415-F1414)&gt;1,(LARGE(F1415:$F1415,1)-LARGE(F$1414:$F1415,2))-1,""),"")</f>
        <v/>
      </c>
    </row>
    <row r="1416" spans="1:7">
      <c r="A1416" s="78">
        <f>MAX(0,(CurrentDate-2)-F1427)</f>
        <v>1</v>
      </c>
      <c r="B1416">
        <v>43222.22</v>
      </c>
      <c r="C1416">
        <v>43000</v>
      </c>
      <c r="D1416">
        <v>3</v>
      </c>
      <c r="E1416">
        <v>36</v>
      </c>
      <c r="F1416" s="70">
        <v>44539</v>
      </c>
      <c r="G1416" t="str">
        <f>IFERROR(IF((F1416-F1415)&gt;1,(LARGE(F1416:$F1416,1)-LARGE(F$1414:$F1416,2))-1,""),"")</f>
        <v/>
      </c>
    </row>
    <row r="1417" spans="1:7">
      <c r="A1417" s="79" t="s">
        <v>44026</v>
      </c>
      <c r="B1417">
        <v>41500</v>
      </c>
      <c r="C1417">
        <v>41500</v>
      </c>
      <c r="D1417">
        <v>1</v>
      </c>
      <c r="E1417">
        <v>8</v>
      </c>
      <c r="F1417" s="70">
        <v>44540</v>
      </c>
      <c r="G1417" t="str">
        <f>IFERROR(IF((F1417-F1416)&gt;1,(LARGE(F1417:$F1417,1)-LARGE(F$1414:$F1417,2))-1,""),"")</f>
        <v/>
      </c>
    </row>
    <row r="1418" spans="1:7">
      <c r="A1418" s="83">
        <f>SUM(G1421:G1427)</f>
        <v>4</v>
      </c>
      <c r="B1418">
        <v>41000</v>
      </c>
      <c r="C1418">
        <v>41000</v>
      </c>
      <c r="D1418">
        <v>1</v>
      </c>
      <c r="E1418">
        <v>16</v>
      </c>
      <c r="F1418" s="70">
        <v>44541</v>
      </c>
      <c r="G1418" t="str">
        <f>IFERROR(IF((F1418-F1417)&gt;1,(LARGE(F1418:$F1418,1)-LARGE(F$1414:$F1418,2))-1,""),"")</f>
        <v/>
      </c>
    </row>
    <row r="1419" spans="1:7">
      <c r="A1419" s="79" t="s">
        <v>44029</v>
      </c>
      <c r="B1419">
        <v>41000</v>
      </c>
      <c r="C1419">
        <v>41000</v>
      </c>
      <c r="D1419">
        <v>3</v>
      </c>
      <c r="E1419">
        <v>32</v>
      </c>
      <c r="F1419" s="70">
        <v>44542</v>
      </c>
      <c r="G1419" t="str">
        <f>IFERROR(IF((F1419-F1418)&gt;1,(LARGE(F1419:$F1419,1)-LARGE(F$1414:$F1419,2))-1,""),"")</f>
        <v/>
      </c>
    </row>
    <row r="1420" spans="1:7">
      <c r="A1420" s="77">
        <f>(SUM(E1414:E1427)/(A1416+14)+SUM(G1414:G1427))</f>
        <v>27.2</v>
      </c>
      <c r="B1420">
        <v>39650</v>
      </c>
      <c r="C1420">
        <v>39500</v>
      </c>
      <c r="D1420">
        <v>2</v>
      </c>
      <c r="E1420">
        <v>24</v>
      </c>
      <c r="F1420" s="70">
        <v>44543</v>
      </c>
      <c r="G1420" t="str">
        <f>IFERROR(IF((F1420-F1419)&gt;1,(LARGE(F1420:$F1420,1)-LARGE(F$1414:$F1420,2))-1,""),"")</f>
        <v/>
      </c>
    </row>
    <row r="1421" spans="1:7">
      <c r="A1421" s="77">
        <f>(SUM(E1421:E1427)/(A1416+7)+SUM(G1421:G1427))</f>
        <v>27</v>
      </c>
      <c r="B1421">
        <v>39460</v>
      </c>
      <c r="C1421">
        <v>39200</v>
      </c>
      <c r="D1421">
        <v>4</v>
      </c>
      <c r="E1421">
        <v>40</v>
      </c>
      <c r="F1421" s="70">
        <v>44546</v>
      </c>
      <c r="G1421">
        <f>IFERROR(IF((F1421-F1420)&gt;1,(LARGE(F1421:$F1421,1)-LARGE(F$1414:$F1421,2))-1,""),"")</f>
        <v>2</v>
      </c>
    </row>
    <row r="1422" spans="1:7">
      <c r="A1422" s="79" t="s">
        <v>44028</v>
      </c>
      <c r="B1422">
        <v>39000</v>
      </c>
      <c r="C1422">
        <v>39000</v>
      </c>
      <c r="D1422">
        <v>1</v>
      </c>
      <c r="E1422">
        <v>24</v>
      </c>
      <c r="F1422" s="70">
        <v>44548</v>
      </c>
      <c r="G1422">
        <f>IFERROR(IF((F1422-F1421)&gt;1,(LARGE(F1422:$F1422,1)-LARGE(F$1414:$F1422,2))-1,""),"")</f>
        <v>1</v>
      </c>
    </row>
    <row r="1423" spans="1:7">
      <c r="A1423" s="77">
        <f>(SUM(D1424:D1427)/(A1416+4)+SUM(G1424:G1427))</f>
        <v>2.2000000000000002</v>
      </c>
      <c r="B1423">
        <v>38550</v>
      </c>
      <c r="C1423">
        <v>38500</v>
      </c>
      <c r="D1423">
        <v>5</v>
      </c>
      <c r="E1423">
        <v>64</v>
      </c>
      <c r="F1423" s="70">
        <v>44549</v>
      </c>
      <c r="G1423" t="str">
        <f>IFERROR(IF((F1423-F1422)&gt;1,(LARGE(F1423:$F1423,1)-LARGE(F$1414:$F1423,2))-1,""),"")</f>
        <v/>
      </c>
    </row>
    <row r="1424" spans="1:7">
      <c r="A1424" s="85" t="s">
        <v>44027</v>
      </c>
      <c r="B1424">
        <v>38500</v>
      </c>
      <c r="C1424">
        <v>38500</v>
      </c>
      <c r="D1424">
        <v>3</v>
      </c>
      <c r="E1424">
        <v>32</v>
      </c>
      <c r="F1424" s="70">
        <v>44550</v>
      </c>
      <c r="G1424" t="str">
        <f>IFERROR(IF((F1424-F1423)&gt;1,(LARGE(F1424:$F1424,1)-LARGE(F$1414:$F1424,2))-1,""),"")</f>
        <v/>
      </c>
    </row>
    <row r="1425" spans="1:7">
      <c r="A1425" s="86">
        <f>IF(A1418+A1416&gt;10,"Look Up",AVERAGE(A1420,A1421))</f>
        <v>27.1</v>
      </c>
      <c r="B1425">
        <v>38000</v>
      </c>
      <c r="C1425">
        <v>38000</v>
      </c>
      <c r="D1425">
        <v>1</v>
      </c>
      <c r="E1425">
        <v>8</v>
      </c>
      <c r="F1425" s="70">
        <v>44551</v>
      </c>
      <c r="G1425" t="str">
        <f>IFERROR(IF((F1425-F1424)&gt;1,(LARGE(F1425:$F1425,1)-LARGE(F$1414:$F1425,2))-1,""),"")</f>
        <v/>
      </c>
    </row>
    <row r="1426" spans="1:7">
      <c r="A1426" s="85" t="s">
        <v>44030</v>
      </c>
      <c r="B1426">
        <v>38500</v>
      </c>
      <c r="C1426">
        <v>38500</v>
      </c>
      <c r="D1426">
        <v>1</v>
      </c>
      <c r="E1426">
        <v>8</v>
      </c>
      <c r="F1426" s="70">
        <v>44553</v>
      </c>
      <c r="G1426">
        <f>IFERROR(IF((F1426-F1425)&gt;1,(LARGE(F1426:$F1426,1)-LARGE(F$1414:$F1426,2))-1,""),"")</f>
        <v>1</v>
      </c>
    </row>
    <row r="1427" spans="1:7">
      <c r="A1427" s="88"/>
      <c r="B1427">
        <v>38500</v>
      </c>
      <c r="C1427">
        <v>38500</v>
      </c>
      <c r="D1427">
        <v>1</v>
      </c>
      <c r="E1427">
        <v>8</v>
      </c>
      <c r="F1427" s="70">
        <v>44554</v>
      </c>
      <c r="G1427" t="str">
        <f>IFERROR(IF((F1427-F1426)&gt;1,(LARGE(F1427:$F1427,1)-LARGE(F$1414:$F1427,2))-1,""),"")</f>
        <v/>
      </c>
    </row>
    <row r="1428" spans="1:7">
      <c r="A1428" s="65">
        <f>VLOOKUP(TradeSheet!A97,TypeIDs!B:C,2,FALSE)</f>
        <v>30486</v>
      </c>
      <c r="B1428" t="s">
        <v>43998</v>
      </c>
      <c r="C1428" t="s">
        <v>43999</v>
      </c>
      <c r="D1428" t="s">
        <v>44000</v>
      </c>
      <c r="E1428" t="s">
        <v>44001</v>
      </c>
      <c r="F1428" t="s">
        <v>44009</v>
      </c>
      <c r="G1428" t="s">
        <v>44008</v>
      </c>
    </row>
    <row r="1429" spans="1:7">
      <c r="A1429" s="65" t="str">
        <f>CONCATENATE(SwaggerURL,input096)</f>
        <v>https://esi.evetech.net/latest/markets/10000021/history/?datasource=tranquility&amp;type_id=30486</v>
      </c>
      <c r="B1429">
        <v>535403.56999999995</v>
      </c>
      <c r="C1429">
        <v>533900</v>
      </c>
      <c r="D1429">
        <v>7</v>
      </c>
      <c r="E1429">
        <v>56</v>
      </c>
      <c r="F1429" s="70">
        <v>44541</v>
      </c>
      <c r="G1429" t="str">
        <f>IFERROR(IF((F1429-F1428)&gt;1,(LARGE(F1429:$F1429,1)-LARGE(F$1429:$F1429,2))-1,""),"")</f>
        <v/>
      </c>
    </row>
    <row r="1430" spans="1:7">
      <c r="A1430" s="79" t="s">
        <v>44018</v>
      </c>
      <c r="B1430">
        <v>536000</v>
      </c>
      <c r="C1430">
        <v>536000</v>
      </c>
      <c r="D1430">
        <v>3</v>
      </c>
      <c r="E1430">
        <v>32</v>
      </c>
      <c r="F1430" s="70">
        <v>44542</v>
      </c>
      <c r="G1430" t="str">
        <f>IFERROR(IF((F1430-F1429)&gt;1,(LARGE(F1430:$F1430,1)-LARGE(F$1429:$F1430,2))-1,""),"")</f>
        <v/>
      </c>
    </row>
    <row r="1431" spans="1:7">
      <c r="A1431" s="78">
        <f>MAX(0,(CurrentDate-2)-F1442)</f>
        <v>1</v>
      </c>
      <c r="B1431">
        <v>535500</v>
      </c>
      <c r="C1431">
        <v>535000</v>
      </c>
      <c r="D1431">
        <v>2</v>
      </c>
      <c r="E1431">
        <v>16</v>
      </c>
      <c r="F1431" s="70">
        <v>44543</v>
      </c>
      <c r="G1431" t="str">
        <f>IFERROR(IF((F1431-F1430)&gt;1,(LARGE(F1431:$F1431,1)-LARGE(F$1429:$F1431,2))-1,""),"")</f>
        <v/>
      </c>
    </row>
    <row r="1432" spans="1:7">
      <c r="A1432" s="79" t="s">
        <v>44026</v>
      </c>
      <c r="B1432">
        <v>536000</v>
      </c>
      <c r="C1432">
        <v>536000</v>
      </c>
      <c r="D1432">
        <v>1</v>
      </c>
      <c r="E1432">
        <v>8</v>
      </c>
      <c r="F1432" s="70">
        <v>44544</v>
      </c>
      <c r="G1432" t="str">
        <f>IFERROR(IF((F1432-F1431)&gt;1,(LARGE(F1432:$F1432,1)-LARGE(F$1429:$F1432,2))-1,""),"")</f>
        <v/>
      </c>
    </row>
    <row r="1433" spans="1:7">
      <c r="A1433" s="83">
        <f>SUM(G1436:G1442)</f>
        <v>0</v>
      </c>
      <c r="B1433">
        <v>536000</v>
      </c>
      <c r="C1433">
        <v>536000</v>
      </c>
      <c r="D1433">
        <v>6</v>
      </c>
      <c r="E1433">
        <v>88</v>
      </c>
      <c r="F1433" s="70">
        <v>44545</v>
      </c>
      <c r="G1433" t="str">
        <f>IFERROR(IF((F1433-F1432)&gt;1,(LARGE(F1433:$F1433,1)-LARGE(F$1429:$F1433,2))-1,""),"")</f>
        <v/>
      </c>
    </row>
    <row r="1434" spans="1:7">
      <c r="A1434" s="79" t="s">
        <v>44029</v>
      </c>
      <c r="B1434">
        <v>536000</v>
      </c>
      <c r="C1434">
        <v>536000</v>
      </c>
      <c r="D1434">
        <v>4</v>
      </c>
      <c r="E1434">
        <v>40</v>
      </c>
      <c r="F1434" s="70">
        <v>44546</v>
      </c>
      <c r="G1434" t="str">
        <f>IFERROR(IF((F1434-F1433)&gt;1,(LARGE(F1434:$F1434,1)-LARGE(F$1429:$F1434,2))-1,""),"")</f>
        <v/>
      </c>
    </row>
    <row r="1435" spans="1:7">
      <c r="A1435" s="77">
        <f>(SUM(E1429:E1442)/(A1431+14)+SUM(G1429:G1442))</f>
        <v>39.93333333333333</v>
      </c>
      <c r="B1435">
        <v>536000</v>
      </c>
      <c r="C1435">
        <v>536000</v>
      </c>
      <c r="D1435">
        <v>1</v>
      </c>
      <c r="E1435">
        <v>16</v>
      </c>
      <c r="F1435" s="70">
        <v>44547</v>
      </c>
      <c r="G1435" t="str">
        <f>IFERROR(IF((F1435-F1434)&gt;1,(LARGE(F1435:$F1435,1)-LARGE(F$1429:$F1435,2))-1,""),"")</f>
        <v/>
      </c>
    </row>
    <row r="1436" spans="1:7">
      <c r="A1436" s="77">
        <f>(SUM(E1436:E1442)/(A1431+7)+SUM(G1436:G1442))</f>
        <v>42.875</v>
      </c>
      <c r="B1436">
        <v>536000</v>
      </c>
      <c r="C1436">
        <v>536000</v>
      </c>
      <c r="D1436">
        <v>4</v>
      </c>
      <c r="E1436">
        <v>48</v>
      </c>
      <c r="F1436" s="70">
        <v>44548</v>
      </c>
      <c r="G1436" t="str">
        <f>IFERROR(IF((F1436-F1435)&gt;1,(LARGE(F1436:$F1436,1)-LARGE(F$1429:$F1436,2))-1,""),"")</f>
        <v/>
      </c>
    </row>
    <row r="1437" spans="1:7">
      <c r="A1437" s="79" t="s">
        <v>44028</v>
      </c>
      <c r="B1437">
        <v>533303.37</v>
      </c>
      <c r="C1437">
        <v>530000</v>
      </c>
      <c r="D1437">
        <v>7</v>
      </c>
      <c r="E1437">
        <v>89</v>
      </c>
      <c r="F1437" s="70">
        <v>44549</v>
      </c>
      <c r="G1437" t="str">
        <f>IFERROR(IF((F1437-F1436)&gt;1,(LARGE(F1437:$F1437,1)-LARGE(F$1429:$F1437,2))-1,""),"")</f>
        <v/>
      </c>
    </row>
    <row r="1438" spans="1:7">
      <c r="A1438" s="77">
        <f>(SUM(D1439:D1442)/(A1431+4)+SUM(G1439:G1442))</f>
        <v>2.8</v>
      </c>
      <c r="B1438">
        <v>536000</v>
      </c>
      <c r="C1438">
        <v>536000</v>
      </c>
      <c r="D1438">
        <v>2</v>
      </c>
      <c r="E1438">
        <v>16</v>
      </c>
      <c r="F1438" s="70">
        <v>44550</v>
      </c>
      <c r="G1438" t="str">
        <f>IFERROR(IF((F1438-F1437)&gt;1,(LARGE(F1438:$F1438,1)-LARGE(F$1429:$F1438,2))-1,""),"")</f>
        <v/>
      </c>
    </row>
    <row r="1439" spans="1:7">
      <c r="A1439" s="85" t="s">
        <v>44027</v>
      </c>
      <c r="B1439">
        <v>536000</v>
      </c>
      <c r="C1439">
        <v>536000</v>
      </c>
      <c r="D1439">
        <v>2</v>
      </c>
      <c r="E1439">
        <v>32</v>
      </c>
      <c r="F1439" s="70">
        <v>44551</v>
      </c>
      <c r="G1439" t="str">
        <f>IFERROR(IF((F1439-F1438)&gt;1,(LARGE(F1439:$F1439,1)-LARGE(F$1429:$F1439,2))-1,""),"")</f>
        <v/>
      </c>
    </row>
    <row r="1440" spans="1:7">
      <c r="A1440" s="86">
        <f>IF(A1433+A1431&gt;10,"Look Up",AVERAGE(A1435,A1436))</f>
        <v>41.404166666666669</v>
      </c>
      <c r="B1440">
        <v>536000</v>
      </c>
      <c r="C1440">
        <v>536000</v>
      </c>
      <c r="D1440">
        <v>3</v>
      </c>
      <c r="E1440">
        <v>32</v>
      </c>
      <c r="F1440" s="70">
        <v>44552</v>
      </c>
      <c r="G1440" t="str">
        <f>IFERROR(IF((F1440-F1439)&gt;1,(LARGE(F1440:$F1440,1)-LARGE(F$1429:$F1440,2))-1,""),"")</f>
        <v/>
      </c>
    </row>
    <row r="1441" spans="1:7">
      <c r="A1441" s="85" t="s">
        <v>44030</v>
      </c>
      <c r="B1441">
        <v>536000</v>
      </c>
      <c r="C1441">
        <v>536000</v>
      </c>
      <c r="D1441">
        <v>7</v>
      </c>
      <c r="E1441">
        <v>94</v>
      </c>
      <c r="F1441" s="70">
        <v>44553</v>
      </c>
      <c r="G1441" t="str">
        <f>IFERROR(IF((F1441-F1440)&gt;1,(LARGE(F1441:$F1441,1)-LARGE(F$1429:$F1441,2))-1,""),"")</f>
        <v/>
      </c>
    </row>
    <row r="1442" spans="1:7">
      <c r="A1442" s="88"/>
      <c r="B1442">
        <v>536000</v>
      </c>
      <c r="C1442">
        <v>536000</v>
      </c>
      <c r="D1442">
        <v>2</v>
      </c>
      <c r="E1442">
        <v>32</v>
      </c>
      <c r="F1442" s="70">
        <v>44554</v>
      </c>
      <c r="G1442" t="str">
        <f>IFERROR(IF((F1442-F1441)&gt;1,(LARGE(F1442:$F1442,1)-LARGE(F$1429:$F1442,2))-1,""),"")</f>
        <v/>
      </c>
    </row>
    <row r="1443" spans="1:7">
      <c r="A1443" s="65">
        <f>VLOOKUP(TradeSheet!A98,TypeIDs!B:C,2,FALSE)</f>
        <v>30488</v>
      </c>
      <c r="B1443" t="s">
        <v>43998</v>
      </c>
      <c r="C1443" t="s">
        <v>43999</v>
      </c>
      <c r="D1443" t="s">
        <v>44000</v>
      </c>
      <c r="E1443" t="s">
        <v>44001</v>
      </c>
      <c r="F1443" t="s">
        <v>44009</v>
      </c>
      <c r="G1443" t="s">
        <v>44008</v>
      </c>
    </row>
    <row r="1444" spans="1:7">
      <c r="A1444" s="65" t="str">
        <f>CONCATENATE(SwaggerURL,input097)</f>
        <v>https://esi.evetech.net/latest/markets/10000021/history/?datasource=tranquility&amp;type_id=30488</v>
      </c>
      <c r="B1444">
        <v>469681.82</v>
      </c>
      <c r="C1444">
        <v>469000</v>
      </c>
      <c r="D1444">
        <v>9</v>
      </c>
      <c r="E1444">
        <v>88</v>
      </c>
      <c r="F1444" s="70">
        <v>44541</v>
      </c>
      <c r="G1444" t="str">
        <f>IFERROR(IF((F1444-F1443)&gt;1,(LARGE(F1444:$F1444,1)-LARGE(F$1444:$F1444,2))-1,""),"")</f>
        <v/>
      </c>
    </row>
    <row r="1445" spans="1:7">
      <c r="A1445" s="79" t="s">
        <v>44018</v>
      </c>
      <c r="B1445">
        <v>469977.32</v>
      </c>
      <c r="C1445">
        <v>469900</v>
      </c>
      <c r="D1445">
        <v>11</v>
      </c>
      <c r="E1445">
        <v>97</v>
      </c>
      <c r="F1445" s="70">
        <v>44542</v>
      </c>
      <c r="G1445" t="str">
        <f>IFERROR(IF((F1445-F1444)&gt;1,(LARGE(F1445:$F1445,1)-LARGE(F$1444:$F1445,2))-1,""),"")</f>
        <v/>
      </c>
    </row>
    <row r="1446" spans="1:7">
      <c r="A1446" s="78">
        <f>MAX(0,(CurrentDate-2)-F1457)</f>
        <v>1</v>
      </c>
      <c r="B1446">
        <v>470000</v>
      </c>
      <c r="C1446">
        <v>470000</v>
      </c>
      <c r="D1446">
        <v>8</v>
      </c>
      <c r="E1446">
        <v>104</v>
      </c>
      <c r="F1446" s="70">
        <v>44543</v>
      </c>
      <c r="G1446" t="str">
        <f>IFERROR(IF((F1446-F1445)&gt;1,(LARGE(F1446:$F1446,1)-LARGE(F$1444:$F1446,2))-1,""),"")</f>
        <v/>
      </c>
    </row>
    <row r="1447" spans="1:7">
      <c r="A1447" s="79" t="s">
        <v>44026</v>
      </c>
      <c r="B1447">
        <v>470000</v>
      </c>
      <c r="C1447">
        <v>470000</v>
      </c>
      <c r="D1447">
        <v>9</v>
      </c>
      <c r="E1447">
        <v>168</v>
      </c>
      <c r="F1447" s="70">
        <v>44544</v>
      </c>
      <c r="G1447" t="str">
        <f>IFERROR(IF((F1447-F1446)&gt;1,(LARGE(F1447:$F1447,1)-LARGE(F$1444:$F1447,2))-1,""),"")</f>
        <v/>
      </c>
    </row>
    <row r="1448" spans="1:7">
      <c r="A1448" s="83">
        <f>SUM(G1451:G1457)</f>
        <v>0</v>
      </c>
      <c r="B1448">
        <v>470000</v>
      </c>
      <c r="C1448">
        <v>470000</v>
      </c>
      <c r="D1448">
        <v>11</v>
      </c>
      <c r="E1448">
        <v>296</v>
      </c>
      <c r="F1448" s="70">
        <v>44545</v>
      </c>
      <c r="G1448" t="str">
        <f>IFERROR(IF((F1448-F1447)&gt;1,(LARGE(F1448:$F1448,1)-LARGE(F$1444:$F1448,2))-1,""),"")</f>
        <v/>
      </c>
    </row>
    <row r="1449" spans="1:7">
      <c r="A1449" s="79" t="s">
        <v>44029</v>
      </c>
      <c r="B1449">
        <v>470000</v>
      </c>
      <c r="C1449">
        <v>470000</v>
      </c>
      <c r="D1449">
        <v>10</v>
      </c>
      <c r="E1449">
        <v>106</v>
      </c>
      <c r="F1449" s="70">
        <v>44546</v>
      </c>
      <c r="G1449" t="str">
        <f>IFERROR(IF((F1449-F1448)&gt;1,(LARGE(F1449:$F1449,1)-LARGE(F$1444:$F1449,2))-1,""),"")</f>
        <v/>
      </c>
    </row>
    <row r="1450" spans="1:7">
      <c r="A1450" s="77">
        <f>(SUM(E1444:E1457)/(A1446+14)+SUM(G1444:G1457))</f>
        <v>90.733333333333334</v>
      </c>
      <c r="B1450">
        <v>470000</v>
      </c>
      <c r="C1450">
        <v>470000</v>
      </c>
      <c r="D1450">
        <v>12</v>
      </c>
      <c r="E1450">
        <v>132</v>
      </c>
      <c r="F1450" s="70">
        <v>44547</v>
      </c>
      <c r="G1450" t="str">
        <f>IFERROR(IF((F1450-F1449)&gt;1,(LARGE(F1450:$F1450,1)-LARGE(F$1444:$F1450,2))-1,""),"")</f>
        <v/>
      </c>
    </row>
    <row r="1451" spans="1:7">
      <c r="A1451" s="77">
        <f>(SUM(E1451:E1457)/(A1446+7)+SUM(G1451:G1457))</f>
        <v>46.25</v>
      </c>
      <c r="B1451">
        <v>470000</v>
      </c>
      <c r="C1451">
        <v>470000</v>
      </c>
      <c r="D1451">
        <v>5</v>
      </c>
      <c r="E1451">
        <v>56</v>
      </c>
      <c r="F1451" s="70">
        <v>44548</v>
      </c>
      <c r="G1451" t="str">
        <f>IFERROR(IF((F1451-F1450)&gt;1,(LARGE(F1451:$F1451,1)-LARGE(F$1444:$F1451,2))-1,""),"")</f>
        <v/>
      </c>
    </row>
    <row r="1452" spans="1:7">
      <c r="A1452" s="79" t="s">
        <v>44028</v>
      </c>
      <c r="B1452">
        <v>470000</v>
      </c>
      <c r="C1452">
        <v>470000</v>
      </c>
      <c r="D1452">
        <v>5</v>
      </c>
      <c r="E1452">
        <v>41</v>
      </c>
      <c r="F1452" s="70">
        <v>44549</v>
      </c>
      <c r="G1452" t="str">
        <f>IFERROR(IF((F1452-F1451)&gt;1,(LARGE(F1452:$F1452,1)-LARGE(F$1444:$F1452,2))-1,""),"")</f>
        <v/>
      </c>
    </row>
    <row r="1453" spans="1:7">
      <c r="A1453" s="77">
        <f>(SUM(D1454:D1457)/(A1446+4)+SUM(G1454:G1457))</f>
        <v>4.5999999999999996</v>
      </c>
      <c r="B1453">
        <v>500000</v>
      </c>
      <c r="C1453">
        <v>500000</v>
      </c>
      <c r="D1453">
        <v>4</v>
      </c>
      <c r="E1453">
        <v>40</v>
      </c>
      <c r="F1453" s="70">
        <v>44550</v>
      </c>
      <c r="G1453" t="str">
        <f>IFERROR(IF((F1453-F1452)&gt;1,(LARGE(F1453:$F1453,1)-LARGE(F$1444:$F1453,2))-1,""),"")</f>
        <v/>
      </c>
    </row>
    <row r="1454" spans="1:7">
      <c r="A1454" s="85" t="s">
        <v>44027</v>
      </c>
      <c r="B1454">
        <v>417021.28</v>
      </c>
      <c r="C1454">
        <v>400000</v>
      </c>
      <c r="D1454">
        <v>4</v>
      </c>
      <c r="E1454">
        <v>47</v>
      </c>
      <c r="F1454" s="70">
        <v>44551</v>
      </c>
      <c r="G1454" t="str">
        <f>IFERROR(IF((F1454-F1453)&gt;1,(LARGE(F1454:$F1454,1)-LARGE(F$1444:$F1454,2))-1,""),"")</f>
        <v/>
      </c>
    </row>
    <row r="1455" spans="1:7">
      <c r="A1455" s="86">
        <f>IF(A1448+A1446&gt;10,"Look Up",AVERAGE(A1450,A1451))</f>
        <v>68.491666666666674</v>
      </c>
      <c r="B1455">
        <v>599933.32999999996</v>
      </c>
      <c r="C1455">
        <v>400000</v>
      </c>
      <c r="D1455">
        <v>8</v>
      </c>
      <c r="E1455">
        <v>72</v>
      </c>
      <c r="F1455" s="70">
        <v>44552</v>
      </c>
      <c r="G1455" t="str">
        <f>IFERROR(IF((F1455-F1454)&gt;1,(LARGE(F1455:$F1455,1)-LARGE(F$1444:$F1455,2))-1,""),"")</f>
        <v/>
      </c>
    </row>
    <row r="1456" spans="1:7">
      <c r="A1456" s="85" t="s">
        <v>44030</v>
      </c>
      <c r="B1456">
        <v>628664.79</v>
      </c>
      <c r="C1456">
        <v>480000</v>
      </c>
      <c r="D1456">
        <v>5</v>
      </c>
      <c r="E1456">
        <v>71</v>
      </c>
      <c r="F1456" s="70">
        <v>44553</v>
      </c>
      <c r="G1456" t="str">
        <f>IFERROR(IF((F1456-F1455)&gt;1,(LARGE(F1456:$F1456,1)-LARGE(F$1444:$F1456,2))-1,""),"")</f>
        <v/>
      </c>
    </row>
    <row r="1457" spans="1:7">
      <c r="A1457" s="88"/>
      <c r="B1457">
        <v>480000</v>
      </c>
      <c r="C1457">
        <v>480000</v>
      </c>
      <c r="D1457">
        <v>6</v>
      </c>
      <c r="E1457">
        <v>43</v>
      </c>
      <c r="F1457" s="70">
        <v>44554</v>
      </c>
      <c r="G1457" t="str">
        <f>IFERROR(IF((F1457-F1456)&gt;1,(LARGE(F1457:$F1457,1)-LARGE(F$1444:$F1457,2))-1,""),"")</f>
        <v/>
      </c>
    </row>
    <row r="1458" spans="1:7">
      <c r="A1458" s="65">
        <f>VLOOKUP(TradeSheet!A99,TypeIDs!B:C,2,FALSE)</f>
        <v>12767</v>
      </c>
      <c r="B1458" t="s">
        <v>43998</v>
      </c>
      <c r="C1458" t="s">
        <v>43999</v>
      </c>
      <c r="D1458" t="s">
        <v>44000</v>
      </c>
      <c r="E1458" t="s">
        <v>44001</v>
      </c>
      <c r="F1458" t="s">
        <v>44009</v>
      </c>
      <c r="G1458" t="s">
        <v>44008</v>
      </c>
    </row>
    <row r="1459" spans="1:7">
      <c r="A1459" s="65" t="str">
        <f>CONCATENATE(SwaggerURL,input098)</f>
        <v>https://esi.evetech.net/latest/markets/10000021/history/?datasource=tranquility&amp;type_id=12767</v>
      </c>
      <c r="B1459">
        <v>600</v>
      </c>
      <c r="C1459">
        <v>600</v>
      </c>
      <c r="D1459">
        <v>4</v>
      </c>
      <c r="E1459">
        <v>15000</v>
      </c>
      <c r="F1459" s="70">
        <v>44534</v>
      </c>
      <c r="G1459" t="str">
        <f>IFERROR(IF((F1459-F1458)&gt;1,(LARGE(F1459:$F1459,1)-LARGE(F$1459:$F1459,2))-1,""),"")</f>
        <v/>
      </c>
    </row>
    <row r="1460" spans="1:7">
      <c r="A1460" s="79" t="s">
        <v>44018</v>
      </c>
      <c r="B1460">
        <v>600</v>
      </c>
      <c r="C1460">
        <v>600</v>
      </c>
      <c r="D1460">
        <v>4</v>
      </c>
      <c r="E1460">
        <v>9840</v>
      </c>
      <c r="F1460" s="70">
        <v>44536</v>
      </c>
      <c r="G1460">
        <f>IFERROR(IF((F1460-F1459)&gt;1,(LARGE(F1460:$F1460,1)-LARGE(F$1459:$F1460,2))-1,""),"")</f>
        <v>1</v>
      </c>
    </row>
    <row r="1461" spans="1:7">
      <c r="A1461" s="78">
        <f>MAX(0,(CurrentDate-2)-F1472)</f>
        <v>1</v>
      </c>
      <c r="B1461">
        <v>605</v>
      </c>
      <c r="C1461">
        <v>605</v>
      </c>
      <c r="D1461">
        <v>3</v>
      </c>
      <c r="E1461">
        <v>30000</v>
      </c>
      <c r="F1461" s="70">
        <v>44537</v>
      </c>
      <c r="G1461" t="str">
        <f>IFERROR(IF((F1461-F1460)&gt;1,(LARGE(F1461:$F1461,1)-LARGE(F$1459:$F1461,2))-1,""),"")</f>
        <v/>
      </c>
    </row>
    <row r="1462" spans="1:7">
      <c r="A1462" s="79" t="s">
        <v>44026</v>
      </c>
      <c r="B1462">
        <v>605</v>
      </c>
      <c r="C1462">
        <v>605</v>
      </c>
      <c r="D1462">
        <v>9</v>
      </c>
      <c r="E1462">
        <v>10530</v>
      </c>
      <c r="F1462" s="70">
        <v>44538</v>
      </c>
      <c r="G1462" t="str">
        <f>IFERROR(IF((F1462-F1461)&gt;1,(LARGE(F1462:$F1462,1)-LARGE(F$1459:$F1462,2))-1,""),"")</f>
        <v/>
      </c>
    </row>
    <row r="1463" spans="1:7">
      <c r="A1463" s="83">
        <f>SUM(G1466:G1472)</f>
        <v>5</v>
      </c>
      <c r="B1463">
        <v>740</v>
      </c>
      <c r="C1463">
        <v>740</v>
      </c>
      <c r="D1463">
        <v>3</v>
      </c>
      <c r="E1463">
        <v>2780</v>
      </c>
      <c r="F1463" s="70">
        <v>44539</v>
      </c>
      <c r="G1463" t="str">
        <f>IFERROR(IF((F1463-F1462)&gt;1,(LARGE(F1463:$F1463,1)-LARGE(F$1459:$F1463,2))-1,""),"")</f>
        <v/>
      </c>
    </row>
    <row r="1464" spans="1:7">
      <c r="A1464" s="79" t="s">
        <v>44029</v>
      </c>
      <c r="B1464">
        <v>808</v>
      </c>
      <c r="C1464">
        <v>740</v>
      </c>
      <c r="D1464">
        <v>6</v>
      </c>
      <c r="E1464">
        <v>6000</v>
      </c>
      <c r="F1464" s="70">
        <v>44541</v>
      </c>
      <c r="G1464">
        <f>IFERROR(IF((F1464-F1463)&gt;1,(LARGE(F1464:$F1464,1)-LARGE(F$1459:$F1464,2))-1,""),"")</f>
        <v>1</v>
      </c>
    </row>
    <row r="1465" spans="1:7">
      <c r="A1465" s="77">
        <f>(SUM(E1459:E1472)/(A1461+14)+SUM(G1459:G1472))</f>
        <v>8352.4666666666672</v>
      </c>
      <c r="B1465">
        <v>1500</v>
      </c>
      <c r="C1465">
        <v>1500</v>
      </c>
      <c r="D1465">
        <v>2</v>
      </c>
      <c r="E1465">
        <v>4000</v>
      </c>
      <c r="F1465" s="70">
        <v>44542</v>
      </c>
      <c r="G1465" t="str">
        <f>IFERROR(IF((F1465-F1464)&gt;1,(LARGE(F1465:$F1465,1)-LARGE(F$1459:$F1465,2))-1,""),"")</f>
        <v/>
      </c>
    </row>
    <row r="1466" spans="1:7">
      <c r="A1466" s="77">
        <f>(SUM(E1466:E1472)/(A1461+7)+SUM(G1466:G1472))</f>
        <v>5884</v>
      </c>
      <c r="B1466">
        <v>1500</v>
      </c>
      <c r="C1466">
        <v>1500</v>
      </c>
      <c r="D1466">
        <v>1</v>
      </c>
      <c r="E1466">
        <v>2000</v>
      </c>
      <c r="F1466" s="70">
        <v>44545</v>
      </c>
      <c r="G1466">
        <f>IFERROR(IF((F1466-F1465)&gt;1,(LARGE(F1466:$F1466,1)-LARGE(F$1459:$F1466,2))-1,""),"")</f>
        <v>2</v>
      </c>
    </row>
    <row r="1467" spans="1:7">
      <c r="A1467" s="79" t="s">
        <v>44028</v>
      </c>
      <c r="B1467">
        <v>1500</v>
      </c>
      <c r="C1467">
        <v>1500</v>
      </c>
      <c r="D1467">
        <v>9</v>
      </c>
      <c r="E1467">
        <v>14900</v>
      </c>
      <c r="F1467" s="70">
        <v>44546</v>
      </c>
      <c r="G1467" t="str">
        <f>IFERROR(IF((F1467-F1466)&gt;1,(LARGE(F1467:$F1467,1)-LARGE(F$1459:$F1467,2))-1,""),"")</f>
        <v/>
      </c>
    </row>
    <row r="1468" spans="1:7">
      <c r="A1468" s="77">
        <f>(SUM(D1469:D1472)/(A1461+4)+SUM(G1469:G1472))</f>
        <v>5.8</v>
      </c>
      <c r="B1468">
        <v>1501</v>
      </c>
      <c r="C1468">
        <v>1501</v>
      </c>
      <c r="D1468">
        <v>7</v>
      </c>
      <c r="E1468">
        <v>5620</v>
      </c>
      <c r="F1468" s="70">
        <v>44547</v>
      </c>
      <c r="G1468" t="str">
        <f>IFERROR(IF((F1468-F1467)&gt;1,(LARGE(F1468:$F1468,1)-LARGE(F$1459:$F1468,2))-1,""),"")</f>
        <v/>
      </c>
    </row>
    <row r="1469" spans="1:7">
      <c r="A1469" s="85" t="s">
        <v>44027</v>
      </c>
      <c r="B1469">
        <v>1501</v>
      </c>
      <c r="C1469">
        <v>1501</v>
      </c>
      <c r="D1469">
        <v>10</v>
      </c>
      <c r="E1469">
        <v>17712</v>
      </c>
      <c r="F1469" s="70">
        <v>44548</v>
      </c>
      <c r="G1469" t="str">
        <f>IFERROR(IF((F1469-F1468)&gt;1,(LARGE(F1469:$F1469,1)-LARGE(F$1459:$F1469,2))-1,""),"")</f>
        <v/>
      </c>
    </row>
    <row r="1470" spans="1:7">
      <c r="A1470" s="86">
        <f>IF(A1463+A1461&gt;10,"Look Up",AVERAGE(A1465,A1466))</f>
        <v>7118.2333333333336</v>
      </c>
      <c r="B1470">
        <v>1501</v>
      </c>
      <c r="C1470">
        <v>1501</v>
      </c>
      <c r="D1470">
        <v>1</v>
      </c>
      <c r="E1470">
        <v>300</v>
      </c>
      <c r="F1470" s="70">
        <v>44549</v>
      </c>
      <c r="G1470" t="str">
        <f>IFERROR(IF((F1470-F1469)&gt;1,(LARGE(F1470:$F1470,1)-LARGE(F$1459:$F1470,2))-1,""),"")</f>
        <v/>
      </c>
    </row>
    <row r="1471" spans="1:7">
      <c r="A1471" s="85" t="s">
        <v>44030</v>
      </c>
      <c r="B1471">
        <v>820.1</v>
      </c>
      <c r="C1471">
        <v>820.1</v>
      </c>
      <c r="D1471">
        <v>1</v>
      </c>
      <c r="E1471">
        <v>2500</v>
      </c>
      <c r="F1471" s="70">
        <v>44553</v>
      </c>
      <c r="G1471">
        <f>IFERROR(IF((F1471-F1470)&gt;1,(LARGE(F1471:$F1471,1)-LARGE(F$1459:$F1471,2))-1,""),"")</f>
        <v>3</v>
      </c>
    </row>
    <row r="1472" spans="1:7">
      <c r="A1472" s="88"/>
      <c r="B1472">
        <v>820.1</v>
      </c>
      <c r="C1472">
        <v>820.1</v>
      </c>
      <c r="D1472">
        <v>2</v>
      </c>
      <c r="E1472">
        <v>4000</v>
      </c>
      <c r="F1472" s="70">
        <v>44554</v>
      </c>
      <c r="G1472" t="str">
        <f>IFERROR(IF((F1472-F1471)&gt;1,(LARGE(F1472:$F1472,1)-LARGE(F$1459:$F1472,2))-1,""),"")</f>
        <v/>
      </c>
    </row>
    <row r="1473" spans="1:7">
      <c r="A1473" s="65">
        <f>VLOOKUP(TradeSheet!A100,TypeIDs!B:C,2,FALSE)</f>
        <v>12771</v>
      </c>
      <c r="B1473" t="s">
        <v>43998</v>
      </c>
      <c r="C1473" t="s">
        <v>43999</v>
      </c>
      <c r="D1473" t="s">
        <v>44000</v>
      </c>
      <c r="E1473" t="s">
        <v>44001</v>
      </c>
      <c r="F1473" t="s">
        <v>44009</v>
      </c>
      <c r="G1473" t="s">
        <v>44008</v>
      </c>
    </row>
    <row r="1474" spans="1:7">
      <c r="A1474" s="65" t="str">
        <f>CONCATENATE(SwaggerURL,input099)</f>
        <v>https://esi.evetech.net/latest/markets/10000021/history/?datasource=tranquility&amp;type_id=12771</v>
      </c>
      <c r="B1474">
        <v>428.3</v>
      </c>
      <c r="C1474">
        <v>428.3</v>
      </c>
      <c r="D1474">
        <v>4</v>
      </c>
      <c r="E1474">
        <v>1320</v>
      </c>
      <c r="F1474" s="70">
        <v>44538</v>
      </c>
      <c r="G1474" t="str">
        <f>IFERROR(IF((F1474-F1473)&gt;1,(LARGE(F1474:$F1474,1)-LARGE(F$1474:$F1474,2))-1,""),"")</f>
        <v/>
      </c>
    </row>
    <row r="1475" spans="1:7">
      <c r="A1475" s="79" t="s">
        <v>44018</v>
      </c>
      <c r="B1475">
        <v>428.3</v>
      </c>
      <c r="C1475">
        <v>428.3</v>
      </c>
      <c r="D1475">
        <v>2</v>
      </c>
      <c r="E1475">
        <v>3120</v>
      </c>
      <c r="F1475" s="70">
        <v>44539</v>
      </c>
      <c r="G1475" t="str">
        <f>IFERROR(IF((F1475-F1474)&gt;1,(LARGE(F1475:$F1475,1)-LARGE(F$1474:$F1475,2))-1,""),"")</f>
        <v/>
      </c>
    </row>
    <row r="1476" spans="1:7">
      <c r="A1476" s="78">
        <f>MAX(0,(CurrentDate-2)-F1487)</f>
        <v>1</v>
      </c>
      <c r="B1476">
        <v>428.3</v>
      </c>
      <c r="C1476">
        <v>428.3</v>
      </c>
      <c r="D1476">
        <v>1</v>
      </c>
      <c r="E1476">
        <v>2000</v>
      </c>
      <c r="F1476" s="70">
        <v>44541</v>
      </c>
      <c r="G1476">
        <f>IFERROR(IF((F1476-F1475)&gt;1,(LARGE(F1476:$F1476,1)-LARGE(F$1474:$F1476,2))-1,""),"")</f>
        <v>1</v>
      </c>
    </row>
    <row r="1477" spans="1:7">
      <c r="A1477" s="79" t="s">
        <v>44026</v>
      </c>
      <c r="B1477">
        <v>428.3</v>
      </c>
      <c r="C1477">
        <v>428.3</v>
      </c>
      <c r="D1477">
        <v>2</v>
      </c>
      <c r="E1477">
        <v>4000</v>
      </c>
      <c r="F1477" s="70">
        <v>44542</v>
      </c>
      <c r="G1477" t="str">
        <f>IFERROR(IF((F1477-F1476)&gt;1,(LARGE(F1477:$F1477,1)-LARGE(F$1474:$F1477,2))-1,""),"")</f>
        <v/>
      </c>
    </row>
    <row r="1478" spans="1:7">
      <c r="A1478" s="83">
        <f>SUM(G1481:G1487)</f>
        <v>1</v>
      </c>
      <c r="B1478">
        <v>428.3</v>
      </c>
      <c r="C1478">
        <v>428.3</v>
      </c>
      <c r="D1478">
        <v>1</v>
      </c>
      <c r="E1478">
        <v>1000</v>
      </c>
      <c r="F1478" s="70">
        <v>44544</v>
      </c>
      <c r="G1478">
        <f>IFERROR(IF((F1478-F1477)&gt;1,(LARGE(F1478:$F1478,1)-LARGE(F$1474:$F1478,2))-1,""),"")</f>
        <v>1</v>
      </c>
    </row>
    <row r="1479" spans="1:7">
      <c r="A1479" s="79" t="s">
        <v>44029</v>
      </c>
      <c r="B1479">
        <v>428.3</v>
      </c>
      <c r="C1479">
        <v>428.3</v>
      </c>
      <c r="D1479">
        <v>1</v>
      </c>
      <c r="E1479">
        <v>2000</v>
      </c>
      <c r="F1479" s="70">
        <v>44545</v>
      </c>
      <c r="G1479" t="str">
        <f>IFERROR(IF((F1479-F1478)&gt;1,(LARGE(F1479:$F1479,1)-LARGE(F$1474:$F1479,2))-1,""),"")</f>
        <v/>
      </c>
    </row>
    <row r="1480" spans="1:7">
      <c r="A1480" s="77">
        <f>(SUM(E1474:E1487)/(A1476+14)+SUM(G1474:G1487))</f>
        <v>5112.333333333333</v>
      </c>
      <c r="B1480">
        <v>428.2</v>
      </c>
      <c r="C1480">
        <v>428.2</v>
      </c>
      <c r="D1480">
        <v>8</v>
      </c>
      <c r="E1480">
        <v>11632</v>
      </c>
      <c r="F1480" s="70">
        <v>44546</v>
      </c>
      <c r="G1480" t="str">
        <f>IFERROR(IF((F1480-F1479)&gt;1,(LARGE(F1480:$F1480,1)-LARGE(F$1474:$F1480,2))-1,""),"")</f>
        <v/>
      </c>
    </row>
    <row r="1481" spans="1:7">
      <c r="A1481" s="77">
        <f>(SUM(E1481:E1487)/(A1476+7)+SUM(G1481:G1487))</f>
        <v>6447</v>
      </c>
      <c r="B1481">
        <v>428.2</v>
      </c>
      <c r="C1481">
        <v>428.2</v>
      </c>
      <c r="D1481">
        <v>7</v>
      </c>
      <c r="E1481">
        <v>5060</v>
      </c>
      <c r="F1481" s="70">
        <v>44547</v>
      </c>
      <c r="G1481" t="str">
        <f>IFERROR(IF((F1481-F1480)&gt;1,(LARGE(F1481:$F1481,1)-LARGE(F$1474:$F1481,2))-1,""),"")</f>
        <v/>
      </c>
    </row>
    <row r="1482" spans="1:7">
      <c r="A1482" s="79" t="s">
        <v>44028</v>
      </c>
      <c r="B1482">
        <v>428.2</v>
      </c>
      <c r="C1482">
        <v>428.2</v>
      </c>
      <c r="D1482">
        <v>12</v>
      </c>
      <c r="E1482">
        <v>18539</v>
      </c>
      <c r="F1482" s="70">
        <v>44548</v>
      </c>
      <c r="G1482" t="str">
        <f>IFERROR(IF((F1482-F1481)&gt;1,(LARGE(F1482:$F1482,1)-LARGE(F$1474:$F1482,2))-1,""),"")</f>
        <v/>
      </c>
    </row>
    <row r="1483" spans="1:7">
      <c r="A1483" s="77">
        <f>(SUM(D1484:D1487)/(A1476+4)+SUM(G1484:G1487))</f>
        <v>3.6</v>
      </c>
      <c r="B1483">
        <v>428.1</v>
      </c>
      <c r="C1483">
        <v>428.1</v>
      </c>
      <c r="D1483">
        <v>2</v>
      </c>
      <c r="E1483">
        <v>3600</v>
      </c>
      <c r="F1483" s="70">
        <v>44549</v>
      </c>
      <c r="G1483" t="str">
        <f>IFERROR(IF((F1483-F1482)&gt;1,(LARGE(F1483:$F1483,1)-LARGE(F$1474:$F1483,2))-1,""),"")</f>
        <v/>
      </c>
    </row>
    <row r="1484" spans="1:7">
      <c r="A1484" s="85" t="s">
        <v>44027</v>
      </c>
      <c r="B1484">
        <v>427.2</v>
      </c>
      <c r="C1484">
        <v>427.2</v>
      </c>
      <c r="D1484">
        <v>5</v>
      </c>
      <c r="E1484">
        <v>8040</v>
      </c>
      <c r="F1484" s="70">
        <v>44550</v>
      </c>
      <c r="G1484" t="str">
        <f>IFERROR(IF((F1484-F1483)&gt;1,(LARGE(F1484:$F1484,1)-LARGE(F$1474:$F1484,2))-1,""),"")</f>
        <v/>
      </c>
    </row>
    <row r="1485" spans="1:7">
      <c r="A1485" s="86">
        <f>IF(A1478+A1476&gt;10,"Look Up",AVERAGE(A1480,A1481))</f>
        <v>5779.6666666666661</v>
      </c>
      <c r="B1485">
        <v>427.2</v>
      </c>
      <c r="C1485">
        <v>427.2</v>
      </c>
      <c r="D1485">
        <v>5</v>
      </c>
      <c r="E1485">
        <v>9829</v>
      </c>
      <c r="F1485" s="70">
        <v>44551</v>
      </c>
      <c r="G1485" t="str">
        <f>IFERROR(IF((F1485-F1484)&gt;1,(LARGE(F1485:$F1485,1)-LARGE(F$1474:$F1485,2))-1,""),"")</f>
        <v/>
      </c>
    </row>
    <row r="1486" spans="1:7">
      <c r="A1486" s="85" t="s">
        <v>44030</v>
      </c>
      <c r="B1486">
        <v>427.2</v>
      </c>
      <c r="C1486">
        <v>427.2</v>
      </c>
      <c r="D1486">
        <v>1</v>
      </c>
      <c r="E1486">
        <v>2500</v>
      </c>
      <c r="F1486" s="70">
        <v>44553</v>
      </c>
      <c r="G1486">
        <f>IFERROR(IF((F1486-F1485)&gt;1,(LARGE(F1486:$F1486,1)-LARGE(F$1474:$F1486,2))-1,""),"")</f>
        <v>1</v>
      </c>
    </row>
    <row r="1487" spans="1:7">
      <c r="A1487" s="88"/>
      <c r="B1487">
        <v>427.2</v>
      </c>
      <c r="C1487">
        <v>427.2</v>
      </c>
      <c r="D1487">
        <v>2</v>
      </c>
      <c r="E1487">
        <v>4000</v>
      </c>
      <c r="F1487" s="70">
        <v>44554</v>
      </c>
      <c r="G1487" t="str">
        <f>IFERROR(IF((F1487-F1486)&gt;1,(LARGE(F1487:$F1487,1)-LARGE(F$1474:$F1487,2))-1,""),"")</f>
        <v/>
      </c>
    </row>
    <row r="1488" spans="1:7">
      <c r="A1488" s="65">
        <f>VLOOKUP(TradeSheet!A101,TypeIDs!B:C,2,FALSE)</f>
        <v>12775</v>
      </c>
      <c r="B1488" t="s">
        <v>43998</v>
      </c>
      <c r="C1488" t="s">
        <v>43999</v>
      </c>
      <c r="D1488" t="s">
        <v>44000</v>
      </c>
      <c r="E1488" t="s">
        <v>44001</v>
      </c>
      <c r="F1488" t="s">
        <v>44009</v>
      </c>
      <c r="G1488" t="s">
        <v>44008</v>
      </c>
    </row>
    <row r="1489" spans="1:10">
      <c r="A1489" s="65" t="str">
        <f>CONCATENATE(SwaggerURL,input100)</f>
        <v>https://esi.evetech.net/latest/markets/10000021/history/?datasource=tranquility&amp;type_id=12775</v>
      </c>
      <c r="B1489">
        <v>900.1</v>
      </c>
      <c r="C1489">
        <v>900.1</v>
      </c>
      <c r="D1489">
        <v>2</v>
      </c>
      <c r="E1489">
        <v>9000</v>
      </c>
      <c r="F1489" s="70">
        <v>44503</v>
      </c>
      <c r="G1489" t="str">
        <f>IFERROR(IF((F1489-F1488)&gt;1,(LARGE(F1489:$F1489,1)-LARGE(F$1489:$F1489,2))-1,""),"")</f>
        <v/>
      </c>
      <c r="H1489" s="70"/>
      <c r="I1489" t="str">
        <f t="array" ref="I1489">IFERROR((LARGE($H$1489:H1489,1)-LARGE($H$1489:H1489,2)-1),"")</f>
        <v/>
      </c>
      <c r="J1489" t="str">
        <f t="array" ref="J1489">IFERROR((LARGE(#REF!,1)-LARGE(#REF!,2)-1),"")</f>
        <v/>
      </c>
    </row>
    <row r="1490" spans="1:10">
      <c r="A1490" s="79" t="s">
        <v>44018</v>
      </c>
      <c r="B1490">
        <v>900.1</v>
      </c>
      <c r="C1490">
        <v>900.1</v>
      </c>
      <c r="D1490">
        <v>2</v>
      </c>
      <c r="E1490">
        <v>2320</v>
      </c>
      <c r="F1490" s="70">
        <v>44504</v>
      </c>
      <c r="G1490" t="str">
        <f>IFERROR(IF((F1490-F1489)&gt;1,(LARGE(F1490:$F1490,1)-LARGE(F$1489:$F1490,2))-1,""),"")</f>
        <v/>
      </c>
      <c r="H1490" s="70"/>
      <c r="I1490" t="str">
        <f t="array" ref="I1490">IFERROR((LARGE($H$1489:H1490,1)-LARGE($H$1489:H1490,2)-1),"")</f>
        <v/>
      </c>
      <c r="J1490" t="str">
        <f t="array" ref="J1490">IFERROR((LARGE(#REF!,1)-LARGE(#REF!,2)-1),"")</f>
        <v/>
      </c>
    </row>
    <row r="1491" spans="1:10">
      <c r="A1491" s="78">
        <f>MAX(0,(CurrentDate-2)-F1502)</f>
        <v>9</v>
      </c>
      <c r="B1491">
        <v>900.1</v>
      </c>
      <c r="C1491">
        <v>900.1</v>
      </c>
      <c r="D1491">
        <v>1</v>
      </c>
      <c r="E1491">
        <v>3500</v>
      </c>
      <c r="F1491" s="70">
        <v>44505</v>
      </c>
      <c r="G1491" t="str">
        <f>IFERROR(IF((F1491-F1490)&gt;1,(LARGE(F1491:$F1491,1)-LARGE(F$1489:$F1491,2))-1,""),"")</f>
        <v/>
      </c>
      <c r="H1491" s="70"/>
      <c r="I1491" t="str">
        <f t="array" ref="I1491">IFERROR((LARGE($H$1489:H1491,1)-LARGE($H$1489:H1491,2)-1),"")</f>
        <v/>
      </c>
      <c r="J1491" t="str">
        <f t="array" ref="J1491">IFERROR((LARGE(#REF!,1)-LARGE(#REF!,2)-1),"")</f>
        <v/>
      </c>
    </row>
    <row r="1492" spans="1:10">
      <c r="A1492" s="79" t="s">
        <v>44026</v>
      </c>
      <c r="B1492">
        <v>900.1</v>
      </c>
      <c r="C1492">
        <v>900.1</v>
      </c>
      <c r="D1492">
        <v>1</v>
      </c>
      <c r="E1492">
        <v>8000</v>
      </c>
      <c r="F1492" s="70">
        <v>44511</v>
      </c>
      <c r="G1492">
        <f>IFERROR(IF((F1492-F1491)&gt;1,(LARGE(F1492:$F1492,1)-LARGE(F$1489:$F1492,2))-1,""),"")</f>
        <v>5</v>
      </c>
      <c r="H1492" s="70"/>
      <c r="I1492" t="str">
        <f t="array" ref="I1492">IFERROR((LARGE($H$1489:H1492,1)-LARGE($H$1489:H1492,2)-1),"")</f>
        <v/>
      </c>
      <c r="J1492" t="str">
        <f t="array" ref="J1492">IFERROR((LARGE(#REF!,1)-LARGE(#REF!,2)-1),"")</f>
        <v/>
      </c>
    </row>
    <row r="1493" spans="1:10">
      <c r="A1493" s="83">
        <f>SUM(G1496:G1502)</f>
        <v>5</v>
      </c>
      <c r="B1493">
        <v>900.1</v>
      </c>
      <c r="C1493">
        <v>900.1</v>
      </c>
      <c r="D1493">
        <v>1</v>
      </c>
      <c r="E1493">
        <v>1000</v>
      </c>
      <c r="F1493" s="70">
        <v>44519</v>
      </c>
      <c r="G1493">
        <f>IFERROR(IF((F1493-F1492)&gt;1,(LARGE(F1493:$F1493,1)-LARGE(F$1489:$F1493,2))-1,""),"")</f>
        <v>7</v>
      </c>
      <c r="H1493" s="70"/>
      <c r="I1493" t="str">
        <f t="array" ref="I1493">IFERROR((LARGE($H$1489:H1493,1)-LARGE($H$1489:H1493,2)-1),"")</f>
        <v/>
      </c>
      <c r="J1493" t="str">
        <f t="array" ref="J1493">IFERROR((LARGE(#REF!,1)-LARGE(#REF!,2)-1),"")</f>
        <v/>
      </c>
    </row>
    <row r="1494" spans="1:10">
      <c r="A1494" s="79" t="s">
        <v>44029</v>
      </c>
      <c r="B1494">
        <v>900</v>
      </c>
      <c r="C1494">
        <v>900</v>
      </c>
      <c r="D1494">
        <v>1</v>
      </c>
      <c r="E1494">
        <v>1200</v>
      </c>
      <c r="F1494" s="70">
        <v>44526</v>
      </c>
      <c r="G1494">
        <f>IFERROR(IF((F1494-F1493)&gt;1,(LARGE(F1494:$F1494,1)-LARGE(F$1489:$F1494,2))-1,""),"")</f>
        <v>6</v>
      </c>
      <c r="H1494" s="70"/>
      <c r="I1494" t="str">
        <f t="array" ref="I1494">IFERROR((LARGE($H$1489:H1494,1)-LARGE($H$1489:H1494,2)-1),"")</f>
        <v/>
      </c>
      <c r="J1494" t="str">
        <f t="array" ref="J1494">IFERROR((LARGE(#REF!,1)-LARGE(#REF!,2)-1),"")</f>
        <v/>
      </c>
    </row>
    <row r="1495" spans="1:10">
      <c r="A1495" s="77">
        <f>(SUM(E1489:E1502)/(A1491+14)+SUM(G1489:G1502))</f>
        <v>4251.782608695652</v>
      </c>
      <c r="B1495">
        <v>899.7</v>
      </c>
      <c r="C1495">
        <v>899.7</v>
      </c>
      <c r="D1495">
        <v>2</v>
      </c>
      <c r="E1495">
        <v>2000</v>
      </c>
      <c r="F1495" s="70">
        <v>44534</v>
      </c>
      <c r="G1495">
        <f>IFERROR(IF((F1495-F1494)&gt;1,(LARGE(F1495:$F1495,1)-LARGE(F$1489:$F1495,2))-1,""),"")</f>
        <v>7</v>
      </c>
      <c r="H1495" s="70"/>
      <c r="I1495" t="str">
        <f t="array" ref="I1495">IFERROR((LARGE($H$1489:H1495,1)-LARGE($H$1489:H1495,2)-1),"")</f>
        <v/>
      </c>
      <c r="J1495" t="str">
        <f t="array" ref="J1495">IFERROR((LARGE(#REF!,1)-LARGE(#REF!,2)-1),"")</f>
        <v/>
      </c>
    </row>
    <row r="1496" spans="1:10">
      <c r="A1496" s="77">
        <f>(SUM(E1496:E1502)/(A1491+7)+SUM(G1496:G1502))</f>
        <v>4385.0625</v>
      </c>
      <c r="B1496">
        <v>899.7</v>
      </c>
      <c r="C1496">
        <v>899.7</v>
      </c>
      <c r="D1496">
        <v>2</v>
      </c>
      <c r="E1496">
        <v>50500</v>
      </c>
      <c r="F1496" s="70">
        <v>44535</v>
      </c>
      <c r="G1496" t="str">
        <f>IFERROR(IF((F1496-F1495)&gt;1,(LARGE(F1496:$F1496,1)-LARGE(F$1489:$F1496,2))-1,""),"")</f>
        <v/>
      </c>
      <c r="H1496" s="70"/>
      <c r="I1496" t="str">
        <f t="array" ref="I1496">IFERROR((LARGE($H$1489:H1496,1)-LARGE($H$1489:H1496,2)-1),"")</f>
        <v/>
      </c>
      <c r="J1496" t="str">
        <f t="array" ref="J1496">IFERROR((LARGE(#REF!,1)-LARGE(#REF!,2)-1),"")</f>
        <v/>
      </c>
    </row>
    <row r="1497" spans="1:10">
      <c r="A1497" s="79" t="s">
        <v>44028</v>
      </c>
      <c r="B1497">
        <v>899.7</v>
      </c>
      <c r="C1497">
        <v>899.7</v>
      </c>
      <c r="D1497">
        <v>1</v>
      </c>
      <c r="E1497">
        <v>1500</v>
      </c>
      <c r="F1497" s="70">
        <v>44536</v>
      </c>
      <c r="G1497" t="str">
        <f>IFERROR(IF((F1497-F1496)&gt;1,(LARGE(F1497:$F1497,1)-LARGE(F$1489:$F1497,2))-1,""),"")</f>
        <v/>
      </c>
      <c r="H1497" s="70"/>
      <c r="I1497" t="str">
        <f t="array" ref="I1497">IFERROR((LARGE($H$1489:H1497,1)-LARGE($H$1489:H1497,2)-1),"")</f>
        <v/>
      </c>
      <c r="J1497" t="str">
        <f t="array" ref="J1497">IFERROR((LARGE(#REF!,1)-LARGE(#REF!,2)-1),"")</f>
        <v/>
      </c>
    </row>
    <row r="1498" spans="1:10">
      <c r="A1498" s="77">
        <f>(SUM(D1499:D1502)/(A1491+4)+SUM(G1499:G1502))</f>
        <v>4.5384615384615383</v>
      </c>
      <c r="B1498">
        <v>899.7</v>
      </c>
      <c r="C1498">
        <v>899.7</v>
      </c>
      <c r="D1498">
        <v>1</v>
      </c>
      <c r="E1498">
        <v>1320</v>
      </c>
      <c r="F1498" s="70">
        <v>44538</v>
      </c>
      <c r="G1498">
        <f>IFERROR(IF((F1498-F1497)&gt;1,(LARGE(F1498:$F1498,1)-LARGE(F$1489:$F1498,2))-1,""),"")</f>
        <v>1</v>
      </c>
      <c r="H1498" s="70"/>
      <c r="I1498" t="str">
        <f t="array" ref="I1498">IFERROR((LARGE($H$1489:H1498,1)-LARGE($H$1489:H1498,2)-1),"")</f>
        <v/>
      </c>
      <c r="J1498" t="str">
        <f t="array" ref="J1498">IFERROR((LARGE(#REF!,1)-LARGE(#REF!,2)-1),"")</f>
        <v/>
      </c>
    </row>
    <row r="1499" spans="1:10">
      <c r="A1499" s="85" t="s">
        <v>44027</v>
      </c>
      <c r="B1499">
        <v>888</v>
      </c>
      <c r="C1499">
        <v>888</v>
      </c>
      <c r="D1499">
        <v>1</v>
      </c>
      <c r="E1499">
        <v>1039</v>
      </c>
      <c r="F1499" s="70">
        <v>44540</v>
      </c>
      <c r="G1499">
        <f>IFERROR(IF((F1499-F1498)&gt;1,(LARGE(F1499:$F1499,1)-LARGE(F$1489:$F1499,2))-1,""),"")</f>
        <v>1</v>
      </c>
      <c r="H1499" s="70"/>
      <c r="I1499" t="str">
        <f t="array" ref="I1499">IFERROR((LARGE($H$1489:H1499,1)-LARGE($H$1489:H1499,2)-1),"")</f>
        <v/>
      </c>
      <c r="J1499" t="str">
        <f t="array" ref="J1499">IFERROR((LARGE(#REF!,1)-LARGE(#REF!,2)-1),"")</f>
        <v/>
      </c>
    </row>
    <row r="1500" spans="1:10">
      <c r="A1500" s="86" t="str">
        <f>IF(A1493+A1491&gt;10,"Look Up",AVERAGE(A1495,A1496))</f>
        <v>Look Up</v>
      </c>
      <c r="B1500">
        <v>899.7</v>
      </c>
      <c r="C1500">
        <v>899.7</v>
      </c>
      <c r="D1500">
        <v>4</v>
      </c>
      <c r="E1500">
        <v>2520</v>
      </c>
      <c r="F1500" s="70">
        <v>44541</v>
      </c>
      <c r="G1500" t="str">
        <f>IFERROR(IF((F1500-F1499)&gt;1,(LARGE(F1500:$F1500,1)-LARGE(F$1489:$F1500,2))-1,""),"")</f>
        <v/>
      </c>
      <c r="H1500" s="70"/>
      <c r="I1500" t="str">
        <f t="array" ref="I1500">IFERROR((LARGE($H$1489:H1500,1)-LARGE($H$1489:H1500,2)-1),"")</f>
        <v/>
      </c>
      <c r="J1500" t="str">
        <f t="array" ref="J1500">IFERROR((LARGE(#REF!,1)-LARGE(#REF!,2)-1),"")</f>
        <v/>
      </c>
    </row>
    <row r="1501" spans="1:10">
      <c r="A1501" s="85" t="s">
        <v>44030</v>
      </c>
      <c r="B1501">
        <v>899.7</v>
      </c>
      <c r="C1501">
        <v>899.7</v>
      </c>
      <c r="D1501">
        <v>1</v>
      </c>
      <c r="E1501">
        <v>3202</v>
      </c>
      <c r="F1501" s="70">
        <v>44542</v>
      </c>
      <c r="G1501" t="str">
        <f>IFERROR(IF((F1501-F1500)&gt;1,(LARGE(F1501:$F1501,1)-LARGE(F$1489:$F1501,2))-1,""),"")</f>
        <v/>
      </c>
      <c r="H1501" s="70"/>
      <c r="I1501" t="str">
        <f t="array" ref="I1501">IFERROR((LARGE($H$1489:H1501,1)-LARGE($H$1489:H1501,2)-1),"")</f>
        <v/>
      </c>
      <c r="J1501" t="str">
        <f t="array" ref="J1501">IFERROR((LARGE(#REF!,1)-LARGE(#REF!,2)-1),"")</f>
        <v/>
      </c>
    </row>
    <row r="1502" spans="1:10">
      <c r="A1502" s="88"/>
      <c r="B1502">
        <v>899.7</v>
      </c>
      <c r="C1502">
        <v>899.7</v>
      </c>
      <c r="D1502">
        <v>1</v>
      </c>
      <c r="E1502">
        <v>10000</v>
      </c>
      <c r="F1502" s="70">
        <v>44546</v>
      </c>
      <c r="G1502">
        <f>IFERROR(IF((F1502-F1501)&gt;1,(LARGE(F1502:$F1502,1)-LARGE(F$1489:$F1502,2))-1,""),"")</f>
        <v>3</v>
      </c>
      <c r="H1502" s="70"/>
      <c r="I1502" t="str">
        <f t="array" ref="I1502">IFERROR((LARGE($H$1489:H1502,1)-LARGE($H$1489:H1502,2)-1),"")</f>
        <v/>
      </c>
      <c r="J1502" t="str">
        <f t="array" ref="J1502">IFERROR((LARGE(#REF!,1)-LARGE(#REF!,2)-1),"")</f>
        <v/>
      </c>
    </row>
    <row r="1503" spans="1:10">
      <c r="A1503" s="65">
        <f>VLOOKUP(TradeSheet!A102,TypeIDs!B:C,2,FALSE)</f>
        <v>12773</v>
      </c>
      <c r="B1503" t="s">
        <v>43998</v>
      </c>
      <c r="C1503" t="s">
        <v>43999</v>
      </c>
      <c r="D1503" t="s">
        <v>44000</v>
      </c>
      <c r="E1503" t="s">
        <v>44001</v>
      </c>
      <c r="F1503" t="s">
        <v>44009</v>
      </c>
      <c r="G1503" t="s">
        <v>44008</v>
      </c>
    </row>
    <row r="1504" spans="1:10">
      <c r="A1504" s="65" t="str">
        <f>CONCATENATE(SwaggerURL,input101)</f>
        <v>https://esi.evetech.net/latest/markets/10000021/history/?datasource=tranquility&amp;type_id=12773</v>
      </c>
      <c r="B1504">
        <v>650</v>
      </c>
      <c r="C1504">
        <v>650</v>
      </c>
      <c r="D1504">
        <v>5</v>
      </c>
      <c r="E1504">
        <v>6511</v>
      </c>
      <c r="F1504" s="70">
        <v>44539</v>
      </c>
      <c r="G1504" t="str">
        <f>IFERROR(IF((F1504-F1503)&gt;1,(LARGE(F1504:$F1504,1)-LARGE(F$1504:$F1504,2))-1,""),"")</f>
        <v/>
      </c>
    </row>
    <row r="1505" spans="1:7">
      <c r="A1505" s="79" t="s">
        <v>44018</v>
      </c>
      <c r="B1505">
        <v>650</v>
      </c>
      <c r="C1505">
        <v>650</v>
      </c>
      <c r="D1505">
        <v>3</v>
      </c>
      <c r="E1505">
        <v>7760</v>
      </c>
      <c r="F1505" s="70">
        <v>44540</v>
      </c>
      <c r="G1505" t="str">
        <f>IFERROR(IF((F1505-F1504)&gt;1,(LARGE(F1505:$F1505,1)-LARGE(F$1504:$F1505,2))-1,""),"")</f>
        <v/>
      </c>
    </row>
    <row r="1506" spans="1:7">
      <c r="A1506" s="78">
        <f>MAX(0,(CurrentDate-2)-F1517)</f>
        <v>1</v>
      </c>
      <c r="B1506">
        <v>645</v>
      </c>
      <c r="C1506">
        <v>645</v>
      </c>
      <c r="D1506">
        <v>1</v>
      </c>
      <c r="E1506">
        <v>2500</v>
      </c>
      <c r="F1506" s="70">
        <v>44542</v>
      </c>
      <c r="G1506">
        <f>IFERROR(IF((F1506-F1505)&gt;1,(LARGE(F1506:$F1506,1)-LARGE(F$1504:$F1506,2))-1,""),"")</f>
        <v>1</v>
      </c>
    </row>
    <row r="1507" spans="1:7">
      <c r="A1507" s="79" t="s">
        <v>44026</v>
      </c>
      <c r="B1507">
        <v>645</v>
      </c>
      <c r="C1507">
        <v>645</v>
      </c>
      <c r="D1507">
        <v>6</v>
      </c>
      <c r="E1507">
        <v>7932</v>
      </c>
      <c r="F1507" s="70">
        <v>44543</v>
      </c>
      <c r="G1507" t="str">
        <f>IFERROR(IF((F1507-F1506)&gt;1,(LARGE(F1507:$F1507,1)-LARGE(F$1504:$F1507,2))-1,""),"")</f>
        <v/>
      </c>
    </row>
    <row r="1508" spans="1:7">
      <c r="A1508" s="83">
        <f>SUM(G1511:G1517)</f>
        <v>1</v>
      </c>
      <c r="B1508">
        <v>645</v>
      </c>
      <c r="C1508">
        <v>645</v>
      </c>
      <c r="D1508">
        <v>1</v>
      </c>
      <c r="E1508">
        <v>1344</v>
      </c>
      <c r="F1508" s="70">
        <v>44544</v>
      </c>
      <c r="G1508" t="str">
        <f>IFERROR(IF((F1508-F1507)&gt;1,(LARGE(F1508:$F1508,1)-LARGE(F$1504:$F1508,2))-1,""),"")</f>
        <v/>
      </c>
    </row>
    <row r="1509" spans="1:7">
      <c r="A1509" s="79" t="s">
        <v>44029</v>
      </c>
      <c r="B1509">
        <v>645</v>
      </c>
      <c r="C1509">
        <v>645</v>
      </c>
      <c r="D1509">
        <v>3</v>
      </c>
      <c r="E1509">
        <v>2501</v>
      </c>
      <c r="F1509" s="70">
        <v>44545</v>
      </c>
      <c r="G1509" t="str">
        <f>IFERROR(IF((F1509-F1508)&gt;1,(LARGE(F1509:$F1509,1)-LARGE(F$1504:$F1509,2))-1,""),"")</f>
        <v/>
      </c>
    </row>
    <row r="1510" spans="1:7">
      <c r="A1510" s="77">
        <f>(SUM(E1504:E1517)/(A1506+14)+SUM(G1504:G1517))</f>
        <v>4843.0666666666666</v>
      </c>
      <c r="B1510">
        <v>75.010000000000005</v>
      </c>
      <c r="C1510">
        <v>75.010000000000005</v>
      </c>
      <c r="D1510">
        <v>1</v>
      </c>
      <c r="E1510">
        <v>3000</v>
      </c>
      <c r="F1510" s="70">
        <v>44546</v>
      </c>
      <c r="G1510" t="str">
        <f>IFERROR(IF((F1510-F1509)&gt;1,(LARGE(F1510:$F1510,1)-LARGE(F$1504:$F1510,2))-1,""),"")</f>
        <v/>
      </c>
    </row>
    <row r="1511" spans="1:7">
      <c r="A1511" s="77">
        <f>(SUM(E1511:E1517)/(A1506+7)+SUM(G1511:G1517))</f>
        <v>5134.5</v>
      </c>
      <c r="B1511">
        <v>640</v>
      </c>
      <c r="C1511">
        <v>640</v>
      </c>
      <c r="D1511">
        <v>2</v>
      </c>
      <c r="E1511">
        <v>2500</v>
      </c>
      <c r="F1511" s="70">
        <v>44548</v>
      </c>
      <c r="G1511">
        <f>IFERROR(IF((F1511-F1510)&gt;1,(LARGE(F1511:$F1511,1)-LARGE(F$1504:$F1511,2))-1,""),"")</f>
        <v>1</v>
      </c>
    </row>
    <row r="1512" spans="1:7">
      <c r="A1512" s="79" t="s">
        <v>44028</v>
      </c>
      <c r="B1512">
        <v>635</v>
      </c>
      <c r="C1512">
        <v>635</v>
      </c>
      <c r="D1512">
        <v>6</v>
      </c>
      <c r="E1512">
        <v>15108</v>
      </c>
      <c r="F1512" s="70">
        <v>44549</v>
      </c>
      <c r="G1512" t="str">
        <f>IFERROR(IF((F1512-F1511)&gt;1,(LARGE(F1512:$F1512,1)-LARGE(F$1504:$F1512,2))-1,""),"")</f>
        <v/>
      </c>
    </row>
    <row r="1513" spans="1:7">
      <c r="A1513" s="77">
        <f>(SUM(D1514:D1517)/(A1506+4)+SUM(G1514:G1517))</f>
        <v>1.6</v>
      </c>
      <c r="B1513">
        <v>695</v>
      </c>
      <c r="C1513">
        <v>695</v>
      </c>
      <c r="D1513">
        <v>1</v>
      </c>
      <c r="E1513">
        <v>5000</v>
      </c>
      <c r="F1513" s="70">
        <v>44550</v>
      </c>
      <c r="G1513" t="str">
        <f>IFERROR(IF((F1513-F1512)&gt;1,(LARGE(F1513:$F1513,1)-LARGE(F$1504:$F1513,2))-1,""),"")</f>
        <v/>
      </c>
    </row>
    <row r="1514" spans="1:7">
      <c r="A1514" s="85" t="s">
        <v>44027</v>
      </c>
      <c r="B1514">
        <v>695</v>
      </c>
      <c r="C1514">
        <v>695</v>
      </c>
      <c r="D1514">
        <v>1</v>
      </c>
      <c r="E1514">
        <v>1200</v>
      </c>
      <c r="F1514" s="70">
        <v>44551</v>
      </c>
      <c r="G1514" t="str">
        <f>IFERROR(IF((F1514-F1513)&gt;1,(LARGE(F1514:$F1514,1)-LARGE(F$1504:$F1514,2))-1,""),"")</f>
        <v/>
      </c>
    </row>
    <row r="1515" spans="1:7">
      <c r="A1515" s="86">
        <f>IF(A1508+A1506&gt;10,"Look Up",AVERAGE(A1510,A1511))</f>
        <v>4988.7833333333328</v>
      </c>
      <c r="B1515">
        <v>695</v>
      </c>
      <c r="C1515">
        <v>695</v>
      </c>
      <c r="D1515">
        <v>3</v>
      </c>
      <c r="E1515">
        <v>3380</v>
      </c>
      <c r="F1515" s="70">
        <v>44552</v>
      </c>
      <c r="G1515" t="str">
        <f>IFERROR(IF((F1515-F1514)&gt;1,(LARGE(F1515:$F1515,1)-LARGE(F$1504:$F1515,2))-1,""),"")</f>
        <v/>
      </c>
    </row>
    <row r="1516" spans="1:7">
      <c r="A1516" s="85" t="s">
        <v>44030</v>
      </c>
      <c r="B1516">
        <v>695</v>
      </c>
      <c r="C1516">
        <v>695</v>
      </c>
      <c r="D1516">
        <v>2</v>
      </c>
      <c r="E1516">
        <v>4380</v>
      </c>
      <c r="F1516" s="70">
        <v>44553</v>
      </c>
      <c r="G1516" t="str">
        <f>IFERROR(IF((F1516-F1515)&gt;1,(LARGE(F1516:$F1516,1)-LARGE(F$1504:$F1516,2))-1,""),"")</f>
        <v/>
      </c>
    </row>
    <row r="1517" spans="1:7">
      <c r="A1517" s="88"/>
      <c r="B1517">
        <v>700</v>
      </c>
      <c r="C1517">
        <v>700</v>
      </c>
      <c r="D1517">
        <v>2</v>
      </c>
      <c r="E1517">
        <v>9500</v>
      </c>
      <c r="F1517" s="70">
        <v>44554</v>
      </c>
      <c r="G1517" t="str">
        <f>IFERROR(IF((F1517-F1516)&gt;1,(LARGE(F1517:$F1517,1)-LARGE(F$1504:$F1517,2))-1,""),"")</f>
        <v/>
      </c>
    </row>
    <row r="1518" spans="1:7">
      <c r="A1518" s="65">
        <f>VLOOKUP(TradeSheet!A103,TypeIDs!B:C,2,FALSE)</f>
        <v>12777</v>
      </c>
      <c r="B1518" t="s">
        <v>43998</v>
      </c>
      <c r="C1518" t="s">
        <v>43999</v>
      </c>
      <c r="D1518" t="s">
        <v>44000</v>
      </c>
      <c r="E1518" t="s">
        <v>44001</v>
      </c>
      <c r="F1518" t="s">
        <v>44009</v>
      </c>
      <c r="G1518" t="s">
        <v>44008</v>
      </c>
    </row>
    <row r="1519" spans="1:7">
      <c r="A1519" s="65" t="str">
        <f>CONCATENATE(SwaggerURL,input102)</f>
        <v>https://esi.evetech.net/latest/markets/10000021/history/?datasource=tranquility&amp;type_id=12777</v>
      </c>
      <c r="B1519">
        <v>318.89999999999998</v>
      </c>
      <c r="C1519">
        <v>318.89999999999998</v>
      </c>
      <c r="D1519">
        <v>1</v>
      </c>
      <c r="E1519">
        <v>2000</v>
      </c>
      <c r="F1519" s="70">
        <v>44541</v>
      </c>
      <c r="G1519" t="str">
        <f>IFERROR(IF((F1519-F1518)&gt;1,(LARGE(F1519:$F1519,1)-LARGE(F$1519:$F1519,2))-1,""),"")</f>
        <v/>
      </c>
    </row>
    <row r="1520" spans="1:7">
      <c r="A1520" s="79" t="s">
        <v>44018</v>
      </c>
      <c r="B1520">
        <v>318.89999999999998</v>
      </c>
      <c r="C1520">
        <v>318.89999999999998</v>
      </c>
      <c r="D1520">
        <v>4</v>
      </c>
      <c r="E1520">
        <v>15180</v>
      </c>
      <c r="F1520" s="70">
        <v>44542</v>
      </c>
      <c r="G1520" t="str">
        <f>IFERROR(IF((F1520-F1519)&gt;1,(LARGE(F1520:$F1520,1)-LARGE(F$1519:$F1520,2))-1,""),"")</f>
        <v/>
      </c>
    </row>
    <row r="1521" spans="1:7">
      <c r="A1521" s="78">
        <f>MAX(0,(CurrentDate-2)-F1532)</f>
        <v>1</v>
      </c>
      <c r="B1521">
        <v>318.89999999999998</v>
      </c>
      <c r="C1521">
        <v>318.89999999999998</v>
      </c>
      <c r="D1521">
        <v>4</v>
      </c>
      <c r="E1521">
        <v>12244</v>
      </c>
      <c r="F1521" s="70">
        <v>44543</v>
      </c>
      <c r="G1521" t="str">
        <f>IFERROR(IF((F1521-F1520)&gt;1,(LARGE(F1521:$F1521,1)-LARGE(F$1519:$F1521,2))-1,""),"")</f>
        <v/>
      </c>
    </row>
    <row r="1522" spans="1:7">
      <c r="A1522" s="79" t="s">
        <v>44026</v>
      </c>
      <c r="B1522">
        <v>318.89999999999998</v>
      </c>
      <c r="C1522">
        <v>318.89999999999998</v>
      </c>
      <c r="D1522">
        <v>1</v>
      </c>
      <c r="E1522">
        <v>3341</v>
      </c>
      <c r="F1522" s="70">
        <v>44544</v>
      </c>
      <c r="G1522" t="str">
        <f>IFERROR(IF((F1522-F1521)&gt;1,(LARGE(F1522:$F1522,1)-LARGE(F$1519:$F1522,2))-1,""),"")</f>
        <v/>
      </c>
    </row>
    <row r="1523" spans="1:7">
      <c r="A1523" s="83">
        <f>SUM(G1526:G1532)</f>
        <v>0</v>
      </c>
      <c r="B1523">
        <v>318.89999999999998</v>
      </c>
      <c r="C1523">
        <v>318.89999999999998</v>
      </c>
      <c r="D1523">
        <v>4</v>
      </c>
      <c r="E1523">
        <v>6501</v>
      </c>
      <c r="F1523" s="70">
        <v>44545</v>
      </c>
      <c r="G1523" t="str">
        <f>IFERROR(IF((F1523-F1522)&gt;1,(LARGE(F1523:$F1523,1)-LARGE(F$1519:$F1523,2))-1,""),"")</f>
        <v/>
      </c>
    </row>
    <row r="1524" spans="1:7">
      <c r="A1524" s="79" t="s">
        <v>44029</v>
      </c>
      <c r="B1524">
        <v>318.89999999999998</v>
      </c>
      <c r="C1524">
        <v>318.89999999999998</v>
      </c>
      <c r="D1524">
        <v>2</v>
      </c>
      <c r="E1524">
        <v>8000</v>
      </c>
      <c r="F1524" s="70">
        <v>44546</v>
      </c>
      <c r="G1524" t="str">
        <f>IFERROR(IF((F1524-F1523)&gt;1,(LARGE(F1524:$F1524,1)-LARGE(F$1519:$F1524,2))-1,""),"")</f>
        <v/>
      </c>
    </row>
    <row r="1525" spans="1:7">
      <c r="A1525" s="77">
        <f>(SUM(E1519:E1532)/(A1521+14)+SUM(G1519:G1532))</f>
        <v>12656.4</v>
      </c>
      <c r="B1525">
        <v>318.89999999999998</v>
      </c>
      <c r="C1525">
        <v>318.89999999999998</v>
      </c>
      <c r="D1525">
        <v>2</v>
      </c>
      <c r="E1525">
        <v>2500</v>
      </c>
      <c r="F1525" s="70">
        <v>44547</v>
      </c>
      <c r="G1525" t="str">
        <f>IFERROR(IF((F1525-F1524)&gt;1,(LARGE(F1525:$F1525,1)-LARGE(F$1519:$F1525,2))-1,""),"")</f>
        <v/>
      </c>
    </row>
    <row r="1526" spans="1:7">
      <c r="A1526" s="77">
        <f>(SUM(E1526:E1532)/(A1521+7)+SUM(G1526:G1532))</f>
        <v>17510</v>
      </c>
      <c r="B1526">
        <v>318.89999999999998</v>
      </c>
      <c r="C1526">
        <v>318.89999999999998</v>
      </c>
      <c r="D1526">
        <v>3</v>
      </c>
      <c r="E1526">
        <v>4656</v>
      </c>
      <c r="F1526" s="70">
        <v>44548</v>
      </c>
      <c r="G1526" t="str">
        <f>IFERROR(IF((F1526-F1525)&gt;1,(LARGE(F1526:$F1526,1)-LARGE(F$1519:$F1526,2))-1,""),"")</f>
        <v/>
      </c>
    </row>
    <row r="1527" spans="1:7">
      <c r="A1527" s="79" t="s">
        <v>44028</v>
      </c>
      <c r="B1527">
        <v>318.89999999999998</v>
      </c>
      <c r="C1527">
        <v>318.89999999999998</v>
      </c>
      <c r="D1527">
        <v>6</v>
      </c>
      <c r="E1527">
        <v>11132</v>
      </c>
      <c r="F1527" s="70">
        <v>44549</v>
      </c>
      <c r="G1527" t="str">
        <f>IFERROR(IF((F1527-F1526)&gt;1,(LARGE(F1527:$F1527,1)-LARGE(F$1519:$F1527,2))-1,""),"")</f>
        <v/>
      </c>
    </row>
    <row r="1528" spans="1:7">
      <c r="A1528" s="77">
        <f>(SUM(D1529:D1532)/(A1521+4)+SUM(G1529:G1532))</f>
        <v>3</v>
      </c>
      <c r="B1528">
        <v>318.89999999999998</v>
      </c>
      <c r="C1528">
        <v>318.89999999999998</v>
      </c>
      <c r="D1528">
        <v>2</v>
      </c>
      <c r="E1528">
        <v>30000</v>
      </c>
      <c r="F1528" s="70">
        <v>44550</v>
      </c>
      <c r="G1528" t="str">
        <f>IFERROR(IF((F1528-F1527)&gt;1,(LARGE(F1528:$F1528,1)-LARGE(F$1519:$F1528,2))-1,""),"")</f>
        <v/>
      </c>
    </row>
    <row r="1529" spans="1:7">
      <c r="A1529" s="85" t="s">
        <v>44027</v>
      </c>
      <c r="B1529">
        <v>318.89999999999998</v>
      </c>
      <c r="C1529">
        <v>318.89999999999998</v>
      </c>
      <c r="D1529">
        <v>2</v>
      </c>
      <c r="E1529">
        <v>52944</v>
      </c>
      <c r="F1529" s="70">
        <v>44551</v>
      </c>
      <c r="G1529" t="str">
        <f>IFERROR(IF((F1529-F1528)&gt;1,(LARGE(F1529:$F1529,1)-LARGE(F$1519:$F1529,2))-1,""),"")</f>
        <v/>
      </c>
    </row>
    <row r="1530" spans="1:7">
      <c r="A1530" s="86">
        <f>IF(A1523+A1521&gt;10,"Look Up",AVERAGE(A1525,A1526))</f>
        <v>15083.2</v>
      </c>
      <c r="B1530">
        <v>442</v>
      </c>
      <c r="C1530">
        <v>442</v>
      </c>
      <c r="D1530">
        <v>3</v>
      </c>
      <c r="E1530">
        <v>5564</v>
      </c>
      <c r="F1530" s="70">
        <v>44552</v>
      </c>
      <c r="G1530" t="str">
        <f>IFERROR(IF((F1530-F1529)&gt;1,(LARGE(F1530:$F1530,1)-LARGE(F$1519:$F1530,2))-1,""),"")</f>
        <v/>
      </c>
    </row>
    <row r="1531" spans="1:7">
      <c r="A1531" s="85" t="s">
        <v>44030</v>
      </c>
      <c r="B1531">
        <v>442</v>
      </c>
      <c r="C1531">
        <v>442</v>
      </c>
      <c r="D1531">
        <v>5</v>
      </c>
      <c r="E1531">
        <v>20684</v>
      </c>
      <c r="F1531" s="70">
        <v>44553</v>
      </c>
      <c r="G1531" t="str">
        <f>IFERROR(IF((F1531-F1530)&gt;1,(LARGE(F1531:$F1531,1)-LARGE(F$1519:$F1531,2))-1,""),"")</f>
        <v/>
      </c>
    </row>
    <row r="1532" spans="1:7">
      <c r="A1532" s="88"/>
      <c r="B1532">
        <v>450</v>
      </c>
      <c r="C1532">
        <v>450</v>
      </c>
      <c r="D1532">
        <v>5</v>
      </c>
      <c r="E1532">
        <v>15100</v>
      </c>
      <c r="F1532" s="70">
        <v>44554</v>
      </c>
      <c r="G1532" t="str">
        <f>IFERROR(IF((F1532-F1531)&gt;1,(LARGE(F1532:$F1532,1)-LARGE(F$1519:$F1532,2))-1,""),"")</f>
        <v/>
      </c>
    </row>
    <row r="1533" spans="1:7">
      <c r="A1533" s="65">
        <f>VLOOKUP(TradeSheet!A104,TypeIDs!B:C,2,FALSE)</f>
        <v>12625</v>
      </c>
      <c r="B1533" t="s">
        <v>43998</v>
      </c>
      <c r="C1533" t="s">
        <v>43999</v>
      </c>
      <c r="D1533" t="s">
        <v>44000</v>
      </c>
      <c r="E1533" t="s">
        <v>44001</v>
      </c>
      <c r="F1533" t="s">
        <v>44009</v>
      </c>
      <c r="G1533" t="s">
        <v>44008</v>
      </c>
    </row>
    <row r="1534" spans="1:7">
      <c r="A1534" s="65" t="str">
        <f>CONCATENATE(SwaggerURL,input103)</f>
        <v>https://esi.evetech.net/latest/markets/10000021/history/?datasource=tranquility&amp;type_id=12625</v>
      </c>
      <c r="B1534">
        <v>69</v>
      </c>
      <c r="C1534">
        <v>69</v>
      </c>
      <c r="D1534">
        <v>4</v>
      </c>
      <c r="E1534">
        <v>8399</v>
      </c>
      <c r="F1534" s="70">
        <v>44524</v>
      </c>
      <c r="G1534" t="str">
        <f>IFERROR(IF((F1534-F1533)&gt;1,(LARGE(F1534:$F1534,1)-LARGE(F$1534:$F1534,2))-1,""),"")</f>
        <v/>
      </c>
    </row>
    <row r="1535" spans="1:7">
      <c r="A1535" s="79" t="s">
        <v>44018</v>
      </c>
      <c r="B1535">
        <v>69.010000000000005</v>
      </c>
      <c r="C1535">
        <v>69.010000000000005</v>
      </c>
      <c r="D1535">
        <v>5</v>
      </c>
      <c r="E1535">
        <v>17580</v>
      </c>
      <c r="F1535" s="70">
        <v>44525</v>
      </c>
      <c r="G1535" t="str">
        <f>IFERROR(IF((F1535-F1534)&gt;1,(LARGE(F1535:$F1535,1)-LARGE(F$1534:$F1535,2))-1,""),"")</f>
        <v/>
      </c>
    </row>
    <row r="1536" spans="1:7">
      <c r="A1536" s="78">
        <f>MAX(0,(CurrentDate-2)-F1547)</f>
        <v>1</v>
      </c>
      <c r="B1536">
        <v>75.5</v>
      </c>
      <c r="C1536">
        <v>75.5</v>
      </c>
      <c r="D1536">
        <v>2</v>
      </c>
      <c r="E1536">
        <v>2000</v>
      </c>
      <c r="F1536" s="70">
        <v>44526</v>
      </c>
      <c r="G1536" t="str">
        <f>IFERROR(IF((F1536-F1535)&gt;1,(LARGE(F1536:$F1536,1)-LARGE(F$1534:$F1536,2))-1,""),"")</f>
        <v/>
      </c>
    </row>
    <row r="1537" spans="1:7">
      <c r="A1537" s="79" t="s">
        <v>44026</v>
      </c>
      <c r="B1537">
        <v>74.239999999999995</v>
      </c>
      <c r="C1537">
        <v>74.239999999999995</v>
      </c>
      <c r="D1537">
        <v>2</v>
      </c>
      <c r="E1537">
        <v>3400</v>
      </c>
      <c r="F1537" s="70">
        <v>44528</v>
      </c>
      <c r="G1537">
        <f>IFERROR(IF((F1537-F1536)&gt;1,(LARGE(F1537:$F1537,1)-LARGE(F$1534:$F1537,2))-1,""),"")</f>
        <v>1</v>
      </c>
    </row>
    <row r="1538" spans="1:7">
      <c r="A1538" s="83">
        <f>SUM(G1541:G1547)</f>
        <v>5</v>
      </c>
      <c r="B1538">
        <v>75.5</v>
      </c>
      <c r="C1538">
        <v>75.5</v>
      </c>
      <c r="D1538">
        <v>2</v>
      </c>
      <c r="E1538">
        <v>1200</v>
      </c>
      <c r="F1538" s="70">
        <v>44529</v>
      </c>
      <c r="G1538" t="str">
        <f>IFERROR(IF((F1538-F1537)&gt;1,(LARGE(F1538:$F1538,1)-LARGE(F$1534:$F1538,2))-1,""),"")</f>
        <v/>
      </c>
    </row>
    <row r="1539" spans="1:7">
      <c r="A1539" s="79" t="s">
        <v>44029</v>
      </c>
      <c r="B1539">
        <v>500</v>
      </c>
      <c r="C1539">
        <v>500</v>
      </c>
      <c r="D1539">
        <v>2</v>
      </c>
      <c r="E1539">
        <v>3400</v>
      </c>
      <c r="F1539" s="70">
        <v>44539</v>
      </c>
      <c r="G1539">
        <f>IFERROR(IF((F1539-F1538)&gt;1,(LARGE(F1539:$F1539,1)-LARGE(F$1534:$F1539,2))-1,""),"")</f>
        <v>9</v>
      </c>
    </row>
    <row r="1540" spans="1:7">
      <c r="A1540" s="77">
        <f>(SUM(E1534:E1547)/(A1536+14)+SUM(G1534:G1547))</f>
        <v>4189.7333333333336</v>
      </c>
      <c r="B1540">
        <v>500</v>
      </c>
      <c r="C1540">
        <v>500</v>
      </c>
      <c r="D1540">
        <v>2</v>
      </c>
      <c r="E1540">
        <v>1280</v>
      </c>
      <c r="F1540" s="70">
        <v>44542</v>
      </c>
      <c r="G1540">
        <f>IFERROR(IF((F1540-F1539)&gt;1,(LARGE(F1540:$F1540,1)-LARGE(F$1534:$F1540,2))-1,""),"")</f>
        <v>2</v>
      </c>
    </row>
    <row r="1541" spans="1:7">
      <c r="A1541" s="77">
        <f>(SUM(E1541:E1547)/(A1536+7)+SUM(G1541:G1547))</f>
        <v>3171.5</v>
      </c>
      <c r="B1541">
        <v>500</v>
      </c>
      <c r="C1541">
        <v>500</v>
      </c>
      <c r="D1541">
        <v>1</v>
      </c>
      <c r="E1541">
        <v>500</v>
      </c>
      <c r="F1541" s="70">
        <v>44544</v>
      </c>
      <c r="G1541">
        <f>IFERROR(IF((F1541-F1540)&gt;1,(LARGE(F1541:$F1541,1)-LARGE(F$1534:$F1541,2))-1,""),"")</f>
        <v>1</v>
      </c>
    </row>
    <row r="1542" spans="1:7">
      <c r="A1542" s="79" t="s">
        <v>44028</v>
      </c>
      <c r="B1542">
        <v>260</v>
      </c>
      <c r="C1542">
        <v>260</v>
      </c>
      <c r="D1542">
        <v>1</v>
      </c>
      <c r="E1542">
        <v>4800</v>
      </c>
      <c r="F1542" s="70">
        <v>44546</v>
      </c>
      <c r="G1542">
        <f>IFERROR(IF((F1542-F1541)&gt;1,(LARGE(F1542:$F1542,1)-LARGE(F$1534:$F1542,2))-1,""),"")</f>
        <v>1</v>
      </c>
    </row>
    <row r="1543" spans="1:7">
      <c r="A1543" s="77">
        <f>(SUM(D1544:D1547)/(A1536+4)+SUM(G1544:G1547))</f>
        <v>5.4</v>
      </c>
      <c r="B1543">
        <v>260</v>
      </c>
      <c r="C1543">
        <v>260</v>
      </c>
      <c r="D1543">
        <v>3</v>
      </c>
      <c r="E1543">
        <v>2128</v>
      </c>
      <c r="F1543" s="70">
        <v>44547</v>
      </c>
      <c r="G1543" t="str">
        <f>IFERROR(IF((F1543-F1542)&gt;1,(LARGE(F1543:$F1543,1)-LARGE(F$1534:$F1543,2))-1,""),"")</f>
        <v/>
      </c>
    </row>
    <row r="1544" spans="1:7">
      <c r="A1544" s="85" t="s">
        <v>44027</v>
      </c>
      <c r="B1544">
        <v>260</v>
      </c>
      <c r="C1544">
        <v>260</v>
      </c>
      <c r="D1544">
        <v>3</v>
      </c>
      <c r="E1544">
        <v>5600</v>
      </c>
      <c r="F1544" s="70">
        <v>44548</v>
      </c>
      <c r="G1544" t="str">
        <f>IFERROR(IF((F1544-F1543)&gt;1,(LARGE(F1544:$F1544,1)-LARGE(F$1534:$F1544,2))-1,""),"")</f>
        <v/>
      </c>
    </row>
    <row r="1545" spans="1:7">
      <c r="A1545" s="86">
        <f>IF(A1538+A1536&gt;10,"Look Up",AVERAGE(A1540,A1541))</f>
        <v>3680.6166666666668</v>
      </c>
      <c r="B1545">
        <v>250</v>
      </c>
      <c r="C1545">
        <v>250</v>
      </c>
      <c r="D1545">
        <v>5</v>
      </c>
      <c r="E1545">
        <v>6320</v>
      </c>
      <c r="F1545" s="70">
        <v>44550</v>
      </c>
      <c r="G1545">
        <f>IFERROR(IF((F1545-F1544)&gt;1,(LARGE(F1545:$F1545,1)-LARGE(F$1534:$F1545,2))-1,""),"")</f>
        <v>1</v>
      </c>
    </row>
    <row r="1546" spans="1:7">
      <c r="A1546" s="85" t="s">
        <v>44030</v>
      </c>
      <c r="B1546">
        <v>249.8</v>
      </c>
      <c r="C1546">
        <v>249.8</v>
      </c>
      <c r="D1546">
        <v>3</v>
      </c>
      <c r="E1546">
        <v>2055</v>
      </c>
      <c r="F1546" s="70">
        <v>44553</v>
      </c>
      <c r="G1546">
        <f>IFERROR(IF((F1546-F1545)&gt;1,(LARGE(F1546:$F1546,1)-LARGE(F$1534:$F1546,2))-1,""),"")</f>
        <v>2</v>
      </c>
    </row>
    <row r="1547" spans="1:7">
      <c r="A1547" s="88"/>
      <c r="B1547">
        <v>249.8</v>
      </c>
      <c r="C1547">
        <v>249.8</v>
      </c>
      <c r="D1547">
        <v>1</v>
      </c>
      <c r="E1547">
        <v>3929</v>
      </c>
      <c r="F1547" s="70">
        <v>44554</v>
      </c>
      <c r="G1547" t="str">
        <f>IFERROR(IF((F1547-F1546)&gt;1,(LARGE(F1547:$F1547,1)-LARGE(F$1534:$F1547,2))-1,""),"")</f>
        <v/>
      </c>
    </row>
    <row r="1548" spans="1:7">
      <c r="A1548" s="65">
        <f>VLOOKUP(TradeSheet!A105,TypeIDs!B:C,2,FALSE)</f>
        <v>12608</v>
      </c>
      <c r="B1548" t="s">
        <v>43998</v>
      </c>
      <c r="C1548" t="s">
        <v>43999</v>
      </c>
      <c r="D1548" t="s">
        <v>44000</v>
      </c>
      <c r="E1548" t="s">
        <v>44001</v>
      </c>
      <c r="F1548" t="s">
        <v>44009</v>
      </c>
      <c r="G1548" t="s">
        <v>44008</v>
      </c>
    </row>
    <row r="1549" spans="1:7">
      <c r="A1549" s="65" t="str">
        <f>CONCATENATE(SwaggerURL,input104)</f>
        <v>https://esi.evetech.net/latest/markets/10000021/history/?datasource=tranquility&amp;type_id=12608</v>
      </c>
      <c r="B1549">
        <v>449</v>
      </c>
      <c r="C1549">
        <v>449</v>
      </c>
      <c r="D1549">
        <v>2</v>
      </c>
      <c r="E1549">
        <v>2400</v>
      </c>
      <c r="F1549" s="70">
        <v>44539</v>
      </c>
      <c r="G1549" t="str">
        <f>IFERROR(IF((F1549-F1548)&gt;1,(LARGE(F1549:$F1549,1)-LARGE(F$1549:$F1549,2))-1,""),"")</f>
        <v/>
      </c>
    </row>
    <row r="1550" spans="1:7">
      <c r="A1550" s="79" t="s">
        <v>44018</v>
      </c>
      <c r="B1550">
        <v>449</v>
      </c>
      <c r="C1550">
        <v>449</v>
      </c>
      <c r="D1550">
        <v>2</v>
      </c>
      <c r="E1550">
        <v>6000</v>
      </c>
      <c r="F1550" s="70">
        <v>44541</v>
      </c>
      <c r="G1550">
        <f>IFERROR(IF((F1550-F1549)&gt;1,(LARGE(F1550:$F1550,1)-LARGE(F$1549:$F1550,2))-1,""),"")</f>
        <v>1</v>
      </c>
    </row>
    <row r="1551" spans="1:7">
      <c r="A1551" s="78">
        <f>MAX(0,(CurrentDate-2)-F1562)</f>
        <v>1</v>
      </c>
      <c r="B1551">
        <v>445</v>
      </c>
      <c r="C1551">
        <v>445</v>
      </c>
      <c r="D1551">
        <v>1</v>
      </c>
      <c r="E1551">
        <v>800</v>
      </c>
      <c r="F1551" s="70">
        <v>44542</v>
      </c>
      <c r="G1551" t="str">
        <f>IFERROR(IF((F1551-F1550)&gt;1,(LARGE(F1551:$F1551,1)-LARGE(F$1549:$F1551,2))-1,""),"")</f>
        <v/>
      </c>
    </row>
    <row r="1552" spans="1:7">
      <c r="A1552" s="79" t="s">
        <v>44026</v>
      </c>
      <c r="B1552">
        <v>445</v>
      </c>
      <c r="C1552">
        <v>445</v>
      </c>
      <c r="D1552">
        <v>1</v>
      </c>
      <c r="E1552">
        <v>2000</v>
      </c>
      <c r="F1552" s="70">
        <v>44543</v>
      </c>
      <c r="G1552" t="str">
        <f>IFERROR(IF((F1552-F1551)&gt;1,(LARGE(F1552:$F1552,1)-LARGE(F$1549:$F1552,2))-1,""),"")</f>
        <v/>
      </c>
    </row>
    <row r="1553" spans="1:7">
      <c r="A1553" s="83">
        <f>SUM(G1556:G1562)</f>
        <v>1</v>
      </c>
      <c r="B1553">
        <v>445</v>
      </c>
      <c r="C1553">
        <v>445</v>
      </c>
      <c r="D1553">
        <v>1</v>
      </c>
      <c r="E1553">
        <v>1000</v>
      </c>
      <c r="F1553" s="70">
        <v>44544</v>
      </c>
      <c r="G1553" t="str">
        <f>IFERROR(IF((F1553-F1552)&gt;1,(LARGE(F1553:$F1553,1)-LARGE(F$1549:$F1553,2))-1,""),"")</f>
        <v/>
      </c>
    </row>
    <row r="1554" spans="1:7">
      <c r="A1554" s="79" t="s">
        <v>44029</v>
      </c>
      <c r="B1554">
        <v>449</v>
      </c>
      <c r="C1554">
        <v>449</v>
      </c>
      <c r="D1554">
        <v>2</v>
      </c>
      <c r="E1554">
        <v>3500</v>
      </c>
      <c r="F1554" s="70">
        <v>44545</v>
      </c>
      <c r="G1554" t="str">
        <f>IFERROR(IF((F1554-F1553)&gt;1,(LARGE(F1554:$F1554,1)-LARGE(F$1549:$F1554,2))-1,""),"")</f>
        <v/>
      </c>
    </row>
    <row r="1555" spans="1:7">
      <c r="A1555" s="77">
        <f>(SUM(E1549:E1562)/(A1551+14)+SUM(G1549:G1562))</f>
        <v>4863.2</v>
      </c>
      <c r="B1555">
        <v>250</v>
      </c>
      <c r="C1555">
        <v>250</v>
      </c>
      <c r="D1555">
        <v>2</v>
      </c>
      <c r="E1555">
        <v>5600</v>
      </c>
      <c r="F1555" s="70">
        <v>44546</v>
      </c>
      <c r="G1555" t="str">
        <f>IFERROR(IF((F1555-F1554)&gt;1,(LARGE(F1555:$F1555,1)-LARGE(F$1549:$F1555,2))-1,""),"")</f>
        <v/>
      </c>
    </row>
    <row r="1556" spans="1:7">
      <c r="A1556" s="77">
        <f>(SUM(E1556:E1562)/(A1551+7)+SUM(G1556:G1562))</f>
        <v>6453.25</v>
      </c>
      <c r="B1556">
        <v>250</v>
      </c>
      <c r="C1556">
        <v>250</v>
      </c>
      <c r="D1556">
        <v>3</v>
      </c>
      <c r="E1556">
        <v>3136</v>
      </c>
      <c r="F1556" s="70">
        <v>44547</v>
      </c>
      <c r="G1556" t="str">
        <f>IFERROR(IF((F1556-F1555)&gt;1,(LARGE(F1556:$F1556,1)-LARGE(F$1549:$F1556,2))-1,""),"")</f>
        <v/>
      </c>
    </row>
    <row r="1557" spans="1:7">
      <c r="A1557" s="79" t="s">
        <v>44028</v>
      </c>
      <c r="B1557">
        <v>250</v>
      </c>
      <c r="C1557">
        <v>250</v>
      </c>
      <c r="D1557">
        <v>5</v>
      </c>
      <c r="E1557">
        <v>16622</v>
      </c>
      <c r="F1557" s="70">
        <v>44548</v>
      </c>
      <c r="G1557" t="str">
        <f>IFERROR(IF((F1557-F1556)&gt;1,(LARGE(F1557:$F1557,1)-LARGE(F$1549:$F1557,2))-1,""),"")</f>
        <v/>
      </c>
    </row>
    <row r="1558" spans="1:7">
      <c r="A1558" s="77">
        <f>(SUM(D1559:D1562)/(A1551+4)+SUM(G1559:G1562))</f>
        <v>3.6</v>
      </c>
      <c r="B1558">
        <v>230.3</v>
      </c>
      <c r="C1558">
        <v>230.3</v>
      </c>
      <c r="D1558">
        <v>1</v>
      </c>
      <c r="E1558">
        <v>1000</v>
      </c>
      <c r="F1558" s="70">
        <v>44549</v>
      </c>
      <c r="G1558" t="str">
        <f>IFERROR(IF((F1558-F1557)&gt;1,(LARGE(F1558:$F1558,1)-LARGE(F$1549:$F1558,2))-1,""),"")</f>
        <v/>
      </c>
    </row>
    <row r="1559" spans="1:7">
      <c r="A1559" s="85" t="s">
        <v>44027</v>
      </c>
      <c r="B1559">
        <v>396</v>
      </c>
      <c r="C1559">
        <v>396</v>
      </c>
      <c r="D1559">
        <v>5</v>
      </c>
      <c r="E1559">
        <v>6160</v>
      </c>
      <c r="F1559" s="70">
        <v>44550</v>
      </c>
      <c r="G1559" t="str">
        <f>IFERROR(IF((F1559-F1558)&gt;1,(LARGE(F1559:$F1559,1)-LARGE(F$1549:$F1559,2))-1,""),"")</f>
        <v/>
      </c>
    </row>
    <row r="1560" spans="1:7">
      <c r="A1560" s="86">
        <f>IF(A1553+A1551&gt;10,"Look Up",AVERAGE(A1555,A1556))</f>
        <v>5658.2250000000004</v>
      </c>
      <c r="B1560">
        <v>344</v>
      </c>
      <c r="C1560">
        <v>344</v>
      </c>
      <c r="D1560">
        <v>3</v>
      </c>
      <c r="E1560">
        <v>2320</v>
      </c>
      <c r="F1560" s="70">
        <v>44552</v>
      </c>
      <c r="G1560">
        <f>IFERROR(IF((F1560-F1559)&gt;1,(LARGE(F1560:$F1560,1)-LARGE(F$1549:$F1560,2))-1,""),"")</f>
        <v>1</v>
      </c>
    </row>
    <row r="1561" spans="1:7">
      <c r="A1561" s="85" t="s">
        <v>44030</v>
      </c>
      <c r="B1561">
        <v>344</v>
      </c>
      <c r="C1561">
        <v>344</v>
      </c>
      <c r="D1561">
        <v>4</v>
      </c>
      <c r="E1561">
        <v>22080</v>
      </c>
      <c r="F1561" s="70">
        <v>44553</v>
      </c>
      <c r="G1561" t="str">
        <f>IFERROR(IF((F1561-F1560)&gt;1,(LARGE(F1561:$F1561,1)-LARGE(F$1549:$F1561,2))-1,""),"")</f>
        <v/>
      </c>
    </row>
    <row r="1562" spans="1:7">
      <c r="A1562" s="88"/>
      <c r="B1562">
        <v>344</v>
      </c>
      <c r="C1562">
        <v>344</v>
      </c>
      <c r="D1562">
        <v>1</v>
      </c>
      <c r="E1562">
        <v>300</v>
      </c>
      <c r="F1562" s="70">
        <v>44554</v>
      </c>
      <c r="G1562" t="str">
        <f>IFERROR(IF((F1562-F1561)&gt;1,(LARGE(F1562:$F1562,1)-LARGE(F$1549:$F1562,2))-1,""),"")</f>
        <v/>
      </c>
    </row>
    <row r="1563" spans="1:7">
      <c r="A1563" s="65">
        <f>VLOOKUP(TradeSheet!A106,TypeIDs!B:C,2,FALSE)</f>
        <v>21894</v>
      </c>
      <c r="B1563" t="s">
        <v>43998</v>
      </c>
      <c r="C1563" t="s">
        <v>43999</v>
      </c>
      <c r="D1563" t="s">
        <v>44000</v>
      </c>
      <c r="E1563" t="s">
        <v>44001</v>
      </c>
      <c r="F1563" t="s">
        <v>44009</v>
      </c>
      <c r="G1563" t="s">
        <v>44008</v>
      </c>
    </row>
    <row r="1564" spans="1:7">
      <c r="A1564" s="65" t="str">
        <f>CONCATENATE(SwaggerURL,input105)</f>
        <v>https://esi.evetech.net/latest/markets/10000021/history/?datasource=tranquility&amp;type_id=21894</v>
      </c>
      <c r="B1564">
        <v>1494</v>
      </c>
      <c r="C1564">
        <v>1494</v>
      </c>
      <c r="D1564">
        <v>2</v>
      </c>
      <c r="E1564">
        <v>11000</v>
      </c>
      <c r="F1564" s="70">
        <v>44531</v>
      </c>
      <c r="G1564" t="str">
        <f>IFERROR(IF((F1564-F1563)&gt;1,(LARGE(F1564:$F1564,1)-LARGE(F$1564:$F1564,2))-1,""),"")</f>
        <v/>
      </c>
    </row>
    <row r="1565" spans="1:7">
      <c r="A1565" s="79" t="s">
        <v>44018</v>
      </c>
      <c r="B1565">
        <v>1493</v>
      </c>
      <c r="C1565">
        <v>1493</v>
      </c>
      <c r="D1565">
        <v>2</v>
      </c>
      <c r="E1565">
        <v>900</v>
      </c>
      <c r="F1565" s="70">
        <v>44532</v>
      </c>
      <c r="G1565" t="str">
        <f>IFERROR(IF((F1565-F1564)&gt;1,(LARGE(F1565:$F1565,1)-LARGE(F$1564:$F1565,2))-1,""),"")</f>
        <v/>
      </c>
    </row>
    <row r="1566" spans="1:7">
      <c r="A1566" s="78">
        <f>MAX(0,(CurrentDate-2)-F1577)</f>
        <v>1</v>
      </c>
      <c r="B1566">
        <v>1494</v>
      </c>
      <c r="C1566">
        <v>1494</v>
      </c>
      <c r="D1566">
        <v>2</v>
      </c>
      <c r="E1566">
        <v>50000</v>
      </c>
      <c r="F1566" s="70">
        <v>44533</v>
      </c>
      <c r="G1566" t="str">
        <f>IFERROR(IF((F1566-F1565)&gt;1,(LARGE(F1566:$F1566,1)-LARGE(F$1564:$F1566,2))-1,""),"")</f>
        <v/>
      </c>
    </row>
    <row r="1567" spans="1:7">
      <c r="A1567" s="79" t="s">
        <v>44026</v>
      </c>
      <c r="B1567">
        <v>1494</v>
      </c>
      <c r="C1567">
        <v>1494</v>
      </c>
      <c r="D1567">
        <v>1</v>
      </c>
      <c r="E1567">
        <v>4000</v>
      </c>
      <c r="F1567" s="70">
        <v>44534</v>
      </c>
      <c r="G1567" t="str">
        <f>IFERROR(IF((F1567-F1566)&gt;1,(LARGE(F1567:$F1567,1)-LARGE(F$1564:$F1567,2))-1,""),"")</f>
        <v/>
      </c>
    </row>
    <row r="1568" spans="1:7">
      <c r="A1568" s="83">
        <f>SUM(G1571:G1577)</f>
        <v>7</v>
      </c>
      <c r="B1568">
        <v>1493</v>
      </c>
      <c r="C1568">
        <v>1493</v>
      </c>
      <c r="D1568">
        <v>3</v>
      </c>
      <c r="E1568">
        <v>6744</v>
      </c>
      <c r="F1568" s="70">
        <v>44538</v>
      </c>
      <c r="G1568">
        <f>IFERROR(IF((F1568-F1567)&gt;1,(LARGE(F1568:$F1568,1)-LARGE(F$1564:$F1568,2))-1,""),"")</f>
        <v>3</v>
      </c>
    </row>
    <row r="1569" spans="1:7">
      <c r="A1569" s="79" t="s">
        <v>44029</v>
      </c>
      <c r="B1569">
        <v>1493</v>
      </c>
      <c r="C1569">
        <v>1493</v>
      </c>
      <c r="D1569">
        <v>8</v>
      </c>
      <c r="E1569">
        <v>11869</v>
      </c>
      <c r="F1569" s="70">
        <v>44539</v>
      </c>
      <c r="G1569" t="str">
        <f>IFERROR(IF((F1569-F1568)&gt;1,(LARGE(F1569:$F1569,1)-LARGE(F$1564:$F1569,2))-1,""),"")</f>
        <v/>
      </c>
    </row>
    <row r="1570" spans="1:7">
      <c r="A1570" s="77">
        <f>(SUM(E1564:E1577)/(A1566+14)+SUM(G1564:G1577))</f>
        <v>23793.533333333333</v>
      </c>
      <c r="B1570">
        <v>1493</v>
      </c>
      <c r="C1570">
        <v>1493</v>
      </c>
      <c r="D1570">
        <v>4</v>
      </c>
      <c r="E1570">
        <v>24780</v>
      </c>
      <c r="F1570" s="70">
        <v>44540</v>
      </c>
      <c r="G1570" t="str">
        <f>IFERROR(IF((F1570-F1569)&gt;1,(LARGE(F1570:$F1570,1)-LARGE(F$1564:$F1570,2))-1,""),"")</f>
        <v/>
      </c>
    </row>
    <row r="1571" spans="1:7">
      <c r="A1571" s="77">
        <f>(SUM(E1571:E1577)/(A1566+7)+SUM(G1571:G1577))</f>
        <v>30939.5</v>
      </c>
      <c r="B1571">
        <v>1493</v>
      </c>
      <c r="C1571">
        <v>1493</v>
      </c>
      <c r="D1571">
        <v>8</v>
      </c>
      <c r="E1571">
        <v>27040</v>
      </c>
      <c r="F1571" s="70">
        <v>44541</v>
      </c>
      <c r="G1571" t="str">
        <f>IFERROR(IF((F1571-F1570)&gt;1,(LARGE(F1571:$F1571,1)-LARGE(F$1564:$F1571,2))-1,""),"")</f>
        <v/>
      </c>
    </row>
    <row r="1572" spans="1:7">
      <c r="A1572" s="79" t="s">
        <v>44028</v>
      </c>
      <c r="B1572">
        <v>1493</v>
      </c>
      <c r="C1572">
        <v>1493</v>
      </c>
      <c r="D1572">
        <v>9</v>
      </c>
      <c r="E1572">
        <v>60685</v>
      </c>
      <c r="F1572" s="70">
        <v>44542</v>
      </c>
      <c r="G1572" t="str">
        <f>IFERROR(IF((F1572-F1571)&gt;1,(LARGE(F1572:$F1572,1)-LARGE(F$1564:$F1572,2))-1,""),"")</f>
        <v/>
      </c>
    </row>
    <row r="1573" spans="1:7">
      <c r="A1573" s="77">
        <f>(SUM(D1574:D1577)/(A1566+4)+SUM(G1574:G1577))</f>
        <v>10.199999999999999</v>
      </c>
      <c r="B1573">
        <v>1493</v>
      </c>
      <c r="C1573">
        <v>1493</v>
      </c>
      <c r="D1573">
        <v>5</v>
      </c>
      <c r="E1573">
        <v>11200</v>
      </c>
      <c r="F1573" s="70">
        <v>44543</v>
      </c>
      <c r="G1573" t="str">
        <f>IFERROR(IF((F1573-F1572)&gt;1,(LARGE(F1573:$F1573,1)-LARGE(F$1564:$F1573,2))-1,""),"")</f>
        <v/>
      </c>
    </row>
    <row r="1574" spans="1:7">
      <c r="A1574" s="85" t="s">
        <v>44027</v>
      </c>
      <c r="B1574">
        <v>1493</v>
      </c>
      <c r="C1574">
        <v>1493</v>
      </c>
      <c r="D1574">
        <v>7</v>
      </c>
      <c r="E1574">
        <v>24110</v>
      </c>
      <c r="F1574" s="70">
        <v>44544</v>
      </c>
      <c r="G1574" t="str">
        <f>IFERROR(IF((F1574-F1573)&gt;1,(LARGE(F1574:$F1574,1)-LARGE(F$1564:$F1574,2))-1,""),"")</f>
        <v/>
      </c>
    </row>
    <row r="1575" spans="1:7">
      <c r="A1575" s="86">
        <f>IF(A1568+A1566&gt;10,"Look Up",AVERAGE(A1570,A1571))</f>
        <v>27366.516666666666</v>
      </c>
      <c r="B1575">
        <v>1493</v>
      </c>
      <c r="C1575">
        <v>1493</v>
      </c>
      <c r="D1575">
        <v>2</v>
      </c>
      <c r="E1575">
        <v>17500</v>
      </c>
      <c r="F1575" s="70">
        <v>44545</v>
      </c>
      <c r="G1575" t="str">
        <f>IFERROR(IF((F1575-F1574)&gt;1,(LARGE(F1575:$F1575,1)-LARGE(F$1564:$F1575,2))-1,""),"")</f>
        <v/>
      </c>
    </row>
    <row r="1576" spans="1:7">
      <c r="A1576" s="85" t="s">
        <v>44030</v>
      </c>
      <c r="B1576">
        <v>1494</v>
      </c>
      <c r="C1576">
        <v>1494</v>
      </c>
      <c r="D1576">
        <v>4</v>
      </c>
      <c r="E1576">
        <v>72925</v>
      </c>
      <c r="F1576" s="70">
        <v>44546</v>
      </c>
      <c r="G1576" t="str">
        <f>IFERROR(IF((F1576-F1575)&gt;1,(LARGE(F1576:$F1576,1)-LARGE(F$1564:$F1576,2))-1,""),"")</f>
        <v/>
      </c>
    </row>
    <row r="1577" spans="1:7">
      <c r="A1577" s="88"/>
      <c r="B1577">
        <v>1590</v>
      </c>
      <c r="C1577">
        <v>1590</v>
      </c>
      <c r="D1577">
        <v>3</v>
      </c>
      <c r="E1577">
        <v>34000</v>
      </c>
      <c r="F1577" s="70">
        <v>44554</v>
      </c>
      <c r="G1577">
        <f>IFERROR(IF((F1577-F1576)&gt;1,(LARGE(F1577:$F1577,1)-LARGE(F$1564:$F1577,2))-1,""),"")</f>
        <v>7</v>
      </c>
    </row>
    <row r="1578" spans="1:7">
      <c r="A1578" s="65">
        <f>VLOOKUP(TradeSheet!A107,TypeIDs!B:C,2,FALSE)</f>
        <v>21918</v>
      </c>
      <c r="B1578" t="s">
        <v>43998</v>
      </c>
      <c r="C1578" t="s">
        <v>43999</v>
      </c>
      <c r="D1578" t="s">
        <v>44000</v>
      </c>
      <c r="E1578" t="s">
        <v>44001</v>
      </c>
      <c r="F1578" t="s">
        <v>44009</v>
      </c>
      <c r="G1578" t="s">
        <v>44008</v>
      </c>
    </row>
    <row r="1579" spans="1:7">
      <c r="A1579" s="65" t="str">
        <f>CONCATENATE(SwaggerURL,input106)</f>
        <v>https://esi.evetech.net/latest/markets/10000021/history/?datasource=tranquility&amp;type_id=21918</v>
      </c>
      <c r="B1579">
        <v>1496</v>
      </c>
      <c r="C1579">
        <v>1496</v>
      </c>
      <c r="D1579">
        <v>3</v>
      </c>
      <c r="E1579">
        <v>6000</v>
      </c>
      <c r="F1579" s="70">
        <v>44498</v>
      </c>
      <c r="G1579" t="str">
        <f>IFERROR(IF((F1579-F1578)&gt;1,(LARGE(F1579:$F1579,1)-LARGE(F$1579:$F1579,2))-1,""),"")</f>
        <v/>
      </c>
    </row>
    <row r="1580" spans="1:7">
      <c r="A1580" s="79" t="s">
        <v>44018</v>
      </c>
      <c r="B1580">
        <v>1496</v>
      </c>
      <c r="C1580">
        <v>1496</v>
      </c>
      <c r="D1580">
        <v>1</v>
      </c>
      <c r="E1580">
        <v>10000</v>
      </c>
      <c r="F1580" s="70">
        <v>44501</v>
      </c>
      <c r="G1580">
        <f>IFERROR(IF((F1580-F1579)&gt;1,(LARGE(F1580:$F1580,1)-LARGE(F$1579:$F1580,2))-1,""),"")</f>
        <v>2</v>
      </c>
    </row>
    <row r="1581" spans="1:7">
      <c r="A1581" s="78">
        <f>MAX(0,(CurrentDate-2)-F1592)</f>
        <v>10</v>
      </c>
      <c r="B1581">
        <v>1496</v>
      </c>
      <c r="C1581">
        <v>1496</v>
      </c>
      <c r="D1581">
        <v>2</v>
      </c>
      <c r="E1581">
        <v>2140</v>
      </c>
      <c r="F1581" s="70">
        <v>44502</v>
      </c>
      <c r="G1581" t="str">
        <f>IFERROR(IF((F1581-F1580)&gt;1,(LARGE(F1581:$F1581,1)-LARGE(F$1579:$F1581,2))-1,""),"")</f>
        <v/>
      </c>
    </row>
    <row r="1582" spans="1:7">
      <c r="A1582" s="79" t="s">
        <v>44026</v>
      </c>
      <c r="B1582">
        <v>1497</v>
      </c>
      <c r="C1582">
        <v>1497</v>
      </c>
      <c r="D1582">
        <v>3</v>
      </c>
      <c r="E1582">
        <v>1500</v>
      </c>
      <c r="F1582" s="70">
        <v>44504</v>
      </c>
      <c r="G1582">
        <f>IFERROR(IF((F1582-F1581)&gt;1,(LARGE(F1582:$F1582,1)-LARGE(F$1579:$F1582,2))-1,""),"")</f>
        <v>1</v>
      </c>
    </row>
    <row r="1583" spans="1:7">
      <c r="A1583" s="83">
        <f>SUM(G1586:G1592)</f>
        <v>7</v>
      </c>
      <c r="B1583">
        <v>1490</v>
      </c>
      <c r="C1583">
        <v>1490</v>
      </c>
      <c r="D1583">
        <v>2</v>
      </c>
      <c r="E1583">
        <v>1500</v>
      </c>
      <c r="F1583" s="70">
        <v>44526</v>
      </c>
      <c r="G1583">
        <f>IFERROR(IF((F1583-F1582)&gt;1,(LARGE(F1583:$F1583,1)-LARGE(F$1579:$F1583,2))-1,""),"")</f>
        <v>21</v>
      </c>
    </row>
    <row r="1584" spans="1:7">
      <c r="A1584" s="79" t="s">
        <v>44029</v>
      </c>
      <c r="B1584">
        <v>1490</v>
      </c>
      <c r="C1584">
        <v>1490</v>
      </c>
      <c r="D1584">
        <v>1</v>
      </c>
      <c r="E1584">
        <v>1500</v>
      </c>
      <c r="F1584" s="70">
        <v>44527</v>
      </c>
      <c r="G1584" t="str">
        <f>IFERROR(IF((F1584-F1583)&gt;1,(LARGE(F1584:$F1584,1)-LARGE(F$1579:$F1584,2))-1,""),"")</f>
        <v/>
      </c>
    </row>
    <row r="1585" spans="1:7">
      <c r="A1585" s="77">
        <f>(SUM(E1579:E1592)/(A1581+14)+SUM(G1579:G1592))</f>
        <v>2825</v>
      </c>
      <c r="B1585">
        <v>1485</v>
      </c>
      <c r="C1585">
        <v>1485</v>
      </c>
      <c r="D1585">
        <v>1</v>
      </c>
      <c r="E1585">
        <v>600</v>
      </c>
      <c r="F1585" s="70">
        <v>44531</v>
      </c>
      <c r="G1585">
        <f>IFERROR(IF((F1585-F1584)&gt;1,(LARGE(F1585:$F1585,1)-LARGE(F$1579:$F1585,2))-1,""),"")</f>
        <v>3</v>
      </c>
    </row>
    <row r="1586" spans="1:7">
      <c r="A1586" s="77">
        <f>(SUM(E1586:E1592)/(A1581+7)+SUM(G1586:G1592))</f>
        <v>2580.1764705882351</v>
      </c>
      <c r="B1586">
        <v>1490</v>
      </c>
      <c r="C1586">
        <v>1490</v>
      </c>
      <c r="D1586">
        <v>1</v>
      </c>
      <c r="E1586">
        <v>1000</v>
      </c>
      <c r="F1586" s="70">
        <v>44536</v>
      </c>
      <c r="G1586">
        <f>IFERROR(IF((F1586-F1585)&gt;1,(LARGE(F1586:$F1586,1)-LARGE(F$1579:$F1586,2))-1,""),"")</f>
        <v>4</v>
      </c>
    </row>
    <row r="1587" spans="1:7">
      <c r="A1587" s="79" t="s">
        <v>44028</v>
      </c>
      <c r="B1587">
        <v>1490</v>
      </c>
      <c r="C1587">
        <v>1490</v>
      </c>
      <c r="D1587">
        <v>1</v>
      </c>
      <c r="E1587">
        <v>1500</v>
      </c>
      <c r="F1587" s="70">
        <v>44538</v>
      </c>
      <c r="G1587">
        <f>IFERROR(IF((F1587-F1586)&gt;1,(LARGE(F1587:$F1587,1)-LARGE(F$1579:$F1587,2))-1,""),"")</f>
        <v>1</v>
      </c>
    </row>
    <row r="1588" spans="1:7">
      <c r="A1588" s="77">
        <f>(SUM(D1589:D1592)/(A1581+4)+SUM(G1589:G1592))</f>
        <v>2.7857142857142856</v>
      </c>
      <c r="B1588">
        <v>1400</v>
      </c>
      <c r="C1588">
        <v>1400</v>
      </c>
      <c r="D1588">
        <v>2</v>
      </c>
      <c r="E1588">
        <v>1468</v>
      </c>
      <c r="F1588" s="70">
        <v>44539</v>
      </c>
      <c r="G1588" t="str">
        <f>IFERROR(IF((F1588-F1587)&gt;1,(LARGE(F1588:$F1588,1)-LARGE(F$1579:$F1588,2))-1,""),"")</f>
        <v/>
      </c>
    </row>
    <row r="1589" spans="1:7">
      <c r="A1589" s="85" t="s">
        <v>44027</v>
      </c>
      <c r="B1589">
        <v>1500</v>
      </c>
      <c r="C1589">
        <v>1500</v>
      </c>
      <c r="D1589">
        <v>8</v>
      </c>
      <c r="E1589">
        <v>17000</v>
      </c>
      <c r="F1589" s="70">
        <v>44541</v>
      </c>
      <c r="G1589">
        <f>IFERROR(IF((F1589-F1588)&gt;1,(LARGE(F1589:$F1589,1)-LARGE(F$1579:$F1589,2))-1,""),"")</f>
        <v>1</v>
      </c>
    </row>
    <row r="1590" spans="1:7">
      <c r="A1590" s="86" t="str">
        <f>IF(A1583+A1581&gt;10,"Look Up",AVERAGE(A1585,A1586))</f>
        <v>Look Up</v>
      </c>
      <c r="B1590">
        <v>1500</v>
      </c>
      <c r="C1590">
        <v>1500</v>
      </c>
      <c r="D1590">
        <v>1</v>
      </c>
      <c r="E1590">
        <v>2776</v>
      </c>
      <c r="F1590" s="70">
        <v>44542</v>
      </c>
      <c r="G1590" t="str">
        <f>IFERROR(IF((F1590-F1589)&gt;1,(LARGE(F1590:$F1590,1)-LARGE(F$1579:$F1590,2))-1,""),"")</f>
        <v/>
      </c>
    </row>
    <row r="1591" spans="1:7">
      <c r="A1591" s="85" t="s">
        <v>44030</v>
      </c>
      <c r="B1591">
        <v>1500</v>
      </c>
      <c r="C1591">
        <v>1500</v>
      </c>
      <c r="D1591">
        <v>1</v>
      </c>
      <c r="E1591">
        <v>5000</v>
      </c>
      <c r="F1591" s="70">
        <v>44544</v>
      </c>
      <c r="G1591">
        <f>IFERROR(IF((F1591-F1590)&gt;1,(LARGE(F1591:$F1591,1)-LARGE(F$1579:$F1591,2))-1,""),"")</f>
        <v>1</v>
      </c>
    </row>
    <row r="1592" spans="1:7">
      <c r="A1592" s="88"/>
      <c r="B1592">
        <v>1500</v>
      </c>
      <c r="C1592">
        <v>1500</v>
      </c>
      <c r="D1592">
        <v>1</v>
      </c>
      <c r="E1592">
        <v>15000</v>
      </c>
      <c r="F1592" s="70">
        <v>44545</v>
      </c>
      <c r="G1592" t="str">
        <f>IFERROR(IF((F1592-F1591)&gt;1,(LARGE(F1592:$F1592,1)-LARGE(F$1579:$F1592,2))-1,""),"")</f>
        <v/>
      </c>
    </row>
    <row r="1593" spans="1:7">
      <c r="A1593" s="65">
        <f>VLOOKUP(TradeSheet!A108,TypeIDs!B:C,2,FALSE)</f>
        <v>28326</v>
      </c>
      <c r="B1593" t="s">
        <v>43998</v>
      </c>
      <c r="C1593" t="s">
        <v>43999</v>
      </c>
      <c r="D1593" t="s">
        <v>44000</v>
      </c>
      <c r="E1593" t="s">
        <v>44001</v>
      </c>
      <c r="F1593" t="s">
        <v>44009</v>
      </c>
      <c r="G1593" t="s">
        <v>44008</v>
      </c>
    </row>
    <row r="1594" spans="1:7">
      <c r="A1594" s="65" t="str">
        <f>CONCATENATE(SwaggerURL,input107)</f>
        <v>https://esi.evetech.net/latest/markets/10000021/history/?datasource=tranquility&amp;type_id=28326</v>
      </c>
      <c r="B1594">
        <v>688</v>
      </c>
      <c r="C1594">
        <v>688</v>
      </c>
      <c r="D1594">
        <v>3</v>
      </c>
      <c r="E1594">
        <v>3000</v>
      </c>
      <c r="F1594" s="70">
        <v>44528</v>
      </c>
      <c r="G1594" t="str">
        <f>IFERROR(IF((F1594-F1593)&gt;1,(LARGE(F1594:$F1594,1)-LARGE(F$1594:$F1594,2))-1,""),"")</f>
        <v/>
      </c>
    </row>
    <row r="1595" spans="1:7">
      <c r="A1595" s="79" t="s">
        <v>44018</v>
      </c>
      <c r="B1595">
        <v>688</v>
      </c>
      <c r="C1595">
        <v>688</v>
      </c>
      <c r="D1595">
        <v>3</v>
      </c>
      <c r="E1595">
        <v>3500</v>
      </c>
      <c r="F1595" s="70">
        <v>44529</v>
      </c>
      <c r="G1595" t="str">
        <f>IFERROR(IF((F1595-F1594)&gt;1,(LARGE(F1595:$F1595,1)-LARGE(F$1594:$F1595,2))-1,""),"")</f>
        <v/>
      </c>
    </row>
    <row r="1596" spans="1:7">
      <c r="A1596" s="78">
        <f>MAX(0,(CurrentDate-2)-F1607)</f>
        <v>1</v>
      </c>
      <c r="B1596">
        <v>599</v>
      </c>
      <c r="C1596">
        <v>599</v>
      </c>
      <c r="D1596">
        <v>3</v>
      </c>
      <c r="E1596">
        <v>2500</v>
      </c>
      <c r="F1596" s="70">
        <v>44530</v>
      </c>
      <c r="G1596" t="str">
        <f>IFERROR(IF((F1596-F1595)&gt;1,(LARGE(F1596:$F1596,1)-LARGE(F$1594:$F1596,2))-1,""),"")</f>
        <v/>
      </c>
    </row>
    <row r="1597" spans="1:7">
      <c r="A1597" s="79" t="s">
        <v>44026</v>
      </c>
      <c r="B1597">
        <v>688</v>
      </c>
      <c r="C1597">
        <v>688</v>
      </c>
      <c r="D1597">
        <v>4</v>
      </c>
      <c r="E1597">
        <v>60500</v>
      </c>
      <c r="F1597" s="70">
        <v>44531</v>
      </c>
      <c r="G1597" t="str">
        <f>IFERROR(IF((F1597-F1596)&gt;1,(LARGE(F1597:$F1597,1)-LARGE(F$1594:$F1597,2))-1,""),"")</f>
        <v/>
      </c>
    </row>
    <row r="1598" spans="1:7">
      <c r="A1598" s="83">
        <f>SUM(G1601:G1607)</f>
        <v>6</v>
      </c>
      <c r="B1598">
        <v>685</v>
      </c>
      <c r="C1598">
        <v>685</v>
      </c>
      <c r="D1598">
        <v>6</v>
      </c>
      <c r="E1598">
        <v>5900</v>
      </c>
      <c r="F1598" s="70">
        <v>44536</v>
      </c>
      <c r="G1598">
        <f>IFERROR(IF((F1598-F1597)&gt;1,(LARGE(F1598:$F1598,1)-LARGE(F$1594:$F1598,2))-1,""),"")</f>
        <v>4</v>
      </c>
    </row>
    <row r="1599" spans="1:7">
      <c r="A1599" s="79" t="s">
        <v>44029</v>
      </c>
      <c r="B1599">
        <v>688</v>
      </c>
      <c r="C1599">
        <v>688</v>
      </c>
      <c r="D1599">
        <v>3</v>
      </c>
      <c r="E1599">
        <v>3100</v>
      </c>
      <c r="F1599" s="70">
        <v>44538</v>
      </c>
      <c r="G1599">
        <f>IFERROR(IF((F1599-F1598)&gt;1,(LARGE(F1599:$F1599,1)-LARGE(F$1594:$F1599,2))-1,""),"")</f>
        <v>1</v>
      </c>
    </row>
    <row r="1600" spans="1:7">
      <c r="A1600" s="77">
        <f>(SUM(E1594:E1607)/(A1596+14)+SUM(G1594:G1607))</f>
        <v>8576.6666666666661</v>
      </c>
      <c r="B1600">
        <v>688</v>
      </c>
      <c r="C1600">
        <v>688</v>
      </c>
      <c r="D1600">
        <v>3</v>
      </c>
      <c r="E1600">
        <v>2000</v>
      </c>
      <c r="F1600" s="70">
        <v>44541</v>
      </c>
      <c r="G1600">
        <f>IFERROR(IF((F1600-F1599)&gt;1,(LARGE(F1600:$F1600,1)-LARGE(F$1594:$F1600,2))-1,""),"")</f>
        <v>2</v>
      </c>
    </row>
    <row r="1601" spans="1:7">
      <c r="A1601" s="77">
        <f>(SUM(E1601:E1607)/(A1596+7)+SUM(G1601:G1607))</f>
        <v>6000.375</v>
      </c>
      <c r="B1601">
        <v>688</v>
      </c>
      <c r="C1601">
        <v>688</v>
      </c>
      <c r="D1601">
        <v>1</v>
      </c>
      <c r="E1601">
        <v>500</v>
      </c>
      <c r="F1601" s="70">
        <v>44542</v>
      </c>
      <c r="G1601" t="str">
        <f>IFERROR(IF((F1601-F1600)&gt;1,(LARGE(F1601:$F1601,1)-LARGE(F$1594:$F1601,2))-1,""),"")</f>
        <v/>
      </c>
    </row>
    <row r="1602" spans="1:7">
      <c r="A1602" s="79" t="s">
        <v>44028</v>
      </c>
      <c r="B1602">
        <v>674.9</v>
      </c>
      <c r="C1602">
        <v>674.9</v>
      </c>
      <c r="D1602">
        <v>2</v>
      </c>
      <c r="E1602">
        <v>1500</v>
      </c>
      <c r="F1602" s="70">
        <v>44545</v>
      </c>
      <c r="G1602">
        <f>IFERROR(IF((F1602-F1601)&gt;1,(LARGE(F1602:$F1602,1)-LARGE(F$1594:$F1602,2))-1,""),"")</f>
        <v>2</v>
      </c>
    </row>
    <row r="1603" spans="1:7">
      <c r="A1603" s="77">
        <f>(SUM(D1604:D1607)/(A1596+4)+SUM(G1604:G1607))</f>
        <v>5</v>
      </c>
      <c r="B1603">
        <v>688</v>
      </c>
      <c r="C1603">
        <v>688</v>
      </c>
      <c r="D1603">
        <v>11</v>
      </c>
      <c r="E1603">
        <v>24955</v>
      </c>
      <c r="F1603" s="70">
        <v>44548</v>
      </c>
      <c r="G1603">
        <f>IFERROR(IF((F1603-F1602)&gt;1,(LARGE(F1603:$F1603,1)-LARGE(F$1594:$F1603,2))-1,""),"")</f>
        <v>2</v>
      </c>
    </row>
    <row r="1604" spans="1:7">
      <c r="A1604" s="85" t="s">
        <v>44027</v>
      </c>
      <c r="B1604">
        <v>688</v>
      </c>
      <c r="C1604">
        <v>688</v>
      </c>
      <c r="D1604">
        <v>3</v>
      </c>
      <c r="E1604">
        <v>1500</v>
      </c>
      <c r="F1604" s="70">
        <v>44549</v>
      </c>
      <c r="G1604" t="str">
        <f>IFERROR(IF((F1604-F1603)&gt;1,(LARGE(F1604:$F1604,1)-LARGE(F$1594:$F1604,2))-1,""),"")</f>
        <v/>
      </c>
    </row>
    <row r="1605" spans="1:7">
      <c r="A1605" s="86">
        <f>IF(A1598+A1596&gt;10,"Look Up",AVERAGE(A1600,A1601))</f>
        <v>7288.520833333333</v>
      </c>
      <c r="B1605">
        <v>688</v>
      </c>
      <c r="C1605">
        <v>688</v>
      </c>
      <c r="D1605">
        <v>6</v>
      </c>
      <c r="E1605">
        <v>16500</v>
      </c>
      <c r="F1605" s="70">
        <v>44550</v>
      </c>
      <c r="G1605" t="str">
        <f>IFERROR(IF((F1605-F1604)&gt;1,(LARGE(F1605:$F1605,1)-LARGE(F$1594:$F1605,2))-1,""),"")</f>
        <v/>
      </c>
    </row>
    <row r="1606" spans="1:7">
      <c r="A1606" s="85" t="s">
        <v>44030</v>
      </c>
      <c r="B1606">
        <v>688</v>
      </c>
      <c r="C1606">
        <v>688</v>
      </c>
      <c r="D1606">
        <v>4</v>
      </c>
      <c r="E1606">
        <v>2000</v>
      </c>
      <c r="F1606" s="70">
        <v>44551</v>
      </c>
      <c r="G1606" t="str">
        <f>IFERROR(IF((F1606-F1605)&gt;1,(LARGE(F1606:$F1606,1)-LARGE(F$1594:$F1606,2))-1,""),"")</f>
        <v/>
      </c>
    </row>
    <row r="1607" spans="1:7">
      <c r="A1607" s="88"/>
      <c r="B1607">
        <v>688</v>
      </c>
      <c r="C1607">
        <v>688</v>
      </c>
      <c r="D1607">
        <v>2</v>
      </c>
      <c r="E1607">
        <v>1000</v>
      </c>
      <c r="F1607" s="70">
        <v>44554</v>
      </c>
      <c r="G1607">
        <f>IFERROR(IF((F1607-F1606)&gt;1,(LARGE(F1607:$F1607,1)-LARGE(F$1594:$F1607,2))-1,""),"")</f>
        <v>2</v>
      </c>
    </row>
    <row r="1608" spans="1:7">
      <c r="A1608" s="65">
        <f>VLOOKUP(TradeSheet!A109,TypeIDs!B:C,2,FALSE)</f>
        <v>28334</v>
      </c>
      <c r="B1608" t="s">
        <v>43998</v>
      </c>
      <c r="C1608" t="s">
        <v>43999</v>
      </c>
      <c r="D1608" t="s">
        <v>44000</v>
      </c>
      <c r="E1608" t="s">
        <v>44001</v>
      </c>
      <c r="F1608" t="s">
        <v>44009</v>
      </c>
      <c r="G1608" t="s">
        <v>44008</v>
      </c>
    </row>
    <row r="1609" spans="1:7">
      <c r="A1609" s="65" t="str">
        <f>CONCATENATE(SwaggerURL,input108)</f>
        <v>https://esi.evetech.net/latest/markets/10000021/history/?datasource=tranquility&amp;type_id=28334</v>
      </c>
      <c r="B1609">
        <v>1229</v>
      </c>
      <c r="C1609">
        <v>1229</v>
      </c>
      <c r="D1609">
        <v>3</v>
      </c>
      <c r="E1609">
        <v>1500</v>
      </c>
      <c r="F1609" s="70">
        <v>44541</v>
      </c>
      <c r="G1609" t="str">
        <f>IFERROR(IF((F1609-F1608)&gt;1,(LARGE(F1609:$F1609,1)-LARGE(F$1609:$F1609,2))-1,""),"")</f>
        <v/>
      </c>
    </row>
    <row r="1610" spans="1:7">
      <c r="A1610" s="79" t="s">
        <v>44018</v>
      </c>
      <c r="B1610">
        <v>1225</v>
      </c>
      <c r="C1610">
        <v>1225</v>
      </c>
      <c r="D1610">
        <v>3</v>
      </c>
      <c r="E1610">
        <v>2400</v>
      </c>
      <c r="F1610" s="70">
        <v>44542</v>
      </c>
      <c r="G1610" t="str">
        <f>IFERROR(IF((F1610-F1609)&gt;1,(LARGE(F1610:$F1610,1)-LARGE(F$1609:$F1610,2))-1,""),"")</f>
        <v/>
      </c>
    </row>
    <row r="1611" spans="1:7">
      <c r="A1611" s="78">
        <f>MAX(0,(CurrentDate-2)-F1622)</f>
        <v>1</v>
      </c>
      <c r="B1611">
        <v>1225</v>
      </c>
      <c r="C1611">
        <v>1225</v>
      </c>
      <c r="D1611">
        <v>1</v>
      </c>
      <c r="E1611">
        <v>200</v>
      </c>
      <c r="F1611" s="70">
        <v>44543</v>
      </c>
      <c r="G1611" t="str">
        <f>IFERROR(IF((F1611-F1610)&gt;1,(LARGE(F1611:$F1611,1)-LARGE(F$1609:$F1611,2))-1,""),"")</f>
        <v/>
      </c>
    </row>
    <row r="1612" spans="1:7">
      <c r="A1612" s="79" t="s">
        <v>44026</v>
      </c>
      <c r="B1612">
        <v>1225</v>
      </c>
      <c r="C1612">
        <v>1225</v>
      </c>
      <c r="D1612">
        <v>5</v>
      </c>
      <c r="E1612">
        <v>8400</v>
      </c>
      <c r="F1612" s="70">
        <v>44544</v>
      </c>
      <c r="G1612" t="str">
        <f>IFERROR(IF((F1612-F1611)&gt;1,(LARGE(F1612:$F1612,1)-LARGE(F$1609:$F1612,2))-1,""),"")</f>
        <v/>
      </c>
    </row>
    <row r="1613" spans="1:7">
      <c r="A1613" s="83">
        <f>SUM(G1616:G1622)</f>
        <v>0</v>
      </c>
      <c r="B1613">
        <v>1229</v>
      </c>
      <c r="C1613">
        <v>1229</v>
      </c>
      <c r="D1613">
        <v>3</v>
      </c>
      <c r="E1613">
        <v>1365</v>
      </c>
      <c r="F1613" s="70">
        <v>44545</v>
      </c>
      <c r="G1613" t="str">
        <f>IFERROR(IF((F1613-F1612)&gt;1,(LARGE(F1613:$F1613,1)-LARGE(F$1609:$F1613,2))-1,""),"")</f>
        <v/>
      </c>
    </row>
    <row r="1614" spans="1:7">
      <c r="A1614" s="79" t="s">
        <v>44029</v>
      </c>
      <c r="B1614">
        <v>1225</v>
      </c>
      <c r="C1614">
        <v>1225</v>
      </c>
      <c r="D1614">
        <v>8</v>
      </c>
      <c r="E1614">
        <v>14772</v>
      </c>
      <c r="F1614" s="70">
        <v>44546</v>
      </c>
      <c r="G1614" t="str">
        <f>IFERROR(IF((F1614-F1613)&gt;1,(LARGE(F1614:$F1614,1)-LARGE(F$1609:$F1614,2))-1,""),"")</f>
        <v/>
      </c>
    </row>
    <row r="1615" spans="1:7">
      <c r="A1615" s="77">
        <f>(SUM(E1609:E1622)/(A1611+14)+SUM(G1609:G1622))</f>
        <v>8040.2</v>
      </c>
      <c r="B1615">
        <v>1229</v>
      </c>
      <c r="C1615">
        <v>1229</v>
      </c>
      <c r="D1615">
        <v>10</v>
      </c>
      <c r="E1615">
        <v>11006</v>
      </c>
      <c r="F1615" s="70">
        <v>44547</v>
      </c>
      <c r="G1615" t="str">
        <f>IFERROR(IF((F1615-F1614)&gt;1,(LARGE(F1615:$F1615,1)-LARGE(F$1609:$F1615,2))-1,""),"")</f>
        <v/>
      </c>
    </row>
    <row r="1616" spans="1:7">
      <c r="A1616" s="77">
        <f>(SUM(E1616:E1622)/(A1611+7)+SUM(G1616:G1622))</f>
        <v>10120</v>
      </c>
      <c r="B1616">
        <v>1050</v>
      </c>
      <c r="C1616">
        <v>1050</v>
      </c>
      <c r="D1616">
        <v>16</v>
      </c>
      <c r="E1616">
        <v>16410</v>
      </c>
      <c r="F1616" s="70">
        <v>44548</v>
      </c>
      <c r="G1616" t="str">
        <f>IFERROR(IF((F1616-F1615)&gt;1,(LARGE(F1616:$F1616,1)-LARGE(F$1609:$F1616,2))-1,""),"")</f>
        <v/>
      </c>
    </row>
    <row r="1617" spans="1:7">
      <c r="A1617" s="79" t="s">
        <v>44028</v>
      </c>
      <c r="B1617">
        <v>1050</v>
      </c>
      <c r="C1617">
        <v>1050</v>
      </c>
      <c r="D1617">
        <v>4</v>
      </c>
      <c r="E1617">
        <v>4500</v>
      </c>
      <c r="F1617" s="70">
        <v>44549</v>
      </c>
      <c r="G1617" t="str">
        <f>IFERROR(IF((F1617-F1616)&gt;1,(LARGE(F1617:$F1617,1)-LARGE(F$1609:$F1617,2))-1,""),"")</f>
        <v/>
      </c>
    </row>
    <row r="1618" spans="1:7">
      <c r="A1618" s="77">
        <f>(SUM(D1619:D1622)/(A1611+4)+SUM(G1619:G1622))</f>
        <v>3.4</v>
      </c>
      <c r="B1618">
        <v>1100</v>
      </c>
      <c r="C1618">
        <v>1100</v>
      </c>
      <c r="D1618">
        <v>9</v>
      </c>
      <c r="E1618">
        <v>3855</v>
      </c>
      <c r="F1618" s="70">
        <v>44550</v>
      </c>
      <c r="G1618" t="str">
        <f>IFERROR(IF((F1618-F1617)&gt;1,(LARGE(F1618:$F1618,1)-LARGE(F$1609:$F1618,2))-1,""),"")</f>
        <v/>
      </c>
    </row>
    <row r="1619" spans="1:7">
      <c r="A1619" s="85" t="s">
        <v>44027</v>
      </c>
      <c r="B1619">
        <v>1100</v>
      </c>
      <c r="C1619">
        <v>1100</v>
      </c>
      <c r="D1619">
        <v>7</v>
      </c>
      <c r="E1619">
        <v>31395</v>
      </c>
      <c r="F1619" s="70">
        <v>44551</v>
      </c>
      <c r="G1619" t="str">
        <f>IFERROR(IF((F1619-F1618)&gt;1,(LARGE(F1619:$F1619,1)-LARGE(F$1609:$F1619,2))-1,""),"")</f>
        <v/>
      </c>
    </row>
    <row r="1620" spans="1:7">
      <c r="A1620" s="86">
        <f>IF(A1613+A1611&gt;10,"Look Up",AVERAGE(A1615,A1616))</f>
        <v>9080.1</v>
      </c>
      <c r="B1620">
        <v>1100</v>
      </c>
      <c r="C1620">
        <v>1100</v>
      </c>
      <c r="D1620">
        <v>2</v>
      </c>
      <c r="E1620">
        <v>2500</v>
      </c>
      <c r="F1620" s="70">
        <v>44552</v>
      </c>
      <c r="G1620" t="str">
        <f>IFERROR(IF((F1620-F1619)&gt;1,(LARGE(F1620:$F1620,1)-LARGE(F$1609:$F1620,2))-1,""),"")</f>
        <v/>
      </c>
    </row>
    <row r="1621" spans="1:7">
      <c r="A1621" s="85" t="s">
        <v>44030</v>
      </c>
      <c r="B1621">
        <v>1100</v>
      </c>
      <c r="C1621">
        <v>1100</v>
      </c>
      <c r="D1621">
        <v>6</v>
      </c>
      <c r="E1621">
        <v>20300</v>
      </c>
      <c r="F1621" s="70">
        <v>44553</v>
      </c>
      <c r="G1621" t="str">
        <f>IFERROR(IF((F1621-F1620)&gt;1,(LARGE(F1621:$F1621,1)-LARGE(F$1609:$F1621,2))-1,""),"")</f>
        <v/>
      </c>
    </row>
    <row r="1622" spans="1:7">
      <c r="A1622" s="88"/>
      <c r="B1622">
        <v>1100</v>
      </c>
      <c r="C1622">
        <v>1100</v>
      </c>
      <c r="D1622">
        <v>2</v>
      </c>
      <c r="E1622">
        <v>2000</v>
      </c>
      <c r="F1622" s="70">
        <v>44554</v>
      </c>
      <c r="G1622" t="str">
        <f>IFERROR(IF((F1622-F1621)&gt;1,(LARGE(F1622:$F1622,1)-LARGE(F$1609:$F1622,2))-1,""),"")</f>
        <v/>
      </c>
    </row>
    <row r="1623" spans="1:7">
      <c r="A1623" s="65">
        <f>VLOOKUP(TradeSheet!A110,TypeIDs!B:C,2,FALSE)</f>
        <v>21896</v>
      </c>
      <c r="B1623" t="s">
        <v>43998</v>
      </c>
      <c r="C1623" t="s">
        <v>43999</v>
      </c>
      <c r="D1623" t="s">
        <v>44000</v>
      </c>
      <c r="E1623" t="s">
        <v>44001</v>
      </c>
      <c r="F1623" t="s">
        <v>44009</v>
      </c>
      <c r="G1623" t="s">
        <v>44008</v>
      </c>
    </row>
    <row r="1624" spans="1:7">
      <c r="A1624" s="65" t="str">
        <f>CONCATENATE(SwaggerURL,input109)</f>
        <v>https://esi.evetech.net/latest/markets/10000021/history/?datasource=tranquility&amp;type_id=21896</v>
      </c>
      <c r="B1624">
        <v>919.9</v>
      </c>
      <c r="C1624">
        <v>919.9</v>
      </c>
      <c r="D1624">
        <v>5</v>
      </c>
      <c r="E1624">
        <v>3920</v>
      </c>
      <c r="F1624" s="70">
        <v>44538</v>
      </c>
      <c r="G1624" t="str">
        <f>IFERROR(IF((F1624-F1623)&gt;1,(LARGE(F1624:$F1624,1)-LARGE(F$1624:$F1624,2))-1,""),"")</f>
        <v/>
      </c>
    </row>
    <row r="1625" spans="1:7">
      <c r="A1625" s="79" t="s">
        <v>44018</v>
      </c>
      <c r="B1625">
        <v>920</v>
      </c>
      <c r="C1625">
        <v>920</v>
      </c>
      <c r="D1625">
        <v>15</v>
      </c>
      <c r="E1625">
        <v>96580</v>
      </c>
      <c r="F1625" s="70">
        <v>44539</v>
      </c>
      <c r="G1625" t="str">
        <f>IFERROR(IF((F1625-F1624)&gt;1,(LARGE(F1625:$F1625,1)-LARGE(F$1624:$F1625,2))-1,""),"")</f>
        <v/>
      </c>
    </row>
    <row r="1626" spans="1:7">
      <c r="A1626" s="78">
        <f>MAX(0,(CurrentDate-2)-F1637)</f>
        <v>1</v>
      </c>
      <c r="B1626">
        <v>920</v>
      </c>
      <c r="C1626">
        <v>920</v>
      </c>
      <c r="D1626">
        <v>6</v>
      </c>
      <c r="E1626">
        <v>136140</v>
      </c>
      <c r="F1626" s="70">
        <v>44540</v>
      </c>
      <c r="G1626" t="str">
        <f>IFERROR(IF((F1626-F1625)&gt;1,(LARGE(F1626:$F1626,1)-LARGE(F$1624:$F1626,2))-1,""),"")</f>
        <v/>
      </c>
    </row>
    <row r="1627" spans="1:7">
      <c r="A1627" s="79" t="s">
        <v>44026</v>
      </c>
      <c r="B1627">
        <v>920</v>
      </c>
      <c r="C1627">
        <v>920</v>
      </c>
      <c r="D1627">
        <v>10</v>
      </c>
      <c r="E1627">
        <v>76749</v>
      </c>
      <c r="F1627" s="70">
        <v>44541</v>
      </c>
      <c r="G1627" t="str">
        <f>IFERROR(IF((F1627-F1626)&gt;1,(LARGE(F1627:$F1627,1)-LARGE(F$1624:$F1627,2))-1,""),"")</f>
        <v/>
      </c>
    </row>
    <row r="1628" spans="1:7">
      <c r="A1628" s="83">
        <f>SUM(G1631:G1637)</f>
        <v>3</v>
      </c>
      <c r="B1628">
        <v>920</v>
      </c>
      <c r="C1628">
        <v>920</v>
      </c>
      <c r="D1628">
        <v>9</v>
      </c>
      <c r="E1628">
        <v>34900</v>
      </c>
      <c r="F1628" s="70">
        <v>44542</v>
      </c>
      <c r="G1628" t="str">
        <f>IFERROR(IF((F1628-F1627)&gt;1,(LARGE(F1628:$F1628,1)-LARGE(F$1624:$F1628,2))-1,""),"")</f>
        <v/>
      </c>
    </row>
    <row r="1629" spans="1:7">
      <c r="A1629" s="79" t="s">
        <v>44029</v>
      </c>
      <c r="B1629">
        <v>920</v>
      </c>
      <c r="C1629">
        <v>920</v>
      </c>
      <c r="D1629">
        <v>7</v>
      </c>
      <c r="E1629">
        <v>59369</v>
      </c>
      <c r="F1629" s="70">
        <v>44543</v>
      </c>
      <c r="G1629" t="str">
        <f>IFERROR(IF((F1629-F1628)&gt;1,(LARGE(F1629:$F1629,1)-LARGE(F$1624:$F1629,2))-1,""),"")</f>
        <v/>
      </c>
    </row>
    <row r="1630" spans="1:7">
      <c r="A1630" s="77">
        <f>(SUM(E1624:E1637)/(A1626+14)+SUM(G1624:G1637))</f>
        <v>41059</v>
      </c>
      <c r="B1630">
        <v>920</v>
      </c>
      <c r="C1630">
        <v>920</v>
      </c>
      <c r="D1630">
        <v>9</v>
      </c>
      <c r="E1630">
        <v>78892</v>
      </c>
      <c r="F1630" s="70">
        <v>44544</v>
      </c>
      <c r="G1630" t="str">
        <f>IFERROR(IF((F1630-F1629)&gt;1,(LARGE(F1630:$F1630,1)-LARGE(F$1624:$F1630,2))-1,""),"")</f>
        <v/>
      </c>
    </row>
    <row r="1631" spans="1:7">
      <c r="A1631" s="77">
        <f>(SUM(E1631:E1637)/(A1626+7)+SUM(G1631:G1637))</f>
        <v>16164.25</v>
      </c>
      <c r="B1631">
        <v>920</v>
      </c>
      <c r="C1631">
        <v>920</v>
      </c>
      <c r="D1631">
        <v>5</v>
      </c>
      <c r="E1631">
        <v>10618</v>
      </c>
      <c r="F1631" s="70">
        <v>44545</v>
      </c>
      <c r="G1631" t="str">
        <f>IFERROR(IF((F1631-F1630)&gt;1,(LARGE(F1631:$F1631,1)-LARGE(F$1624:$F1631,2))-1,""),"")</f>
        <v/>
      </c>
    </row>
    <row r="1632" spans="1:7">
      <c r="A1632" s="79" t="s">
        <v>44028</v>
      </c>
      <c r="B1632">
        <v>1199</v>
      </c>
      <c r="C1632">
        <v>1199</v>
      </c>
      <c r="D1632">
        <v>5</v>
      </c>
      <c r="E1632">
        <v>2839</v>
      </c>
      <c r="F1632" s="70">
        <v>44547</v>
      </c>
      <c r="G1632">
        <f>IFERROR(IF((F1632-F1631)&gt;1,(LARGE(F1632:$F1632,1)-LARGE(F$1624:$F1632,2))-1,""),"")</f>
        <v>1</v>
      </c>
    </row>
    <row r="1633" spans="1:7">
      <c r="A1633" s="77">
        <f>(SUM(D1634:D1637)/(A1626+4)+SUM(G1634:G1637))</f>
        <v>7.6</v>
      </c>
      <c r="B1633">
        <v>1200</v>
      </c>
      <c r="C1633">
        <v>1200</v>
      </c>
      <c r="D1633">
        <v>16</v>
      </c>
      <c r="E1633">
        <v>43851</v>
      </c>
      <c r="F1633" s="70">
        <v>44548</v>
      </c>
      <c r="G1633" t="str">
        <f>IFERROR(IF((F1633-F1632)&gt;1,(LARGE(F1633:$F1633,1)-LARGE(F$1624:$F1633,2))-1,""),"")</f>
        <v/>
      </c>
    </row>
    <row r="1634" spans="1:7">
      <c r="A1634" s="85" t="s">
        <v>44027</v>
      </c>
      <c r="B1634">
        <v>1200</v>
      </c>
      <c r="C1634">
        <v>1200</v>
      </c>
      <c r="D1634">
        <v>5</v>
      </c>
      <c r="E1634">
        <v>7500</v>
      </c>
      <c r="F1634" s="70">
        <v>44549</v>
      </c>
      <c r="G1634" t="str">
        <f>IFERROR(IF((F1634-F1633)&gt;1,(LARGE(F1634:$F1634,1)-LARGE(F$1624:$F1634,2))-1,""),"")</f>
        <v/>
      </c>
    </row>
    <row r="1635" spans="1:7">
      <c r="A1635" s="86">
        <f>IF(A1628+A1626&gt;10,"Look Up",AVERAGE(A1630,A1631))</f>
        <v>28611.625</v>
      </c>
      <c r="B1635">
        <v>1200</v>
      </c>
      <c r="C1635">
        <v>1200</v>
      </c>
      <c r="D1635">
        <v>11</v>
      </c>
      <c r="E1635">
        <v>38650</v>
      </c>
      <c r="F1635" s="70">
        <v>44550</v>
      </c>
      <c r="G1635" t="str">
        <f>IFERROR(IF((F1635-F1634)&gt;1,(LARGE(F1635:$F1635,1)-LARGE(F$1624:$F1635,2))-1,""),"")</f>
        <v/>
      </c>
    </row>
    <row r="1636" spans="1:7">
      <c r="A1636" s="85" t="s">
        <v>44030</v>
      </c>
      <c r="B1636">
        <v>1375</v>
      </c>
      <c r="C1636">
        <v>1375</v>
      </c>
      <c r="D1636">
        <v>6</v>
      </c>
      <c r="E1636">
        <v>17432</v>
      </c>
      <c r="F1636" s="70">
        <v>44553</v>
      </c>
      <c r="G1636">
        <f>IFERROR(IF((F1636-F1635)&gt;1,(LARGE(F1636:$F1636,1)-LARGE(F$1624:$F1636,2))-1,""),"")</f>
        <v>2</v>
      </c>
    </row>
    <row r="1637" spans="1:7">
      <c r="A1637" s="88"/>
      <c r="B1637">
        <v>1375</v>
      </c>
      <c r="C1637">
        <v>1375</v>
      </c>
      <c r="D1637">
        <v>6</v>
      </c>
      <c r="E1637">
        <v>8400</v>
      </c>
      <c r="F1637" s="70">
        <v>44554</v>
      </c>
      <c r="G1637" t="str">
        <f>IFERROR(IF((F1637-F1636)&gt;1,(LARGE(F1637:$F1637,1)-LARGE(F$1624:$F1637,2))-1,""),"")</f>
        <v/>
      </c>
    </row>
    <row r="1638" spans="1:7">
      <c r="A1638" s="65">
        <f>VLOOKUP(TradeSheet!A111,TypeIDs!B:C,2,FALSE)</f>
        <v>21904</v>
      </c>
      <c r="B1638" t="s">
        <v>43998</v>
      </c>
      <c r="C1638" t="s">
        <v>43999</v>
      </c>
      <c r="D1638" t="s">
        <v>44000</v>
      </c>
      <c r="E1638" t="s">
        <v>44001</v>
      </c>
      <c r="F1638" t="s">
        <v>44009</v>
      </c>
      <c r="G1638" t="s">
        <v>44008</v>
      </c>
    </row>
    <row r="1639" spans="1:7">
      <c r="A1639" s="65" t="str">
        <f>CONCATENATE(SwaggerURL,input110)</f>
        <v>https://esi.evetech.net/latest/markets/10000021/history/?datasource=tranquility&amp;type_id=21904</v>
      </c>
      <c r="B1639">
        <v>920.1</v>
      </c>
      <c r="C1639">
        <v>920.1</v>
      </c>
      <c r="D1639">
        <v>3</v>
      </c>
      <c r="E1639">
        <v>3185</v>
      </c>
      <c r="F1639" s="70">
        <v>44539</v>
      </c>
      <c r="G1639" t="str">
        <f>IFERROR(IF((F1639-F1638)&gt;1,(LARGE(F1639:$F1639,1)-LARGE(F$1639:$F1639,2))-1,""),"")</f>
        <v/>
      </c>
    </row>
    <row r="1640" spans="1:7">
      <c r="A1640" s="79" t="s">
        <v>44018</v>
      </c>
      <c r="B1640">
        <v>920.1</v>
      </c>
      <c r="C1640">
        <v>920.1</v>
      </c>
      <c r="D1640">
        <v>7</v>
      </c>
      <c r="E1640">
        <v>6000</v>
      </c>
      <c r="F1640" s="70">
        <v>44541</v>
      </c>
      <c r="G1640">
        <f>IFERROR(IF((F1640-F1639)&gt;1,(LARGE(F1640:$F1640,1)-LARGE(F$1639:$F1640,2))-1,""),"")</f>
        <v>1</v>
      </c>
    </row>
    <row r="1641" spans="1:7">
      <c r="A1641" s="78">
        <f>MAX(0,(CurrentDate-2)-F1652)</f>
        <v>1</v>
      </c>
      <c r="B1641">
        <v>920.1</v>
      </c>
      <c r="C1641">
        <v>920.1</v>
      </c>
      <c r="D1641">
        <v>3</v>
      </c>
      <c r="E1641">
        <v>2955</v>
      </c>
      <c r="F1641" s="70">
        <v>44542</v>
      </c>
      <c r="G1641" t="str">
        <f>IFERROR(IF((F1641-F1640)&gt;1,(LARGE(F1641:$F1641,1)-LARGE(F$1639:$F1641,2))-1,""),"")</f>
        <v/>
      </c>
    </row>
    <row r="1642" spans="1:7">
      <c r="A1642" s="79" t="s">
        <v>44026</v>
      </c>
      <c r="B1642">
        <v>920.1</v>
      </c>
      <c r="C1642">
        <v>920.1</v>
      </c>
      <c r="D1642">
        <v>1</v>
      </c>
      <c r="E1642">
        <v>812</v>
      </c>
      <c r="F1642" s="70">
        <v>44543</v>
      </c>
      <c r="G1642" t="str">
        <f>IFERROR(IF((F1642-F1641)&gt;1,(LARGE(F1642:$F1642,1)-LARGE(F$1639:$F1642,2))-1,""),"")</f>
        <v/>
      </c>
    </row>
    <row r="1643" spans="1:7">
      <c r="A1643" s="83">
        <f>SUM(G1646:G1652)</f>
        <v>1</v>
      </c>
      <c r="B1643">
        <v>920.1</v>
      </c>
      <c r="C1643">
        <v>920.1</v>
      </c>
      <c r="D1643">
        <v>2</v>
      </c>
      <c r="E1643">
        <v>9492</v>
      </c>
      <c r="F1643" s="70">
        <v>44544</v>
      </c>
      <c r="G1643" t="str">
        <f>IFERROR(IF((F1643-F1642)&gt;1,(LARGE(F1643:$F1643,1)-LARGE(F$1639:$F1643,2))-1,""),"")</f>
        <v/>
      </c>
    </row>
    <row r="1644" spans="1:7">
      <c r="A1644" s="79" t="s">
        <v>44029</v>
      </c>
      <c r="B1644">
        <v>920.1</v>
      </c>
      <c r="C1644">
        <v>920.1</v>
      </c>
      <c r="D1644">
        <v>1</v>
      </c>
      <c r="E1644">
        <v>1000</v>
      </c>
      <c r="F1644" s="70">
        <v>44545</v>
      </c>
      <c r="G1644" t="str">
        <f>IFERROR(IF((F1644-F1643)&gt;1,(LARGE(F1644:$F1644,1)-LARGE(F$1639:$F1644,2))-1,""),"")</f>
        <v/>
      </c>
    </row>
    <row r="1645" spans="1:7">
      <c r="A1645" s="77">
        <f>(SUM(E1639:E1652)/(A1641+14)+SUM(G1639:G1652))</f>
        <v>5163.666666666667</v>
      </c>
      <c r="B1645">
        <v>920.1</v>
      </c>
      <c r="C1645">
        <v>920.1</v>
      </c>
      <c r="D1645">
        <v>6</v>
      </c>
      <c r="E1645">
        <v>8884</v>
      </c>
      <c r="F1645" s="70">
        <v>44546</v>
      </c>
      <c r="G1645" t="str">
        <f>IFERROR(IF((F1645-F1644)&gt;1,(LARGE(F1645:$F1645,1)-LARGE(F$1639:$F1645,2))-1,""),"")</f>
        <v/>
      </c>
    </row>
    <row r="1646" spans="1:7">
      <c r="A1646" s="77">
        <f>(SUM(E1646:E1652)/(A1641+7)+SUM(G1646:G1652))</f>
        <v>5638.125</v>
      </c>
      <c r="B1646">
        <v>920.1</v>
      </c>
      <c r="C1646">
        <v>920.1</v>
      </c>
      <c r="D1646">
        <v>7</v>
      </c>
      <c r="E1646">
        <v>5000</v>
      </c>
      <c r="F1646" s="70">
        <v>44547</v>
      </c>
      <c r="G1646" t="str">
        <f>IFERROR(IF((F1646-F1645)&gt;1,(LARGE(F1646:$F1646,1)-LARGE(F$1639:$F1646,2))-1,""),"")</f>
        <v/>
      </c>
    </row>
    <row r="1647" spans="1:7">
      <c r="A1647" s="79" t="s">
        <v>44028</v>
      </c>
      <c r="B1647">
        <v>920.1</v>
      </c>
      <c r="C1647">
        <v>920.1</v>
      </c>
      <c r="D1647">
        <v>13</v>
      </c>
      <c r="E1647">
        <v>15845</v>
      </c>
      <c r="F1647" s="70">
        <v>44548</v>
      </c>
      <c r="G1647" t="str">
        <f>IFERROR(IF((F1647-F1646)&gt;1,(LARGE(F1647:$F1647,1)-LARGE(F$1639:$F1647,2))-1,""),"")</f>
        <v/>
      </c>
    </row>
    <row r="1648" spans="1:7">
      <c r="A1648" s="77">
        <f>(SUM(D1649:D1652)/(A1641+4)+SUM(G1649:G1652))</f>
        <v>2.8</v>
      </c>
      <c r="B1648">
        <v>920.1</v>
      </c>
      <c r="C1648">
        <v>920.1</v>
      </c>
      <c r="D1648">
        <v>2</v>
      </c>
      <c r="E1648">
        <v>1700</v>
      </c>
      <c r="F1648" s="70">
        <v>44549</v>
      </c>
      <c r="G1648" t="str">
        <f>IFERROR(IF((F1648-F1647)&gt;1,(LARGE(F1648:$F1648,1)-LARGE(F$1639:$F1648,2))-1,""),"")</f>
        <v/>
      </c>
    </row>
    <row r="1649" spans="1:7">
      <c r="A1649" s="85" t="s">
        <v>44027</v>
      </c>
      <c r="B1649">
        <v>920.1</v>
      </c>
      <c r="C1649">
        <v>920.1</v>
      </c>
      <c r="D1649">
        <v>3</v>
      </c>
      <c r="E1649">
        <v>7000</v>
      </c>
      <c r="F1649" s="70">
        <v>44550</v>
      </c>
      <c r="G1649" t="str">
        <f>IFERROR(IF((F1649-F1648)&gt;1,(LARGE(F1649:$F1649,1)-LARGE(F$1639:$F1649,2))-1,""),"")</f>
        <v/>
      </c>
    </row>
    <row r="1650" spans="1:7">
      <c r="A1650" s="86">
        <f>IF(A1643+A1641&gt;10,"Look Up",AVERAGE(A1645,A1646))</f>
        <v>5400.8958333333339</v>
      </c>
      <c r="B1650">
        <v>920.1</v>
      </c>
      <c r="C1650">
        <v>920.1</v>
      </c>
      <c r="D1650">
        <v>2</v>
      </c>
      <c r="E1650">
        <v>11052</v>
      </c>
      <c r="F1650" s="70">
        <v>44551</v>
      </c>
      <c r="G1650" t="str">
        <f>IFERROR(IF((F1650-F1649)&gt;1,(LARGE(F1650:$F1650,1)-LARGE(F$1639:$F1650,2))-1,""),"")</f>
        <v/>
      </c>
    </row>
    <row r="1651" spans="1:7">
      <c r="A1651" s="85" t="s">
        <v>44030</v>
      </c>
      <c r="B1651">
        <v>957</v>
      </c>
      <c r="C1651">
        <v>957</v>
      </c>
      <c r="D1651">
        <v>2</v>
      </c>
      <c r="E1651">
        <v>2500</v>
      </c>
      <c r="F1651" s="70">
        <v>44553</v>
      </c>
      <c r="G1651">
        <f>IFERROR(IF((F1651-F1650)&gt;1,(LARGE(F1651:$F1651,1)-LARGE(F$1639:$F1651,2))-1,""),"")</f>
        <v>1</v>
      </c>
    </row>
    <row r="1652" spans="1:7">
      <c r="A1652" s="88"/>
      <c r="B1652">
        <v>957</v>
      </c>
      <c r="C1652">
        <v>957</v>
      </c>
      <c r="D1652">
        <v>2</v>
      </c>
      <c r="E1652">
        <v>2000</v>
      </c>
      <c r="F1652" s="70">
        <v>44554</v>
      </c>
      <c r="G1652" t="str">
        <f>IFERROR(IF((F1652-F1651)&gt;1,(LARGE(F1652:$F1652,1)-LARGE(F$1639:$F1652,2))-1,""),"")</f>
        <v/>
      </c>
    </row>
    <row r="1653" spans="1:7">
      <c r="A1653" s="65">
        <f>VLOOKUP(TradeSheet!A112,TypeIDs!B:C,2,FALSE)</f>
        <v>21912</v>
      </c>
      <c r="B1653" t="s">
        <v>43998</v>
      </c>
      <c r="C1653" t="s">
        <v>43999</v>
      </c>
      <c r="D1653" t="s">
        <v>44000</v>
      </c>
      <c r="E1653" t="s">
        <v>44001</v>
      </c>
      <c r="F1653" t="s">
        <v>44009</v>
      </c>
      <c r="G1653" t="s">
        <v>44008</v>
      </c>
    </row>
    <row r="1654" spans="1:7">
      <c r="A1654" s="65" t="str">
        <f>CONCATENATE(SwaggerURL,input111)</f>
        <v>https://esi.evetech.net/latest/markets/10000021/history/?datasource=tranquility&amp;type_id=21912</v>
      </c>
      <c r="B1654">
        <v>780</v>
      </c>
      <c r="C1654">
        <v>780</v>
      </c>
      <c r="D1654">
        <v>1</v>
      </c>
      <c r="E1654">
        <v>500</v>
      </c>
      <c r="F1654" s="70">
        <v>44531</v>
      </c>
      <c r="G1654" t="str">
        <f>IFERROR(IF((F1654-F1653)&gt;1,(LARGE(F1654:$F1654,1)-LARGE(F$1654:$F1654,2))-1,""),"")</f>
        <v/>
      </c>
    </row>
    <row r="1655" spans="1:7">
      <c r="A1655" s="79" t="s">
        <v>44018</v>
      </c>
      <c r="B1655">
        <v>780</v>
      </c>
      <c r="C1655">
        <v>780</v>
      </c>
      <c r="D1655">
        <v>5</v>
      </c>
      <c r="E1655">
        <v>4500</v>
      </c>
      <c r="F1655" s="70">
        <v>44536</v>
      </c>
      <c r="G1655">
        <f>IFERROR(IF((F1655-F1654)&gt;1,(LARGE(F1655:$F1655,1)-LARGE(F$1654:$F1655,2))-1,""),"")</f>
        <v>4</v>
      </c>
    </row>
    <row r="1656" spans="1:7">
      <c r="A1656" s="78">
        <f>MAX(0,(CurrentDate-2)-F1667)</f>
        <v>1</v>
      </c>
      <c r="B1656">
        <v>780</v>
      </c>
      <c r="C1656">
        <v>780</v>
      </c>
      <c r="D1656">
        <v>3</v>
      </c>
      <c r="E1656">
        <v>3025</v>
      </c>
      <c r="F1656" s="70">
        <v>44538</v>
      </c>
      <c r="G1656">
        <f>IFERROR(IF((F1656-F1655)&gt;1,(LARGE(F1656:$F1656,1)-LARGE(F$1654:$F1656,2))-1,""),"")</f>
        <v>1</v>
      </c>
    </row>
    <row r="1657" spans="1:7">
      <c r="A1657" s="79" t="s">
        <v>44026</v>
      </c>
      <c r="B1657">
        <v>780</v>
      </c>
      <c r="C1657">
        <v>780</v>
      </c>
      <c r="D1657">
        <v>2</v>
      </c>
      <c r="E1657">
        <v>3140</v>
      </c>
      <c r="F1657" s="70">
        <v>44539</v>
      </c>
      <c r="G1657" t="str">
        <f>IFERROR(IF((F1657-F1656)&gt;1,(LARGE(F1657:$F1657,1)-LARGE(F$1654:$F1657,2))-1,""),"")</f>
        <v/>
      </c>
    </row>
    <row r="1658" spans="1:7">
      <c r="A1658" s="83">
        <f>SUM(G1661:G1667)</f>
        <v>2</v>
      </c>
      <c r="B1658">
        <v>780</v>
      </c>
      <c r="C1658">
        <v>780</v>
      </c>
      <c r="D1658">
        <v>4</v>
      </c>
      <c r="E1658">
        <v>2500</v>
      </c>
      <c r="F1658" s="70">
        <v>44541</v>
      </c>
      <c r="G1658">
        <f>IFERROR(IF((F1658-F1657)&gt;1,(LARGE(F1658:$F1658,1)-LARGE(F$1654:$F1658,2))-1,""),"")</f>
        <v>1</v>
      </c>
    </row>
    <row r="1659" spans="1:7">
      <c r="A1659" s="79" t="s">
        <v>44029</v>
      </c>
      <c r="B1659">
        <v>780</v>
      </c>
      <c r="C1659">
        <v>780</v>
      </c>
      <c r="D1659">
        <v>1</v>
      </c>
      <c r="E1659">
        <v>500</v>
      </c>
      <c r="F1659" s="70">
        <v>44542</v>
      </c>
      <c r="G1659" t="str">
        <f>IFERROR(IF((F1659-F1658)&gt;1,(LARGE(F1659:$F1659,1)-LARGE(F$1654:$F1659,2))-1,""),"")</f>
        <v/>
      </c>
    </row>
    <row r="1660" spans="1:7">
      <c r="A1660" s="77">
        <f>(SUM(E1654:E1667)/(A1656+14)+SUM(G1654:G1667))</f>
        <v>2701</v>
      </c>
      <c r="B1660">
        <v>779</v>
      </c>
      <c r="C1660">
        <v>779</v>
      </c>
      <c r="D1660">
        <v>2</v>
      </c>
      <c r="E1660">
        <v>1500</v>
      </c>
      <c r="F1660" s="70">
        <v>44545</v>
      </c>
      <c r="G1660">
        <f>IFERROR(IF((F1660-F1659)&gt;1,(LARGE(F1660:$F1660,1)-LARGE(F$1654:$F1660,2))-1,""),"")</f>
        <v>2</v>
      </c>
    </row>
    <row r="1661" spans="1:7">
      <c r="A1661" s="77">
        <f>(SUM(E1661:E1667)/(A1656+7)+SUM(G1661:G1667))</f>
        <v>3089.5</v>
      </c>
      <c r="B1661">
        <v>780</v>
      </c>
      <c r="C1661">
        <v>780</v>
      </c>
      <c r="D1661">
        <v>8</v>
      </c>
      <c r="E1661">
        <v>7000</v>
      </c>
      <c r="F1661" s="70">
        <v>44548</v>
      </c>
      <c r="G1661">
        <f>IFERROR(IF((F1661-F1660)&gt;1,(LARGE(F1661:$F1661,1)-LARGE(F$1654:$F1661,2))-1,""),"")</f>
        <v>2</v>
      </c>
    </row>
    <row r="1662" spans="1:7">
      <c r="A1662" s="79" t="s">
        <v>44028</v>
      </c>
      <c r="B1662">
        <v>780</v>
      </c>
      <c r="C1662">
        <v>780</v>
      </c>
      <c r="D1662">
        <v>2</v>
      </c>
      <c r="E1662">
        <v>2000</v>
      </c>
      <c r="F1662" s="70">
        <v>44549</v>
      </c>
      <c r="G1662" t="str">
        <f>IFERROR(IF((F1662-F1661)&gt;1,(LARGE(F1662:$F1662,1)-LARGE(F$1654:$F1662,2))-1,""),"")</f>
        <v/>
      </c>
    </row>
    <row r="1663" spans="1:7">
      <c r="A1663" s="77">
        <f>(SUM(D1664:D1667)/(A1656+4)+SUM(G1664:G1667))</f>
        <v>1.6</v>
      </c>
      <c r="B1663">
        <v>780</v>
      </c>
      <c r="C1663">
        <v>780</v>
      </c>
      <c r="D1663">
        <v>3</v>
      </c>
      <c r="E1663">
        <v>11000</v>
      </c>
      <c r="F1663" s="70">
        <v>44550</v>
      </c>
      <c r="G1663" t="str">
        <f>IFERROR(IF((F1663-F1662)&gt;1,(LARGE(F1663:$F1663,1)-LARGE(F$1654:$F1663,2))-1,""),"")</f>
        <v/>
      </c>
    </row>
    <row r="1664" spans="1:7">
      <c r="A1664" s="85" t="s">
        <v>44027</v>
      </c>
      <c r="B1664">
        <v>780</v>
      </c>
      <c r="C1664">
        <v>780</v>
      </c>
      <c r="D1664">
        <v>4</v>
      </c>
      <c r="E1664">
        <v>2000</v>
      </c>
      <c r="F1664" s="70">
        <v>44551</v>
      </c>
      <c r="G1664" t="str">
        <f>IFERROR(IF((F1664-F1663)&gt;1,(LARGE(F1664:$F1664,1)-LARGE(F$1654:$F1664,2))-1,""),"")</f>
        <v/>
      </c>
    </row>
    <row r="1665" spans="1:7">
      <c r="A1665" s="86">
        <f>IF(A1658+A1656&gt;10,"Look Up",AVERAGE(A1660,A1661))</f>
        <v>2895.25</v>
      </c>
      <c r="B1665">
        <v>780</v>
      </c>
      <c r="C1665">
        <v>780</v>
      </c>
      <c r="D1665">
        <v>1</v>
      </c>
      <c r="E1665">
        <v>1200</v>
      </c>
      <c r="F1665" s="70">
        <v>44552</v>
      </c>
      <c r="G1665" t="str">
        <f>IFERROR(IF((F1665-F1664)&gt;1,(LARGE(F1665:$F1665,1)-LARGE(F$1654:$F1665,2))-1,""),"")</f>
        <v/>
      </c>
    </row>
    <row r="1666" spans="1:7">
      <c r="A1666" s="85" t="s">
        <v>44030</v>
      </c>
      <c r="B1666">
        <v>780</v>
      </c>
      <c r="C1666">
        <v>780</v>
      </c>
      <c r="D1666">
        <v>1</v>
      </c>
      <c r="E1666">
        <v>500</v>
      </c>
      <c r="F1666" s="70">
        <v>44553</v>
      </c>
      <c r="G1666" t="str">
        <f>IFERROR(IF((F1666-F1665)&gt;1,(LARGE(F1666:$F1666,1)-LARGE(F$1654:$F1666,2))-1,""),"")</f>
        <v/>
      </c>
    </row>
    <row r="1667" spans="1:7">
      <c r="A1667" s="88"/>
      <c r="B1667">
        <v>780</v>
      </c>
      <c r="C1667">
        <v>780</v>
      </c>
      <c r="D1667">
        <v>2</v>
      </c>
      <c r="E1667">
        <v>1000</v>
      </c>
      <c r="F1667" s="70">
        <v>44554</v>
      </c>
      <c r="G1667" t="str">
        <f>IFERROR(IF((F1667-F1666)&gt;1,(LARGE(F1667:$F1667,1)-LARGE(F$1654:$F1667,2))-1,""),"")</f>
        <v/>
      </c>
    </row>
    <row r="1668" spans="1:7">
      <c r="A1668" s="65">
        <f>VLOOKUP(TradeSheet!A113,TypeIDs!B:C,2,FALSE)</f>
        <v>21922</v>
      </c>
      <c r="B1668" t="s">
        <v>43998</v>
      </c>
      <c r="C1668" t="s">
        <v>43999</v>
      </c>
      <c r="D1668" t="s">
        <v>44000</v>
      </c>
      <c r="E1668" t="s">
        <v>44001</v>
      </c>
      <c r="F1668" t="s">
        <v>44009</v>
      </c>
      <c r="G1668" t="s">
        <v>44008</v>
      </c>
    </row>
    <row r="1669" spans="1:7">
      <c r="A1669" s="65" t="str">
        <f>CONCATENATE(SwaggerURL,input112)</f>
        <v>https://esi.evetech.net/latest/markets/10000021/history/?datasource=tranquility&amp;type_id=21922</v>
      </c>
      <c r="B1669">
        <v>840</v>
      </c>
      <c r="C1669">
        <v>840</v>
      </c>
      <c r="D1669">
        <v>9</v>
      </c>
      <c r="E1669">
        <v>55576</v>
      </c>
      <c r="F1669" s="70">
        <v>44539</v>
      </c>
      <c r="G1669" t="str">
        <f>IFERROR(IF((F1669-F1668)&gt;1,(LARGE(F1669:$F1669,1)-LARGE(F$1669:$F1669,2))-1,""),"")</f>
        <v/>
      </c>
    </row>
    <row r="1670" spans="1:7">
      <c r="A1670" s="79" t="s">
        <v>44018</v>
      </c>
      <c r="B1670">
        <v>840</v>
      </c>
      <c r="C1670">
        <v>840</v>
      </c>
      <c r="D1670">
        <v>3</v>
      </c>
      <c r="E1670">
        <v>6500</v>
      </c>
      <c r="F1670" s="70">
        <v>44541</v>
      </c>
      <c r="G1670">
        <f>IFERROR(IF((F1670-F1669)&gt;1,(LARGE(F1670:$F1670,1)-LARGE(F$1669:$F1670,2))-1,""),"")</f>
        <v>1</v>
      </c>
    </row>
    <row r="1671" spans="1:7">
      <c r="A1671" s="78">
        <f>MAX(0,(CurrentDate-2)-F1682)</f>
        <v>1</v>
      </c>
      <c r="B1671">
        <v>840</v>
      </c>
      <c r="C1671">
        <v>840</v>
      </c>
      <c r="D1671">
        <v>3</v>
      </c>
      <c r="E1671">
        <v>4000</v>
      </c>
      <c r="F1671" s="70">
        <v>44542</v>
      </c>
      <c r="G1671" t="str">
        <f>IFERROR(IF((F1671-F1670)&gt;1,(LARGE(F1671:$F1671,1)-LARGE(F$1669:$F1671,2))-1,""),"")</f>
        <v/>
      </c>
    </row>
    <row r="1672" spans="1:7">
      <c r="A1672" s="79" t="s">
        <v>44026</v>
      </c>
      <c r="B1672">
        <v>840</v>
      </c>
      <c r="C1672">
        <v>840</v>
      </c>
      <c r="D1672">
        <v>2</v>
      </c>
      <c r="E1672">
        <v>12000</v>
      </c>
      <c r="F1672" s="70">
        <v>44544</v>
      </c>
      <c r="G1672">
        <f>IFERROR(IF((F1672-F1671)&gt;1,(LARGE(F1672:$F1672,1)-LARGE(F$1669:$F1672,2))-1,""),"")</f>
        <v>1</v>
      </c>
    </row>
    <row r="1673" spans="1:7">
      <c r="A1673" s="83">
        <f>SUM(G1676:G1682)</f>
        <v>0</v>
      </c>
      <c r="B1673">
        <v>840</v>
      </c>
      <c r="C1673">
        <v>840</v>
      </c>
      <c r="D1673">
        <v>4</v>
      </c>
      <c r="E1673">
        <v>41505</v>
      </c>
      <c r="F1673" s="70">
        <v>44545</v>
      </c>
      <c r="G1673" t="str">
        <f>IFERROR(IF((F1673-F1672)&gt;1,(LARGE(F1673:$F1673,1)-LARGE(F$1669:$F1673,2))-1,""),"")</f>
        <v/>
      </c>
    </row>
    <row r="1674" spans="1:7">
      <c r="A1674" s="79" t="s">
        <v>44029</v>
      </c>
      <c r="B1674">
        <v>840</v>
      </c>
      <c r="C1674">
        <v>840</v>
      </c>
      <c r="D1674">
        <v>7</v>
      </c>
      <c r="E1674">
        <v>17800</v>
      </c>
      <c r="F1674" s="70">
        <v>44546</v>
      </c>
      <c r="G1674" t="str">
        <f>IFERROR(IF((F1674-F1673)&gt;1,(LARGE(F1674:$F1674,1)-LARGE(F$1669:$F1674,2))-1,""),"")</f>
        <v/>
      </c>
    </row>
    <row r="1675" spans="1:7">
      <c r="A1675" s="77">
        <f>(SUM(E1669:E1682)/(A1671+14)+SUM(G1669:G1682))</f>
        <v>17489</v>
      </c>
      <c r="B1675">
        <v>840</v>
      </c>
      <c r="C1675">
        <v>840</v>
      </c>
      <c r="D1675">
        <v>7</v>
      </c>
      <c r="E1675">
        <v>10000</v>
      </c>
      <c r="F1675" s="70">
        <v>44547</v>
      </c>
      <c r="G1675" t="str">
        <f>IFERROR(IF((F1675-F1674)&gt;1,(LARGE(F1675:$F1675,1)-LARGE(F$1669:$F1675,2))-1,""),"")</f>
        <v/>
      </c>
    </row>
    <row r="1676" spans="1:7">
      <c r="A1676" s="77">
        <f>(SUM(E1676:E1682)/(A1671+7)+SUM(G1676:G1682))</f>
        <v>14365.5</v>
      </c>
      <c r="B1676">
        <v>840</v>
      </c>
      <c r="C1676">
        <v>840</v>
      </c>
      <c r="D1676">
        <v>12</v>
      </c>
      <c r="E1676">
        <v>20059</v>
      </c>
      <c r="F1676" s="70">
        <v>44548</v>
      </c>
      <c r="G1676" t="str">
        <f>IFERROR(IF((F1676-F1675)&gt;1,(LARGE(F1676:$F1676,1)-LARGE(F$1669:$F1676,2))-1,""),"")</f>
        <v/>
      </c>
    </row>
    <row r="1677" spans="1:7">
      <c r="A1677" s="79" t="s">
        <v>44028</v>
      </c>
      <c r="B1677">
        <v>839</v>
      </c>
      <c r="C1677">
        <v>839</v>
      </c>
      <c r="D1677">
        <v>2</v>
      </c>
      <c r="E1677">
        <v>3000</v>
      </c>
      <c r="F1677" s="70">
        <v>44549</v>
      </c>
      <c r="G1677" t="str">
        <f>IFERROR(IF((F1677-F1676)&gt;1,(LARGE(F1677:$F1677,1)-LARGE(F$1669:$F1677,2))-1,""),"")</f>
        <v/>
      </c>
    </row>
    <row r="1678" spans="1:7">
      <c r="A1678" s="77">
        <f>(SUM(D1679:D1682)/(A1671+4)+SUM(G1679:G1682))</f>
        <v>4.5999999999999996</v>
      </c>
      <c r="B1678">
        <v>840</v>
      </c>
      <c r="C1678">
        <v>840</v>
      </c>
      <c r="D1678">
        <v>5</v>
      </c>
      <c r="E1678">
        <v>5010</v>
      </c>
      <c r="F1678" s="70">
        <v>44550</v>
      </c>
      <c r="G1678" t="str">
        <f>IFERROR(IF((F1678-F1677)&gt;1,(LARGE(F1678:$F1678,1)-LARGE(F$1669:$F1678,2))-1,""),"")</f>
        <v/>
      </c>
    </row>
    <row r="1679" spans="1:7">
      <c r="A1679" s="85" t="s">
        <v>44027</v>
      </c>
      <c r="B1679">
        <v>840</v>
      </c>
      <c r="C1679">
        <v>840</v>
      </c>
      <c r="D1679">
        <v>8</v>
      </c>
      <c r="E1679">
        <v>24595</v>
      </c>
      <c r="F1679" s="70">
        <v>44551</v>
      </c>
      <c r="G1679" t="str">
        <f>IFERROR(IF((F1679-F1678)&gt;1,(LARGE(F1679:$F1679,1)-LARGE(F$1669:$F1679,2))-1,""),"")</f>
        <v/>
      </c>
    </row>
    <row r="1680" spans="1:7">
      <c r="A1680" s="86">
        <f>IF(A1673+A1671&gt;10,"Look Up",AVERAGE(A1675,A1676))</f>
        <v>15927.25</v>
      </c>
      <c r="B1680">
        <v>840</v>
      </c>
      <c r="C1680">
        <v>840</v>
      </c>
      <c r="D1680">
        <v>4</v>
      </c>
      <c r="E1680">
        <v>17500</v>
      </c>
      <c r="F1680" s="70">
        <v>44552</v>
      </c>
      <c r="G1680" t="str">
        <f>IFERROR(IF((F1680-F1679)&gt;1,(LARGE(F1680:$F1680,1)-LARGE(F$1669:$F1680,2))-1,""),"")</f>
        <v/>
      </c>
    </row>
    <row r="1681" spans="1:7">
      <c r="A1681" s="85" t="s">
        <v>44030</v>
      </c>
      <c r="B1681">
        <v>840</v>
      </c>
      <c r="C1681">
        <v>840</v>
      </c>
      <c r="D1681">
        <v>6</v>
      </c>
      <c r="E1681">
        <v>32760</v>
      </c>
      <c r="F1681" s="70">
        <v>44553</v>
      </c>
      <c r="G1681" t="str">
        <f>IFERROR(IF((F1681-F1680)&gt;1,(LARGE(F1681:$F1681,1)-LARGE(F$1669:$F1681,2))-1,""),"")</f>
        <v/>
      </c>
    </row>
    <row r="1682" spans="1:7">
      <c r="A1682" s="88"/>
      <c r="B1682">
        <v>840</v>
      </c>
      <c r="C1682">
        <v>840</v>
      </c>
      <c r="D1682">
        <v>5</v>
      </c>
      <c r="E1682">
        <v>12000</v>
      </c>
      <c r="F1682" s="70">
        <v>44554</v>
      </c>
      <c r="G1682" t="str">
        <f>IFERROR(IF((F1682-F1681)&gt;1,(LARGE(F1682:$F1682,1)-LARGE(F$1669:$F1682,2))-1,""),"")</f>
        <v/>
      </c>
    </row>
    <row r="1683" spans="1:7">
      <c r="A1683" s="65">
        <f>VLOOKUP(TradeSheet!A114,TypeIDs!B:C,2,FALSE)</f>
        <v>21928</v>
      </c>
      <c r="B1683" t="s">
        <v>43998</v>
      </c>
      <c r="C1683" t="s">
        <v>43999</v>
      </c>
      <c r="D1683" t="s">
        <v>44000</v>
      </c>
      <c r="E1683" t="s">
        <v>44001</v>
      </c>
      <c r="F1683" t="s">
        <v>44009</v>
      </c>
      <c r="G1683" t="s">
        <v>44008</v>
      </c>
    </row>
    <row r="1684" spans="1:7">
      <c r="A1684" s="65" t="str">
        <f>CONCATENATE(SwaggerURL,input113)</f>
        <v>https://esi.evetech.net/latest/markets/10000021/history/?datasource=tranquility&amp;type_id=21928</v>
      </c>
      <c r="B1684">
        <v>1188</v>
      </c>
      <c r="C1684">
        <v>1188</v>
      </c>
      <c r="D1684">
        <v>6</v>
      </c>
      <c r="E1684">
        <v>4950</v>
      </c>
      <c r="F1684" s="70">
        <v>44538</v>
      </c>
      <c r="G1684" t="str">
        <f>IFERROR(IF((F1684-F1683)&gt;1,(LARGE(F1684:$F1684,1)-LARGE(F$1684:$F1684,2))-1,""),"")</f>
        <v/>
      </c>
    </row>
    <row r="1685" spans="1:7">
      <c r="A1685" s="79" t="s">
        <v>44018</v>
      </c>
      <c r="B1685">
        <v>1188</v>
      </c>
      <c r="C1685">
        <v>1188</v>
      </c>
      <c r="D1685">
        <v>3</v>
      </c>
      <c r="E1685">
        <v>2500</v>
      </c>
      <c r="F1685" s="70">
        <v>44539</v>
      </c>
      <c r="G1685" t="str">
        <f>IFERROR(IF((F1685-F1684)&gt;1,(LARGE(F1685:$F1685,1)-LARGE(F$1684:$F1685,2))-1,""),"")</f>
        <v/>
      </c>
    </row>
    <row r="1686" spans="1:7">
      <c r="A1686" s="78">
        <f>MAX(0,(CurrentDate-2)-F1697)</f>
        <v>1</v>
      </c>
      <c r="B1686">
        <v>1187.5</v>
      </c>
      <c r="C1686">
        <v>1187</v>
      </c>
      <c r="D1686">
        <v>4</v>
      </c>
      <c r="E1686">
        <v>2000</v>
      </c>
      <c r="F1686" s="70">
        <v>44541</v>
      </c>
      <c r="G1686">
        <f>IFERROR(IF((F1686-F1685)&gt;1,(LARGE(F1686:$F1686,1)-LARGE(F$1684:$F1686,2))-1,""),"")</f>
        <v>1</v>
      </c>
    </row>
    <row r="1687" spans="1:7">
      <c r="A1687" s="79" t="s">
        <v>44026</v>
      </c>
      <c r="B1687">
        <v>1188</v>
      </c>
      <c r="C1687">
        <v>1188</v>
      </c>
      <c r="D1687">
        <v>2</v>
      </c>
      <c r="E1687">
        <v>1000</v>
      </c>
      <c r="F1687" s="70">
        <v>44542</v>
      </c>
      <c r="G1687" t="str">
        <f>IFERROR(IF((F1687-F1686)&gt;1,(LARGE(F1687:$F1687,1)-LARGE(F$1684:$F1687,2))-1,""),"")</f>
        <v/>
      </c>
    </row>
    <row r="1688" spans="1:7">
      <c r="A1688" s="83">
        <f>SUM(G1691:G1697)</f>
        <v>1</v>
      </c>
      <c r="B1688">
        <v>1184</v>
      </c>
      <c r="C1688">
        <v>1180</v>
      </c>
      <c r="D1688">
        <v>3</v>
      </c>
      <c r="E1688">
        <v>2000</v>
      </c>
      <c r="F1688" s="70">
        <v>44543</v>
      </c>
      <c r="G1688" t="str">
        <f>IFERROR(IF((F1688-F1687)&gt;1,(LARGE(F1688:$F1688,1)-LARGE(F$1684:$F1688,2))-1,""),"")</f>
        <v/>
      </c>
    </row>
    <row r="1689" spans="1:7">
      <c r="A1689" s="79" t="s">
        <v>44029</v>
      </c>
      <c r="B1689">
        <v>1188</v>
      </c>
      <c r="C1689">
        <v>1188</v>
      </c>
      <c r="D1689">
        <v>2</v>
      </c>
      <c r="E1689">
        <v>515</v>
      </c>
      <c r="F1689" s="70">
        <v>44545</v>
      </c>
      <c r="G1689">
        <f>IFERROR(IF((F1689-F1688)&gt;1,(LARGE(F1689:$F1689,1)-LARGE(F$1684:$F1689,2))-1,""),"")</f>
        <v>1</v>
      </c>
    </row>
    <row r="1690" spans="1:7">
      <c r="A1690" s="77">
        <f>(SUM(E1684:E1697)/(A1686+14)+SUM(G1684:G1697))</f>
        <v>3003.0666666666666</v>
      </c>
      <c r="B1690">
        <v>1188</v>
      </c>
      <c r="C1690">
        <v>1188</v>
      </c>
      <c r="D1690">
        <v>4</v>
      </c>
      <c r="E1690">
        <v>8000</v>
      </c>
      <c r="F1690" s="70">
        <v>44546</v>
      </c>
      <c r="G1690" t="str">
        <f>IFERROR(IF((F1690-F1689)&gt;1,(LARGE(F1690:$F1690,1)-LARGE(F$1684:$F1690,2))-1,""),"")</f>
        <v/>
      </c>
    </row>
    <row r="1691" spans="1:7">
      <c r="A1691" s="77">
        <f>(SUM(E1691:E1697)/(A1686+7)+SUM(G1691:G1697))</f>
        <v>3005.5</v>
      </c>
      <c r="B1691">
        <v>1000</v>
      </c>
      <c r="C1691">
        <v>1000</v>
      </c>
      <c r="D1691">
        <v>11</v>
      </c>
      <c r="E1691">
        <v>8606</v>
      </c>
      <c r="F1691" s="70">
        <v>44548</v>
      </c>
      <c r="G1691">
        <f>IFERROR(IF((F1691-F1690)&gt;1,(LARGE(F1691:$F1691,1)-LARGE(F$1684:$F1691,2))-1,""),"")</f>
        <v>1</v>
      </c>
    </row>
    <row r="1692" spans="1:7">
      <c r="A1692" s="79" t="s">
        <v>44028</v>
      </c>
      <c r="B1692">
        <v>999.5</v>
      </c>
      <c r="C1692">
        <v>999</v>
      </c>
      <c r="D1692">
        <v>2</v>
      </c>
      <c r="E1692">
        <v>1000</v>
      </c>
      <c r="F1692" s="70">
        <v>44549</v>
      </c>
      <c r="G1692" t="str">
        <f>IFERROR(IF((F1692-F1691)&gt;1,(LARGE(F1692:$F1692,1)-LARGE(F$1684:$F1692,2))-1,""),"")</f>
        <v/>
      </c>
    </row>
    <row r="1693" spans="1:7">
      <c r="A1693" s="77">
        <f>(SUM(D1694:D1697)/(A1686+4)+SUM(G1694:G1697))</f>
        <v>1.8</v>
      </c>
      <c r="B1693">
        <v>1000</v>
      </c>
      <c r="C1693">
        <v>1000</v>
      </c>
      <c r="D1693">
        <v>5</v>
      </c>
      <c r="E1693">
        <v>8000</v>
      </c>
      <c r="F1693" s="70">
        <v>44550</v>
      </c>
      <c r="G1693" t="str">
        <f>IFERROR(IF((F1693-F1692)&gt;1,(LARGE(F1693:$F1693,1)-LARGE(F$1684:$F1693,2))-1,""),"")</f>
        <v/>
      </c>
    </row>
    <row r="1694" spans="1:7">
      <c r="A1694" s="85" t="s">
        <v>44027</v>
      </c>
      <c r="B1694">
        <v>1000</v>
      </c>
      <c r="C1694">
        <v>1000</v>
      </c>
      <c r="D1694">
        <v>5</v>
      </c>
      <c r="E1694">
        <v>3930</v>
      </c>
      <c r="F1694" s="70">
        <v>44551</v>
      </c>
      <c r="G1694" t="str">
        <f>IFERROR(IF((F1694-F1693)&gt;1,(LARGE(F1694:$F1694,1)-LARGE(F$1684:$F1694,2))-1,""),"")</f>
        <v/>
      </c>
    </row>
    <row r="1695" spans="1:7">
      <c r="A1695" s="86">
        <f>IF(A1688+A1686&gt;10,"Look Up",AVERAGE(A1690,A1691))</f>
        <v>3004.2833333333333</v>
      </c>
      <c r="B1695">
        <v>1000</v>
      </c>
      <c r="C1695">
        <v>1000</v>
      </c>
      <c r="D1695">
        <v>1</v>
      </c>
      <c r="E1695">
        <v>500</v>
      </c>
      <c r="F1695" s="70">
        <v>44552</v>
      </c>
      <c r="G1695" t="str">
        <f>IFERROR(IF((F1695-F1694)&gt;1,(LARGE(F1695:$F1695,1)-LARGE(F$1684:$F1695,2))-1,""),"")</f>
        <v/>
      </c>
    </row>
    <row r="1696" spans="1:7">
      <c r="A1696" s="85" t="s">
        <v>44030</v>
      </c>
      <c r="B1696">
        <v>1000</v>
      </c>
      <c r="C1696">
        <v>1000</v>
      </c>
      <c r="D1696">
        <v>1</v>
      </c>
      <c r="E1696">
        <v>1000</v>
      </c>
      <c r="F1696" s="70">
        <v>44553</v>
      </c>
      <c r="G1696" t="str">
        <f>IFERROR(IF((F1696-F1695)&gt;1,(LARGE(F1696:$F1696,1)-LARGE(F$1684:$F1696,2))-1,""),"")</f>
        <v/>
      </c>
    </row>
    <row r="1697" spans="1:7">
      <c r="A1697" s="88"/>
      <c r="B1697">
        <v>1000</v>
      </c>
      <c r="C1697">
        <v>1000</v>
      </c>
      <c r="D1697">
        <v>2</v>
      </c>
      <c r="E1697">
        <v>1000</v>
      </c>
      <c r="F1697" s="70">
        <v>44554</v>
      </c>
      <c r="G1697" t="str">
        <f>IFERROR(IF((F1697-F1696)&gt;1,(LARGE(F1697:$F1697,1)-LARGE(F$1684:$F1697,2))-1,""),"")</f>
        <v/>
      </c>
    </row>
    <row r="1698" spans="1:7">
      <c r="A1698" s="65">
        <f>VLOOKUP(TradeSheet!A115,TypeIDs!B:C,2,FALSE)</f>
        <v>21937</v>
      </c>
      <c r="B1698" t="s">
        <v>43998</v>
      </c>
      <c r="C1698" t="s">
        <v>43999</v>
      </c>
      <c r="D1698" t="s">
        <v>44000</v>
      </c>
      <c r="E1698" t="s">
        <v>44001</v>
      </c>
      <c r="F1698" t="s">
        <v>44009</v>
      </c>
      <c r="G1698" t="s">
        <v>44008</v>
      </c>
    </row>
    <row r="1699" spans="1:7">
      <c r="A1699" s="65" t="str">
        <f>CONCATENATE(SwaggerURL,input114)</f>
        <v>https://esi.evetech.net/latest/markets/10000021/history/?datasource=tranquility&amp;type_id=21937</v>
      </c>
      <c r="B1699">
        <v>830.1</v>
      </c>
      <c r="C1699">
        <v>830.1</v>
      </c>
      <c r="D1699">
        <v>3</v>
      </c>
      <c r="E1699">
        <v>1495</v>
      </c>
      <c r="F1699" s="70">
        <v>44539</v>
      </c>
      <c r="G1699" t="str">
        <f>IFERROR(IF((F1699-F1698)&gt;1,(LARGE(F1699:$F1699,1)-LARGE(F$1699:$F1699,2))-1,""),"")</f>
        <v/>
      </c>
    </row>
    <row r="1700" spans="1:7">
      <c r="A1700" s="79" t="s">
        <v>44018</v>
      </c>
      <c r="B1700">
        <v>830.1</v>
      </c>
      <c r="C1700">
        <v>830.1</v>
      </c>
      <c r="D1700">
        <v>5</v>
      </c>
      <c r="E1700">
        <v>3000</v>
      </c>
      <c r="F1700" s="70">
        <v>44541</v>
      </c>
      <c r="G1700">
        <f>IFERROR(IF((F1700-F1699)&gt;1,(LARGE(F1700:$F1700,1)-LARGE(F$1699:$F1700,2))-1,""),"")</f>
        <v>1</v>
      </c>
    </row>
    <row r="1701" spans="1:7">
      <c r="A1701" s="78">
        <f>MAX(0,(CurrentDate-2)-F1712)</f>
        <v>1</v>
      </c>
      <c r="B1701">
        <v>830.1</v>
      </c>
      <c r="C1701">
        <v>830.1</v>
      </c>
      <c r="D1701">
        <v>1</v>
      </c>
      <c r="E1701">
        <v>500</v>
      </c>
      <c r="F1701" s="70">
        <v>44542</v>
      </c>
      <c r="G1701" t="str">
        <f>IFERROR(IF((F1701-F1700)&gt;1,(LARGE(F1701:$F1701,1)-LARGE(F$1699:$F1701,2))-1,""),"")</f>
        <v/>
      </c>
    </row>
    <row r="1702" spans="1:7">
      <c r="A1702" s="79" t="s">
        <v>44026</v>
      </c>
      <c r="B1702">
        <v>830.1</v>
      </c>
      <c r="C1702">
        <v>830.1</v>
      </c>
      <c r="D1702">
        <v>1</v>
      </c>
      <c r="E1702">
        <v>1000</v>
      </c>
      <c r="F1702" s="70">
        <v>44543</v>
      </c>
      <c r="G1702" t="str">
        <f>IFERROR(IF((F1702-F1701)&gt;1,(LARGE(F1702:$F1702,1)-LARGE(F$1699:$F1702,2))-1,""),"")</f>
        <v/>
      </c>
    </row>
    <row r="1703" spans="1:7">
      <c r="A1703" s="83">
        <f>SUM(G1706:G1712)</f>
        <v>1</v>
      </c>
      <c r="B1703">
        <v>830.1</v>
      </c>
      <c r="C1703">
        <v>830.1</v>
      </c>
      <c r="D1703">
        <v>1</v>
      </c>
      <c r="E1703">
        <v>2000</v>
      </c>
      <c r="F1703" s="70">
        <v>44544</v>
      </c>
      <c r="G1703" t="str">
        <f>IFERROR(IF((F1703-F1702)&gt;1,(LARGE(F1703:$F1703,1)-LARGE(F$1699:$F1703,2))-1,""),"")</f>
        <v/>
      </c>
    </row>
    <row r="1704" spans="1:7">
      <c r="A1704" s="79" t="s">
        <v>44029</v>
      </c>
      <c r="B1704">
        <v>830.1</v>
      </c>
      <c r="C1704">
        <v>830.1</v>
      </c>
      <c r="D1704">
        <v>1</v>
      </c>
      <c r="E1704">
        <v>500</v>
      </c>
      <c r="F1704" s="70">
        <v>44545</v>
      </c>
      <c r="G1704" t="str">
        <f>IFERROR(IF((F1704-F1703)&gt;1,(LARGE(F1704:$F1704,1)-LARGE(F$1699:$F1704,2))-1,""),"")</f>
        <v/>
      </c>
    </row>
    <row r="1705" spans="1:7">
      <c r="A1705" s="77">
        <f>(SUM(E1699:E1712)/(A1701+14)+SUM(G1699:G1712))</f>
        <v>6234.9333333333334</v>
      </c>
      <c r="B1705">
        <v>830.1</v>
      </c>
      <c r="C1705">
        <v>830.1</v>
      </c>
      <c r="D1705">
        <v>6</v>
      </c>
      <c r="E1705">
        <v>8700</v>
      </c>
      <c r="F1705" s="70">
        <v>44546</v>
      </c>
      <c r="G1705" t="str">
        <f>IFERROR(IF((F1705-F1704)&gt;1,(LARGE(F1705:$F1705,1)-LARGE(F$1699:$F1705,2))-1,""),"")</f>
        <v/>
      </c>
    </row>
    <row r="1706" spans="1:7">
      <c r="A1706" s="77">
        <f>(SUM(E1706:E1712)/(A1701+7)+SUM(G1706:G1712))</f>
        <v>9538.375</v>
      </c>
      <c r="B1706">
        <v>830.1</v>
      </c>
      <c r="C1706">
        <v>830.1</v>
      </c>
      <c r="D1706">
        <v>7</v>
      </c>
      <c r="E1706">
        <v>5500</v>
      </c>
      <c r="F1706" s="70">
        <v>44547</v>
      </c>
      <c r="G1706" t="str">
        <f>IFERROR(IF((F1706-F1705)&gt;1,(LARGE(F1706:$F1706,1)-LARGE(F$1699:$F1706,2))-1,""),"")</f>
        <v/>
      </c>
    </row>
    <row r="1707" spans="1:7">
      <c r="A1707" s="79" t="s">
        <v>44028</v>
      </c>
      <c r="B1707">
        <v>830.1</v>
      </c>
      <c r="C1707">
        <v>830.1</v>
      </c>
      <c r="D1707">
        <v>14</v>
      </c>
      <c r="E1707">
        <v>11425</v>
      </c>
      <c r="F1707" s="70">
        <v>44548</v>
      </c>
      <c r="G1707" t="str">
        <f>IFERROR(IF((F1707-F1706)&gt;1,(LARGE(F1707:$F1707,1)-LARGE(F$1699:$F1707,2))-1,""),"")</f>
        <v/>
      </c>
    </row>
    <row r="1708" spans="1:7">
      <c r="A1708" s="77">
        <f>(SUM(D1709:D1712)/(A1701+4)+SUM(G1709:G1712))</f>
        <v>5.6</v>
      </c>
      <c r="B1708">
        <v>829</v>
      </c>
      <c r="C1708">
        <v>829</v>
      </c>
      <c r="D1708">
        <v>2</v>
      </c>
      <c r="E1708">
        <v>2500</v>
      </c>
      <c r="F1708" s="70">
        <v>44549</v>
      </c>
      <c r="G1708" t="str">
        <f>IFERROR(IF((F1708-F1707)&gt;1,(LARGE(F1708:$F1708,1)-LARGE(F$1699:$F1708,2))-1,""),"")</f>
        <v/>
      </c>
    </row>
    <row r="1709" spans="1:7">
      <c r="A1709" s="85" t="s">
        <v>44027</v>
      </c>
      <c r="B1709">
        <v>831</v>
      </c>
      <c r="C1709">
        <v>831</v>
      </c>
      <c r="D1709">
        <v>10</v>
      </c>
      <c r="E1709">
        <v>32045</v>
      </c>
      <c r="F1709" s="70">
        <v>44550</v>
      </c>
      <c r="G1709" t="str">
        <f>IFERROR(IF((F1709-F1708)&gt;1,(LARGE(F1709:$F1709,1)-LARGE(F$1699:$F1709,2))-1,""),"")</f>
        <v/>
      </c>
    </row>
    <row r="1710" spans="1:7">
      <c r="A1710" s="86">
        <f>IF(A1703+A1701&gt;10,"Look Up",AVERAGE(A1705,A1706))</f>
        <v>7886.6541666666672</v>
      </c>
      <c r="B1710">
        <v>831</v>
      </c>
      <c r="C1710">
        <v>831</v>
      </c>
      <c r="D1710">
        <v>7</v>
      </c>
      <c r="E1710">
        <v>15693</v>
      </c>
      <c r="F1710" s="70">
        <v>44551</v>
      </c>
      <c r="G1710" t="str">
        <f>IFERROR(IF((F1710-F1709)&gt;1,(LARGE(F1710:$F1710,1)-LARGE(F$1699:$F1710,2))-1,""),"")</f>
        <v/>
      </c>
    </row>
    <row r="1711" spans="1:7">
      <c r="A1711" s="85" t="s">
        <v>44030</v>
      </c>
      <c r="B1711">
        <v>831</v>
      </c>
      <c r="C1711">
        <v>831</v>
      </c>
      <c r="D1711">
        <v>3</v>
      </c>
      <c r="E1711">
        <v>5136</v>
      </c>
      <c r="F1711" s="70">
        <v>44553</v>
      </c>
      <c r="G1711">
        <f>IFERROR(IF((F1711-F1710)&gt;1,(LARGE(F1711:$F1711,1)-LARGE(F$1699:$F1711,2))-1,""),"")</f>
        <v>1</v>
      </c>
    </row>
    <row r="1712" spans="1:7">
      <c r="A1712" s="88"/>
      <c r="B1712">
        <v>831</v>
      </c>
      <c r="C1712">
        <v>831</v>
      </c>
      <c r="D1712">
        <v>3</v>
      </c>
      <c r="E1712">
        <v>4000</v>
      </c>
      <c r="F1712" s="70">
        <v>44554</v>
      </c>
      <c r="G1712" t="str">
        <f>IFERROR(IF((F1712-F1711)&gt;1,(LARGE(F1712:$F1712,1)-LARGE(F$1699:$F1712,2))-1,""),"")</f>
        <v/>
      </c>
    </row>
    <row r="1713" spans="1:7">
      <c r="A1713" s="65">
        <f>VLOOKUP(TradeSheet!A116,TypeIDs!B:C,2,FALSE)</f>
        <v>28336</v>
      </c>
      <c r="B1713" t="s">
        <v>43998</v>
      </c>
      <c r="C1713" t="s">
        <v>43999</v>
      </c>
      <c r="D1713" t="s">
        <v>44000</v>
      </c>
      <c r="E1713" t="s">
        <v>44001</v>
      </c>
      <c r="F1713" t="s">
        <v>44009</v>
      </c>
      <c r="G1713" t="s">
        <v>44008</v>
      </c>
    </row>
    <row r="1714" spans="1:7">
      <c r="A1714" s="65" t="str">
        <f>CONCATENATE(SwaggerURL,input115)</f>
        <v>https://esi.evetech.net/latest/markets/10000021/history/?datasource=tranquility&amp;type_id=28336</v>
      </c>
      <c r="B1714">
        <v>588</v>
      </c>
      <c r="C1714">
        <v>588</v>
      </c>
      <c r="D1714">
        <v>1</v>
      </c>
      <c r="E1714">
        <v>1000</v>
      </c>
      <c r="F1714" s="70">
        <v>44537</v>
      </c>
      <c r="G1714" t="str">
        <f>IFERROR(IF((F1714-F1713)&gt;1,(LARGE(F1714:$F1714,1)-LARGE(F$1714:$F1714,2))-1,""),"")</f>
        <v/>
      </c>
    </row>
    <row r="1715" spans="1:7">
      <c r="A1715" s="79" t="s">
        <v>44018</v>
      </c>
      <c r="B1715">
        <v>588</v>
      </c>
      <c r="C1715">
        <v>588</v>
      </c>
      <c r="D1715">
        <v>2</v>
      </c>
      <c r="E1715">
        <v>1200</v>
      </c>
      <c r="F1715" s="70">
        <v>44539</v>
      </c>
      <c r="G1715">
        <f>IFERROR(IF((F1715-F1714)&gt;1,(LARGE(F1715:$F1715,1)-LARGE(F$1714:$F1715,2))-1,""),"")</f>
        <v>1</v>
      </c>
    </row>
    <row r="1716" spans="1:7">
      <c r="A1716" s="78">
        <f>MAX(0,(CurrentDate-2)-F1727)</f>
        <v>1</v>
      </c>
      <c r="B1716">
        <v>588</v>
      </c>
      <c r="C1716">
        <v>588</v>
      </c>
      <c r="D1716">
        <v>4</v>
      </c>
      <c r="E1716">
        <v>8960</v>
      </c>
      <c r="F1716" s="70">
        <v>44541</v>
      </c>
      <c r="G1716">
        <f>IFERROR(IF((F1716-F1715)&gt;1,(LARGE(F1716:$F1716,1)-LARGE(F$1714:$F1716,2))-1,""),"")</f>
        <v>1</v>
      </c>
    </row>
    <row r="1717" spans="1:7">
      <c r="A1717" s="79" t="s">
        <v>44026</v>
      </c>
      <c r="B1717">
        <v>588</v>
      </c>
      <c r="C1717">
        <v>588</v>
      </c>
      <c r="D1717">
        <v>2</v>
      </c>
      <c r="E1717">
        <v>2500</v>
      </c>
      <c r="F1717" s="70">
        <v>44544</v>
      </c>
      <c r="G1717">
        <f>IFERROR(IF((F1717-F1716)&gt;1,(LARGE(F1717:$F1717,1)-LARGE(F$1714:$F1717,2))-1,""),"")</f>
        <v>2</v>
      </c>
    </row>
    <row r="1718" spans="1:7">
      <c r="A1718" s="83">
        <f>SUM(G1721:G1727)</f>
        <v>0</v>
      </c>
      <c r="B1718">
        <v>588</v>
      </c>
      <c r="C1718">
        <v>588</v>
      </c>
      <c r="D1718">
        <v>1</v>
      </c>
      <c r="E1718">
        <v>3760</v>
      </c>
      <c r="F1718" s="70">
        <v>44545</v>
      </c>
      <c r="G1718" t="str">
        <f>IFERROR(IF((F1718-F1717)&gt;1,(LARGE(F1718:$F1718,1)-LARGE(F$1714:$F1718,2))-1,""),"")</f>
        <v/>
      </c>
    </row>
    <row r="1719" spans="1:7">
      <c r="A1719" s="79" t="s">
        <v>44029</v>
      </c>
      <c r="B1719">
        <v>588</v>
      </c>
      <c r="C1719">
        <v>588</v>
      </c>
      <c r="D1719">
        <v>2</v>
      </c>
      <c r="E1719">
        <v>2200</v>
      </c>
      <c r="F1719" s="70">
        <v>44546</v>
      </c>
      <c r="G1719" t="str">
        <f>IFERROR(IF((F1719-F1718)&gt;1,(LARGE(F1719:$F1719,1)-LARGE(F$1714:$F1719,2))-1,""),"")</f>
        <v/>
      </c>
    </row>
    <row r="1720" spans="1:7">
      <c r="A1720" s="77">
        <f>(SUM(E1714:E1727)/(A1716+14)+SUM(G1714:G1727))</f>
        <v>4717.3999999999996</v>
      </c>
      <c r="B1720">
        <v>588</v>
      </c>
      <c r="C1720">
        <v>588</v>
      </c>
      <c r="D1720">
        <v>2</v>
      </c>
      <c r="E1720">
        <v>2200</v>
      </c>
      <c r="F1720" s="70">
        <v>44547</v>
      </c>
      <c r="G1720" t="str">
        <f>IFERROR(IF((F1720-F1719)&gt;1,(LARGE(F1720:$F1720,1)-LARGE(F$1714:$F1720,2))-1,""),"")</f>
        <v/>
      </c>
    </row>
    <row r="1721" spans="1:7">
      <c r="A1721" s="77">
        <f>(SUM(E1721:E1727)/(A1716+7)+SUM(G1721:G1727))</f>
        <v>6110.125</v>
      </c>
      <c r="B1721">
        <v>588</v>
      </c>
      <c r="C1721">
        <v>588</v>
      </c>
      <c r="D1721">
        <v>16</v>
      </c>
      <c r="E1721">
        <v>25880</v>
      </c>
      <c r="F1721" s="70">
        <v>44548</v>
      </c>
      <c r="G1721" t="str">
        <f>IFERROR(IF((F1721-F1720)&gt;1,(LARGE(F1721:$F1721,1)-LARGE(F$1714:$F1721,2))-1,""),"")</f>
        <v/>
      </c>
    </row>
    <row r="1722" spans="1:7">
      <c r="A1722" s="79" t="s">
        <v>44028</v>
      </c>
      <c r="B1722">
        <v>588</v>
      </c>
      <c r="C1722">
        <v>588</v>
      </c>
      <c r="D1722">
        <v>6</v>
      </c>
      <c r="E1722">
        <v>8401</v>
      </c>
      <c r="F1722" s="70">
        <v>44549</v>
      </c>
      <c r="G1722" t="str">
        <f>IFERROR(IF((F1722-F1721)&gt;1,(LARGE(F1722:$F1722,1)-LARGE(F$1714:$F1722,2))-1,""),"")</f>
        <v/>
      </c>
    </row>
    <row r="1723" spans="1:7">
      <c r="A1723" s="77">
        <f>(SUM(D1724:D1727)/(A1716+4)+SUM(G1724:G1727))</f>
        <v>1.6</v>
      </c>
      <c r="B1723">
        <v>588</v>
      </c>
      <c r="C1723">
        <v>588</v>
      </c>
      <c r="D1723">
        <v>4</v>
      </c>
      <c r="E1723">
        <v>4000</v>
      </c>
      <c r="F1723" s="70">
        <v>44550</v>
      </c>
      <c r="G1723" t="str">
        <f>IFERROR(IF((F1723-F1722)&gt;1,(LARGE(F1723:$F1723,1)-LARGE(F$1714:$F1723,2))-1,""),"")</f>
        <v/>
      </c>
    </row>
    <row r="1724" spans="1:7">
      <c r="A1724" s="85" t="s">
        <v>44027</v>
      </c>
      <c r="B1724">
        <v>588</v>
      </c>
      <c r="C1724">
        <v>588</v>
      </c>
      <c r="D1724">
        <v>2</v>
      </c>
      <c r="E1724">
        <v>2800</v>
      </c>
      <c r="F1724" s="70">
        <v>44551</v>
      </c>
      <c r="G1724" t="str">
        <f>IFERROR(IF((F1724-F1723)&gt;1,(LARGE(F1724:$F1724,1)-LARGE(F$1714:$F1724,2))-1,""),"")</f>
        <v/>
      </c>
    </row>
    <row r="1725" spans="1:7">
      <c r="A1725" s="86">
        <f>IF(A1718+A1716&gt;10,"Look Up",AVERAGE(A1720,A1721))</f>
        <v>5413.7624999999998</v>
      </c>
      <c r="B1725">
        <v>588</v>
      </c>
      <c r="C1725">
        <v>588</v>
      </c>
      <c r="D1725">
        <v>4</v>
      </c>
      <c r="E1725">
        <v>1600</v>
      </c>
      <c r="F1725" s="70">
        <v>44552</v>
      </c>
      <c r="G1725" t="str">
        <f>IFERROR(IF((F1725-F1724)&gt;1,(LARGE(F1725:$F1725,1)-LARGE(F$1714:$F1725,2))-1,""),"")</f>
        <v/>
      </c>
    </row>
    <row r="1726" spans="1:7">
      <c r="A1726" s="85" t="s">
        <v>44030</v>
      </c>
      <c r="B1726">
        <v>588</v>
      </c>
      <c r="C1726">
        <v>588</v>
      </c>
      <c r="D1726">
        <v>1</v>
      </c>
      <c r="E1726">
        <v>1200</v>
      </c>
      <c r="F1726" s="70">
        <v>44553</v>
      </c>
      <c r="G1726" t="str">
        <f>IFERROR(IF((F1726-F1725)&gt;1,(LARGE(F1726:$F1726,1)-LARGE(F$1714:$F1726,2))-1,""),"")</f>
        <v/>
      </c>
    </row>
    <row r="1727" spans="1:7">
      <c r="A1727" s="88"/>
      <c r="B1727">
        <v>588</v>
      </c>
      <c r="C1727">
        <v>588</v>
      </c>
      <c r="D1727">
        <v>1</v>
      </c>
      <c r="E1727">
        <v>5000</v>
      </c>
      <c r="F1727" s="70">
        <v>44554</v>
      </c>
      <c r="G1727" t="str">
        <f>IFERROR(IF((F1727-F1726)&gt;1,(LARGE(F1727:$F1727,1)-LARGE(F$1714:$F1727,2))-1,""),"")</f>
        <v/>
      </c>
    </row>
    <row r="1728" spans="1:7">
      <c r="A1728" s="65">
        <f>VLOOKUP(TradeSheet!A117,TypeIDs!B:C,2,FALSE)</f>
        <v>21898</v>
      </c>
      <c r="B1728" t="s">
        <v>43998</v>
      </c>
      <c r="C1728" t="s">
        <v>43999</v>
      </c>
      <c r="D1728" t="s">
        <v>44000</v>
      </c>
      <c r="E1728" t="s">
        <v>44001</v>
      </c>
      <c r="F1728" t="s">
        <v>44009</v>
      </c>
      <c r="G1728" t="s">
        <v>44008</v>
      </c>
    </row>
    <row r="1729" spans="1:7">
      <c r="A1729" s="65" t="str">
        <f>CONCATENATE(SwaggerURL,input116)</f>
        <v>https://esi.evetech.net/latest/markets/10000021/history/?datasource=tranquility&amp;type_id=21898</v>
      </c>
      <c r="B1729">
        <v>667</v>
      </c>
      <c r="C1729">
        <v>667</v>
      </c>
      <c r="D1729">
        <v>5</v>
      </c>
      <c r="E1729">
        <v>11300</v>
      </c>
      <c r="F1729" s="70">
        <v>44541</v>
      </c>
      <c r="G1729" t="str">
        <f>IFERROR(IF((F1729-F1728)&gt;1,(LARGE(F1729:$F1729,1)-LARGE(F$1729:$F1729,2))-1,""),"")</f>
        <v/>
      </c>
    </row>
    <row r="1730" spans="1:7">
      <c r="A1730" s="79" t="s">
        <v>44018</v>
      </c>
      <c r="B1730">
        <v>667</v>
      </c>
      <c r="C1730">
        <v>667</v>
      </c>
      <c r="D1730">
        <v>1</v>
      </c>
      <c r="E1730">
        <v>800</v>
      </c>
      <c r="F1730" s="70">
        <v>44542</v>
      </c>
      <c r="G1730" t="str">
        <f>IFERROR(IF((F1730-F1729)&gt;1,(LARGE(F1730:$F1730,1)-LARGE(F$1729:$F1730,2))-1,""),"")</f>
        <v/>
      </c>
    </row>
    <row r="1731" spans="1:7">
      <c r="A1731" s="78">
        <f>MAX(0,(CurrentDate-2)-F1742)</f>
        <v>1</v>
      </c>
      <c r="B1731">
        <v>667</v>
      </c>
      <c r="C1731">
        <v>667</v>
      </c>
      <c r="D1731">
        <v>2</v>
      </c>
      <c r="E1731">
        <v>3000</v>
      </c>
      <c r="F1731" s="70">
        <v>44543</v>
      </c>
      <c r="G1731" t="str">
        <f>IFERROR(IF((F1731-F1730)&gt;1,(LARGE(F1731:$F1731,1)-LARGE(F$1729:$F1731,2))-1,""),"")</f>
        <v/>
      </c>
    </row>
    <row r="1732" spans="1:7">
      <c r="A1732" s="79" t="s">
        <v>44026</v>
      </c>
      <c r="B1732">
        <v>667</v>
      </c>
      <c r="C1732">
        <v>667</v>
      </c>
      <c r="D1732">
        <v>4</v>
      </c>
      <c r="E1732">
        <v>30215</v>
      </c>
      <c r="F1732" s="70">
        <v>44544</v>
      </c>
      <c r="G1732" t="str">
        <f>IFERROR(IF((F1732-F1731)&gt;1,(LARGE(F1732:$F1732,1)-LARGE(F$1729:$F1732,2))-1,""),"")</f>
        <v/>
      </c>
    </row>
    <row r="1733" spans="1:7">
      <c r="A1733" s="83">
        <f>SUM(G1736:G1742)</f>
        <v>0</v>
      </c>
      <c r="B1733">
        <v>667</v>
      </c>
      <c r="C1733">
        <v>667</v>
      </c>
      <c r="D1733">
        <v>5</v>
      </c>
      <c r="E1733">
        <v>7200</v>
      </c>
      <c r="F1733" s="70">
        <v>44545</v>
      </c>
      <c r="G1733" t="str">
        <f>IFERROR(IF((F1733-F1732)&gt;1,(LARGE(F1733:$F1733,1)-LARGE(F$1729:$F1733,2))-1,""),"")</f>
        <v/>
      </c>
    </row>
    <row r="1734" spans="1:7">
      <c r="A1734" s="79" t="s">
        <v>44029</v>
      </c>
      <c r="B1734">
        <v>667</v>
      </c>
      <c r="C1734">
        <v>667</v>
      </c>
      <c r="D1734">
        <v>3</v>
      </c>
      <c r="E1734">
        <v>9949</v>
      </c>
      <c r="F1734" s="70">
        <v>44546</v>
      </c>
      <c r="G1734" t="str">
        <f>IFERROR(IF((F1734-F1733)&gt;1,(LARGE(F1734:$F1734,1)-LARGE(F$1729:$F1734,2))-1,""),"")</f>
        <v/>
      </c>
    </row>
    <row r="1735" spans="1:7">
      <c r="A1735" s="77">
        <f>(SUM(E1729:E1742)/(A1731+14)+SUM(G1729:G1742))</f>
        <v>9128.3333333333339</v>
      </c>
      <c r="B1735">
        <v>667</v>
      </c>
      <c r="C1735">
        <v>667</v>
      </c>
      <c r="D1735">
        <v>3</v>
      </c>
      <c r="E1735">
        <v>4456</v>
      </c>
      <c r="F1735" s="70">
        <v>44547</v>
      </c>
      <c r="G1735" t="str">
        <f>IFERROR(IF((F1735-F1734)&gt;1,(LARGE(F1735:$F1735,1)-LARGE(F$1729:$F1735,2))-1,""),"")</f>
        <v/>
      </c>
    </row>
    <row r="1736" spans="1:7">
      <c r="A1736" s="77">
        <f>(SUM(E1736:E1742)/(A1731+7)+SUM(G1736:G1742))</f>
        <v>8750.625</v>
      </c>
      <c r="B1736">
        <v>667</v>
      </c>
      <c r="C1736">
        <v>667</v>
      </c>
      <c r="D1736">
        <v>12</v>
      </c>
      <c r="E1736">
        <v>14986</v>
      </c>
      <c r="F1736" s="70">
        <v>44548</v>
      </c>
      <c r="G1736" t="str">
        <f>IFERROR(IF((F1736-F1735)&gt;1,(LARGE(F1736:$F1736,1)-LARGE(F$1729:$F1736,2))-1,""),"")</f>
        <v/>
      </c>
    </row>
    <row r="1737" spans="1:7">
      <c r="A1737" s="79" t="s">
        <v>44028</v>
      </c>
      <c r="B1737">
        <v>667</v>
      </c>
      <c r="C1737">
        <v>667</v>
      </c>
      <c r="D1737">
        <v>6</v>
      </c>
      <c r="E1737">
        <v>14000</v>
      </c>
      <c r="F1737" s="70">
        <v>44549</v>
      </c>
      <c r="G1737" t="str">
        <f>IFERROR(IF((F1737-F1736)&gt;1,(LARGE(F1737:$F1737,1)-LARGE(F$1729:$F1737,2))-1,""),"")</f>
        <v/>
      </c>
    </row>
    <row r="1738" spans="1:7">
      <c r="A1738" s="77">
        <f>(SUM(D1739:D1742)/(A1731+4)+SUM(G1739:G1742))</f>
        <v>4</v>
      </c>
      <c r="B1738">
        <v>667</v>
      </c>
      <c r="C1738">
        <v>667</v>
      </c>
      <c r="D1738">
        <v>4</v>
      </c>
      <c r="E1738">
        <v>6220</v>
      </c>
      <c r="F1738" s="70">
        <v>44550</v>
      </c>
      <c r="G1738" t="str">
        <f>IFERROR(IF((F1738-F1737)&gt;1,(LARGE(F1738:$F1738,1)-LARGE(F$1729:$F1738,2))-1,""),"")</f>
        <v/>
      </c>
    </row>
    <row r="1739" spans="1:7">
      <c r="A1739" s="85" t="s">
        <v>44027</v>
      </c>
      <c r="B1739">
        <v>667</v>
      </c>
      <c r="C1739">
        <v>667</v>
      </c>
      <c r="D1739">
        <v>1</v>
      </c>
      <c r="E1739">
        <v>8000</v>
      </c>
      <c r="F1739" s="70">
        <v>44551</v>
      </c>
      <c r="G1739" t="str">
        <f>IFERROR(IF((F1739-F1738)&gt;1,(LARGE(F1739:$F1739,1)-LARGE(F$1729:$F1739,2))-1,""),"")</f>
        <v/>
      </c>
    </row>
    <row r="1740" spans="1:7">
      <c r="A1740" s="86">
        <f>IF(A1733+A1731&gt;10,"Look Up",AVERAGE(A1735,A1736))</f>
        <v>8939.4791666666679</v>
      </c>
      <c r="B1740">
        <v>667</v>
      </c>
      <c r="C1740">
        <v>667</v>
      </c>
      <c r="D1740">
        <v>8</v>
      </c>
      <c r="E1740">
        <v>5900</v>
      </c>
      <c r="F1740" s="70">
        <v>44552</v>
      </c>
      <c r="G1740" t="str">
        <f>IFERROR(IF((F1740-F1739)&gt;1,(LARGE(F1740:$F1740,1)-LARGE(F$1729:$F1740,2))-1,""),"")</f>
        <v/>
      </c>
    </row>
    <row r="1741" spans="1:7">
      <c r="A1741" s="85" t="s">
        <v>44030</v>
      </c>
      <c r="B1741">
        <v>667</v>
      </c>
      <c r="C1741">
        <v>667</v>
      </c>
      <c r="D1741">
        <v>5</v>
      </c>
      <c r="E1741">
        <v>13560</v>
      </c>
      <c r="F1741" s="70">
        <v>44553</v>
      </c>
      <c r="G1741" t="str">
        <f>IFERROR(IF((F1741-F1740)&gt;1,(LARGE(F1741:$F1741,1)-LARGE(F$1729:$F1741,2))-1,""),"")</f>
        <v/>
      </c>
    </row>
    <row r="1742" spans="1:7">
      <c r="A1742" s="88"/>
      <c r="B1742">
        <v>667</v>
      </c>
      <c r="C1742">
        <v>667</v>
      </c>
      <c r="D1742">
        <v>6</v>
      </c>
      <c r="E1742">
        <v>7339</v>
      </c>
      <c r="F1742" s="70">
        <v>44554</v>
      </c>
      <c r="G1742" t="str">
        <f>IFERROR(IF((F1742-F1741)&gt;1,(LARGE(F1742:$F1742,1)-LARGE(F$1729:$F1742,2))-1,""),"")</f>
        <v/>
      </c>
    </row>
    <row r="1743" spans="1:7">
      <c r="A1743" s="65">
        <f>VLOOKUP(TradeSheet!A118,TypeIDs!B:C,2,FALSE)</f>
        <v>21906</v>
      </c>
      <c r="B1743" t="s">
        <v>43998</v>
      </c>
      <c r="C1743" t="s">
        <v>43999</v>
      </c>
      <c r="D1743" t="s">
        <v>44000</v>
      </c>
      <c r="E1743" t="s">
        <v>44001</v>
      </c>
      <c r="F1743" t="s">
        <v>44009</v>
      </c>
      <c r="G1743" t="s">
        <v>44008</v>
      </c>
    </row>
    <row r="1744" spans="1:7">
      <c r="A1744" s="65" t="str">
        <f>CONCATENATE(SwaggerURL,input117)</f>
        <v>https://esi.evetech.net/latest/markets/10000021/history/?datasource=tranquility&amp;type_id=21906</v>
      </c>
      <c r="B1744">
        <v>600.1</v>
      </c>
      <c r="C1744">
        <v>600.1</v>
      </c>
      <c r="D1744">
        <v>2</v>
      </c>
      <c r="E1744">
        <v>11200</v>
      </c>
      <c r="F1744" s="70">
        <v>44533</v>
      </c>
      <c r="G1744" t="str">
        <f>IFERROR(IF((F1744-F1743)&gt;1,(LARGE(F1744:$F1744,1)-LARGE(F$1744:$F1744,2))-1,""),"")</f>
        <v/>
      </c>
    </row>
    <row r="1745" spans="1:7">
      <c r="A1745" s="79" t="s">
        <v>44018</v>
      </c>
      <c r="B1745">
        <v>599.4</v>
      </c>
      <c r="C1745">
        <v>599.4</v>
      </c>
      <c r="D1745">
        <v>2</v>
      </c>
      <c r="E1745">
        <v>1470</v>
      </c>
      <c r="F1745" s="70">
        <v>44534</v>
      </c>
      <c r="G1745" t="str">
        <f>IFERROR(IF((F1745-F1744)&gt;1,(LARGE(F1745:$F1745,1)-LARGE(F$1744:$F1745,2))-1,""),"")</f>
        <v/>
      </c>
    </row>
    <row r="1746" spans="1:7">
      <c r="A1746" s="78">
        <f>MAX(0,(CurrentDate-2)-F1757)</f>
        <v>2</v>
      </c>
      <c r="B1746">
        <v>600.1</v>
      </c>
      <c r="C1746">
        <v>600.1</v>
      </c>
      <c r="D1746">
        <v>4</v>
      </c>
      <c r="E1746">
        <v>44724</v>
      </c>
      <c r="F1746" s="70">
        <v>44535</v>
      </c>
      <c r="G1746" t="str">
        <f>IFERROR(IF((F1746-F1745)&gt;1,(LARGE(F1746:$F1746,1)-LARGE(F$1744:$F1746,2))-1,""),"")</f>
        <v/>
      </c>
    </row>
    <row r="1747" spans="1:7">
      <c r="A1747" s="79" t="s">
        <v>44026</v>
      </c>
      <c r="B1747">
        <v>600</v>
      </c>
      <c r="C1747">
        <v>600</v>
      </c>
      <c r="D1747">
        <v>3</v>
      </c>
      <c r="E1747">
        <v>1680</v>
      </c>
      <c r="F1747" s="70">
        <v>44539</v>
      </c>
      <c r="G1747">
        <f>IFERROR(IF((F1747-F1746)&gt;1,(LARGE(F1747:$F1747,1)-LARGE(F$1744:$F1747,2))-1,""),"")</f>
        <v>3</v>
      </c>
    </row>
    <row r="1748" spans="1:7">
      <c r="A1748" s="83">
        <f>SUM(G1751:G1757)</f>
        <v>0</v>
      </c>
      <c r="B1748">
        <v>600</v>
      </c>
      <c r="C1748">
        <v>600</v>
      </c>
      <c r="D1748">
        <v>4</v>
      </c>
      <c r="E1748">
        <v>2800</v>
      </c>
      <c r="F1748" s="70">
        <v>44543</v>
      </c>
      <c r="G1748">
        <f>IFERROR(IF((F1748-F1747)&gt;1,(LARGE(F1748:$F1748,1)-LARGE(F$1744:$F1748,2))-1,""),"")</f>
        <v>3</v>
      </c>
    </row>
    <row r="1749" spans="1:7">
      <c r="A1749" s="79" t="s">
        <v>44029</v>
      </c>
      <c r="B1749">
        <v>600</v>
      </c>
      <c r="C1749">
        <v>600</v>
      </c>
      <c r="D1749">
        <v>1</v>
      </c>
      <c r="E1749">
        <v>1200</v>
      </c>
      <c r="F1749" s="70">
        <v>44545</v>
      </c>
      <c r="G1749">
        <f>IFERROR(IF((F1749-F1748)&gt;1,(LARGE(F1749:$F1749,1)-LARGE(F$1744:$F1749,2))-1,""),"")</f>
        <v>1</v>
      </c>
    </row>
    <row r="1750" spans="1:7">
      <c r="A1750" s="77">
        <f>(SUM(E1744:E1757)/(A1746+14)+SUM(G1744:G1757))</f>
        <v>6284.75</v>
      </c>
      <c r="B1750">
        <v>600</v>
      </c>
      <c r="C1750">
        <v>600</v>
      </c>
      <c r="D1750">
        <v>2</v>
      </c>
      <c r="E1750">
        <v>3000</v>
      </c>
      <c r="F1750" s="70">
        <v>44546</v>
      </c>
      <c r="G1750" t="str">
        <f>IFERROR(IF((F1750-F1749)&gt;1,(LARGE(F1750:$F1750,1)-LARGE(F$1744:$F1750,2))-1,""),"")</f>
        <v/>
      </c>
    </row>
    <row r="1751" spans="1:7">
      <c r="A1751" s="77">
        <f>(SUM(E1751:E1757)/(A1746+7)+SUM(G1751:G1757))</f>
        <v>3818.8888888888887</v>
      </c>
      <c r="B1751">
        <v>600</v>
      </c>
      <c r="C1751">
        <v>600</v>
      </c>
      <c r="D1751">
        <v>1</v>
      </c>
      <c r="E1751">
        <v>1500</v>
      </c>
      <c r="F1751" s="70">
        <v>44547</v>
      </c>
      <c r="G1751" t="str">
        <f>IFERROR(IF((F1751-F1750)&gt;1,(LARGE(F1751:$F1751,1)-LARGE(F$1744:$F1751,2))-1,""),"")</f>
        <v/>
      </c>
    </row>
    <row r="1752" spans="1:7">
      <c r="A1752" s="79" t="s">
        <v>44028</v>
      </c>
      <c r="B1752">
        <v>600</v>
      </c>
      <c r="C1752">
        <v>600</v>
      </c>
      <c r="D1752">
        <v>4</v>
      </c>
      <c r="E1752">
        <v>3620</v>
      </c>
      <c r="F1752" s="70">
        <v>44548</v>
      </c>
      <c r="G1752" t="str">
        <f>IFERROR(IF((F1752-F1751)&gt;1,(LARGE(F1752:$F1752,1)-LARGE(F$1744:$F1752,2))-1,""),"")</f>
        <v/>
      </c>
    </row>
    <row r="1753" spans="1:7">
      <c r="A1753" s="77">
        <f>(SUM(D1754:D1757)/(A1746+4)+SUM(G1754:G1757))</f>
        <v>2</v>
      </c>
      <c r="B1753">
        <v>600</v>
      </c>
      <c r="C1753">
        <v>600</v>
      </c>
      <c r="D1753">
        <v>3</v>
      </c>
      <c r="E1753">
        <v>3000</v>
      </c>
      <c r="F1753" s="70">
        <v>44549</v>
      </c>
      <c r="G1753" t="str">
        <f>IFERROR(IF((F1753-F1752)&gt;1,(LARGE(F1753:$F1753,1)-LARGE(F$1744:$F1753,2))-1,""),"")</f>
        <v/>
      </c>
    </row>
    <row r="1754" spans="1:7">
      <c r="A1754" s="85" t="s">
        <v>44027</v>
      </c>
      <c r="B1754">
        <v>600</v>
      </c>
      <c r="C1754">
        <v>600</v>
      </c>
      <c r="D1754">
        <v>1</v>
      </c>
      <c r="E1754">
        <v>600</v>
      </c>
      <c r="F1754" s="70">
        <v>44550</v>
      </c>
      <c r="G1754" t="str">
        <f>IFERROR(IF((F1754-F1753)&gt;1,(LARGE(F1754:$F1754,1)-LARGE(F$1744:$F1754,2))-1,""),"")</f>
        <v/>
      </c>
    </row>
    <row r="1755" spans="1:7">
      <c r="A1755" s="86">
        <f>IF(A1748+A1746&gt;10,"Look Up",AVERAGE(A1750,A1751))</f>
        <v>5051.8194444444443</v>
      </c>
      <c r="B1755">
        <v>600</v>
      </c>
      <c r="C1755">
        <v>600</v>
      </c>
      <c r="D1755">
        <v>1</v>
      </c>
      <c r="E1755">
        <v>600</v>
      </c>
      <c r="F1755" s="70">
        <v>44551</v>
      </c>
      <c r="G1755" t="str">
        <f>IFERROR(IF((F1755-F1754)&gt;1,(LARGE(F1755:$F1755,1)-LARGE(F$1744:$F1755,2))-1,""),"")</f>
        <v/>
      </c>
    </row>
    <row r="1756" spans="1:7">
      <c r="A1756" s="85" t="s">
        <v>44030</v>
      </c>
      <c r="B1756">
        <v>600.1</v>
      </c>
      <c r="C1756">
        <v>600.1</v>
      </c>
      <c r="D1756">
        <v>8</v>
      </c>
      <c r="E1756">
        <v>4250</v>
      </c>
      <c r="F1756" s="70">
        <v>44552</v>
      </c>
      <c r="G1756" t="str">
        <f>IFERROR(IF((F1756-F1755)&gt;1,(LARGE(F1756:$F1756,1)-LARGE(F$1744:$F1756,2))-1,""),"")</f>
        <v/>
      </c>
    </row>
    <row r="1757" spans="1:7">
      <c r="A1757" s="88"/>
      <c r="B1757">
        <v>600.1</v>
      </c>
      <c r="C1757">
        <v>600.1</v>
      </c>
      <c r="D1757">
        <v>2</v>
      </c>
      <c r="E1757">
        <v>20800</v>
      </c>
      <c r="F1757" s="70">
        <v>44553</v>
      </c>
      <c r="G1757" t="str">
        <f>IFERROR(IF((F1757-F1756)&gt;1,(LARGE(F1757:$F1757,1)-LARGE(F$1744:$F1757,2))-1,""),"")</f>
        <v/>
      </c>
    </row>
    <row r="1758" spans="1:7">
      <c r="A1758" s="65">
        <f>VLOOKUP(TradeSheet!A119,TypeIDs!B:C,2,FALSE)</f>
        <v>21924</v>
      </c>
      <c r="B1758" t="s">
        <v>43998</v>
      </c>
      <c r="C1758" t="s">
        <v>43999</v>
      </c>
      <c r="D1758" t="s">
        <v>44000</v>
      </c>
      <c r="E1758" t="s">
        <v>44001</v>
      </c>
      <c r="F1758" t="s">
        <v>44009</v>
      </c>
      <c r="G1758" t="s">
        <v>44008</v>
      </c>
    </row>
    <row r="1759" spans="1:7">
      <c r="A1759" s="65" t="str">
        <f>CONCATENATE(SwaggerURL,input118)</f>
        <v>https://esi.evetech.net/latest/markets/10000021/history/?datasource=tranquility&amp;type_id=21924</v>
      </c>
      <c r="B1759">
        <v>807.1</v>
      </c>
      <c r="C1759">
        <v>807.1</v>
      </c>
      <c r="D1759">
        <v>4</v>
      </c>
      <c r="E1759">
        <v>3447</v>
      </c>
      <c r="F1759" s="70">
        <v>44539</v>
      </c>
      <c r="G1759" t="str">
        <f>IFERROR(IF((F1759-F1758)&gt;1,(LARGE(F1759:$F1759,1)-LARGE(F$1759:$F1759,2))-1,""),"")</f>
        <v/>
      </c>
    </row>
    <row r="1760" spans="1:7">
      <c r="A1760" s="79" t="s">
        <v>44018</v>
      </c>
      <c r="B1760">
        <v>807.1</v>
      </c>
      <c r="C1760">
        <v>807.1</v>
      </c>
      <c r="D1760">
        <v>2</v>
      </c>
      <c r="E1760">
        <v>10900</v>
      </c>
      <c r="F1760" s="70">
        <v>44541</v>
      </c>
      <c r="G1760">
        <f>IFERROR(IF((F1760-F1759)&gt;1,(LARGE(F1760:$F1760,1)-LARGE(F$1759:$F1760,2))-1,""),"")</f>
        <v>1</v>
      </c>
    </row>
    <row r="1761" spans="1:7">
      <c r="A1761" s="78">
        <f>MAX(0,(CurrentDate-2)-F1772)</f>
        <v>2</v>
      </c>
      <c r="B1761">
        <v>807.1</v>
      </c>
      <c r="C1761">
        <v>807.1</v>
      </c>
      <c r="D1761">
        <v>2</v>
      </c>
      <c r="E1761">
        <v>1700</v>
      </c>
      <c r="F1761" s="70">
        <v>44542</v>
      </c>
      <c r="G1761" t="str">
        <f>IFERROR(IF((F1761-F1760)&gt;1,(LARGE(F1761:$F1761,1)-LARGE(F$1759:$F1761,2))-1,""),"")</f>
        <v/>
      </c>
    </row>
    <row r="1762" spans="1:7">
      <c r="A1762" s="79" t="s">
        <v>44026</v>
      </c>
      <c r="B1762">
        <v>807.1</v>
      </c>
      <c r="C1762">
        <v>807.1</v>
      </c>
      <c r="D1762">
        <v>3</v>
      </c>
      <c r="E1762">
        <v>3085</v>
      </c>
      <c r="F1762" s="70">
        <v>44543</v>
      </c>
      <c r="G1762" t="str">
        <f>IFERROR(IF((F1762-F1761)&gt;1,(LARGE(F1762:$F1762,1)-LARGE(F$1759:$F1762,2))-1,""),"")</f>
        <v/>
      </c>
    </row>
    <row r="1763" spans="1:7">
      <c r="A1763" s="83">
        <f>SUM(G1766:G1772)</f>
        <v>0</v>
      </c>
      <c r="B1763">
        <v>807.1</v>
      </c>
      <c r="C1763">
        <v>807.1</v>
      </c>
      <c r="D1763">
        <v>1</v>
      </c>
      <c r="E1763">
        <v>1500</v>
      </c>
      <c r="F1763" s="70">
        <v>44544</v>
      </c>
      <c r="G1763" t="str">
        <f>IFERROR(IF((F1763-F1762)&gt;1,(LARGE(F1763:$F1763,1)-LARGE(F$1759:$F1763,2))-1,""),"")</f>
        <v/>
      </c>
    </row>
    <row r="1764" spans="1:7">
      <c r="A1764" s="79" t="s">
        <v>44029</v>
      </c>
      <c r="B1764">
        <v>807.1</v>
      </c>
      <c r="C1764">
        <v>807.1</v>
      </c>
      <c r="D1764">
        <v>1</v>
      </c>
      <c r="E1764">
        <v>1200</v>
      </c>
      <c r="F1764" s="70">
        <v>44545</v>
      </c>
      <c r="G1764" t="str">
        <f>IFERROR(IF((F1764-F1763)&gt;1,(LARGE(F1764:$F1764,1)-LARGE(F$1759:$F1764,2))-1,""),"")</f>
        <v/>
      </c>
    </row>
    <row r="1765" spans="1:7">
      <c r="A1765" s="77">
        <f>(SUM(E1759:E1772)/(A1761+14)+SUM(G1759:G1772))</f>
        <v>2670.6875</v>
      </c>
      <c r="B1765">
        <v>807.1</v>
      </c>
      <c r="C1765">
        <v>807.1</v>
      </c>
      <c r="D1765">
        <v>1</v>
      </c>
      <c r="E1765">
        <v>925</v>
      </c>
      <c r="F1765" s="70">
        <v>44546</v>
      </c>
      <c r="G1765" t="str">
        <f>IFERROR(IF((F1765-F1764)&gt;1,(LARGE(F1765:$F1765,1)-LARGE(F$1759:$F1765,2))-1,""),"")</f>
        <v/>
      </c>
    </row>
    <row r="1766" spans="1:7">
      <c r="A1766" s="77">
        <f>(SUM(E1766:E1772)/(A1761+7)+SUM(G1766:G1772))</f>
        <v>2217.5555555555557</v>
      </c>
      <c r="B1766">
        <v>807.1</v>
      </c>
      <c r="C1766">
        <v>807.1</v>
      </c>
      <c r="D1766">
        <v>2</v>
      </c>
      <c r="E1766">
        <v>2700</v>
      </c>
      <c r="F1766" s="70">
        <v>44547</v>
      </c>
      <c r="G1766" t="str">
        <f>IFERROR(IF((F1766-F1765)&gt;1,(LARGE(F1766:$F1766,1)-LARGE(F$1759:$F1766,2))-1,""),"")</f>
        <v/>
      </c>
    </row>
    <row r="1767" spans="1:7">
      <c r="A1767" s="79" t="s">
        <v>44028</v>
      </c>
      <c r="B1767">
        <v>807.1</v>
      </c>
      <c r="C1767">
        <v>807.1</v>
      </c>
      <c r="D1767">
        <v>5</v>
      </c>
      <c r="E1767">
        <v>4620</v>
      </c>
      <c r="F1767" s="70">
        <v>44548</v>
      </c>
      <c r="G1767" t="str">
        <f>IFERROR(IF((F1767-F1766)&gt;1,(LARGE(F1767:$F1767,1)-LARGE(F$1759:$F1767,2))-1,""),"")</f>
        <v/>
      </c>
    </row>
    <row r="1768" spans="1:7">
      <c r="A1768" s="77">
        <f>(SUM(D1769:D1772)/(A1761+4)+SUM(G1769:G1772))</f>
        <v>2.1666666666666665</v>
      </c>
      <c r="B1768">
        <v>807.1</v>
      </c>
      <c r="C1768">
        <v>807.1</v>
      </c>
      <c r="D1768">
        <v>3</v>
      </c>
      <c r="E1768">
        <v>3000</v>
      </c>
      <c r="F1768" s="70">
        <v>44549</v>
      </c>
      <c r="G1768" t="str">
        <f>IFERROR(IF((F1768-F1767)&gt;1,(LARGE(F1768:$F1768,1)-LARGE(F$1759:$F1768,2))-1,""),"")</f>
        <v/>
      </c>
    </row>
    <row r="1769" spans="1:7">
      <c r="A1769" s="85" t="s">
        <v>44027</v>
      </c>
      <c r="B1769">
        <v>807.1</v>
      </c>
      <c r="C1769">
        <v>807.1</v>
      </c>
      <c r="D1769">
        <v>3</v>
      </c>
      <c r="E1769">
        <v>1925</v>
      </c>
      <c r="F1769" s="70">
        <v>44550</v>
      </c>
      <c r="G1769" t="str">
        <f>IFERROR(IF((F1769-F1768)&gt;1,(LARGE(F1769:$F1769,1)-LARGE(F$1759:$F1769,2))-1,""),"")</f>
        <v/>
      </c>
    </row>
    <row r="1770" spans="1:7">
      <c r="A1770" s="86">
        <f>IF(A1763+A1761&gt;10,"Look Up",AVERAGE(A1765,A1766))</f>
        <v>2444.1215277777778</v>
      </c>
      <c r="B1770">
        <v>807.1</v>
      </c>
      <c r="C1770">
        <v>807.1</v>
      </c>
      <c r="D1770">
        <v>3</v>
      </c>
      <c r="E1770">
        <v>2925</v>
      </c>
      <c r="F1770" s="70">
        <v>44551</v>
      </c>
      <c r="G1770" t="str">
        <f>IFERROR(IF((F1770-F1769)&gt;1,(LARGE(F1770:$F1770,1)-LARGE(F$1759:$F1770,2))-1,""),"")</f>
        <v/>
      </c>
    </row>
    <row r="1771" spans="1:7">
      <c r="A1771" s="85" t="s">
        <v>44030</v>
      </c>
      <c r="B1771">
        <v>807.1</v>
      </c>
      <c r="C1771">
        <v>807.1</v>
      </c>
      <c r="D1771">
        <v>6</v>
      </c>
      <c r="E1771">
        <v>4092</v>
      </c>
      <c r="F1771" s="70">
        <v>44552</v>
      </c>
      <c r="G1771" t="str">
        <f>IFERROR(IF((F1771-F1770)&gt;1,(LARGE(F1771:$F1771,1)-LARGE(F$1759:$F1771,2))-1,""),"")</f>
        <v/>
      </c>
    </row>
    <row r="1772" spans="1:7">
      <c r="A1772" s="88"/>
      <c r="B1772">
        <v>807.1</v>
      </c>
      <c r="C1772">
        <v>807.1</v>
      </c>
      <c r="D1772">
        <v>1</v>
      </c>
      <c r="E1772">
        <v>696</v>
      </c>
      <c r="F1772" s="70">
        <v>44553</v>
      </c>
      <c r="G1772" t="str">
        <f>IFERROR(IF((F1772-F1771)&gt;1,(LARGE(F1772:$F1772,1)-LARGE(F$1759:$F1772,2))-1,""),"")</f>
        <v/>
      </c>
    </row>
    <row r="1773" spans="1:7">
      <c r="A1773" s="65">
        <f>VLOOKUP(TradeSheet!A120,TypeIDs!B:C,2,FALSE)</f>
        <v>193</v>
      </c>
      <c r="B1773" t="s">
        <v>43998</v>
      </c>
      <c r="C1773" t="s">
        <v>43999</v>
      </c>
      <c r="D1773" t="s">
        <v>44000</v>
      </c>
      <c r="E1773" t="s">
        <v>44001</v>
      </c>
      <c r="F1773" t="s">
        <v>44009</v>
      </c>
      <c r="G1773" t="s">
        <v>44008</v>
      </c>
    </row>
    <row r="1774" spans="1:7">
      <c r="A1774" s="65" t="str">
        <f>CONCATENATE(SwaggerURL,input119)</f>
        <v>https://esi.evetech.net/latest/markets/10000021/history/?datasource=tranquility&amp;type_id=193</v>
      </c>
      <c r="B1774">
        <v>240</v>
      </c>
      <c r="C1774">
        <v>240</v>
      </c>
      <c r="D1774">
        <v>1</v>
      </c>
      <c r="E1774">
        <v>1000</v>
      </c>
      <c r="F1774" s="70">
        <v>44540</v>
      </c>
      <c r="G1774" t="str">
        <f>IFERROR(IF((F1774-F1773)&gt;1,(LARGE(F1774:$F1774,1)-LARGE(F$1774:$F1774,2))-1,""),"")</f>
        <v/>
      </c>
    </row>
    <row r="1775" spans="1:7">
      <c r="A1775" s="79" t="s">
        <v>44018</v>
      </c>
      <c r="B1775">
        <v>240</v>
      </c>
      <c r="C1775">
        <v>240</v>
      </c>
      <c r="D1775">
        <v>4</v>
      </c>
      <c r="E1775">
        <v>19000</v>
      </c>
      <c r="F1775" s="70">
        <v>44541</v>
      </c>
      <c r="G1775" t="str">
        <f>IFERROR(IF((F1775-F1774)&gt;1,(LARGE(F1775:$F1775,1)-LARGE(F$1774:$F1775,2))-1,""),"")</f>
        <v/>
      </c>
    </row>
    <row r="1776" spans="1:7">
      <c r="A1776" s="78">
        <f>MAX(0,(CurrentDate-2)-F1787)</f>
        <v>1</v>
      </c>
      <c r="B1776">
        <v>235</v>
      </c>
      <c r="C1776">
        <v>235</v>
      </c>
      <c r="D1776">
        <v>5</v>
      </c>
      <c r="E1776">
        <v>34000</v>
      </c>
      <c r="F1776" s="70">
        <v>44542</v>
      </c>
      <c r="G1776" t="str">
        <f>IFERROR(IF((F1776-F1775)&gt;1,(LARGE(F1776:$F1776,1)-LARGE(F$1774:$F1776,2))-1,""),"")</f>
        <v/>
      </c>
    </row>
    <row r="1777" spans="1:7">
      <c r="A1777" s="79" t="s">
        <v>44026</v>
      </c>
      <c r="B1777">
        <v>230</v>
      </c>
      <c r="C1777">
        <v>230</v>
      </c>
      <c r="D1777">
        <v>6</v>
      </c>
      <c r="E1777">
        <v>50640</v>
      </c>
      <c r="F1777" s="70">
        <v>44543</v>
      </c>
      <c r="G1777" t="str">
        <f>IFERROR(IF((F1777-F1776)&gt;1,(LARGE(F1777:$F1777,1)-LARGE(F$1774:$F1777,2))-1,""),"")</f>
        <v/>
      </c>
    </row>
    <row r="1778" spans="1:7">
      <c r="A1778" s="83">
        <f>SUM(G1781:G1787)</f>
        <v>1</v>
      </c>
      <c r="B1778">
        <v>240</v>
      </c>
      <c r="C1778">
        <v>240</v>
      </c>
      <c r="D1778">
        <v>5</v>
      </c>
      <c r="E1778">
        <v>30794</v>
      </c>
      <c r="F1778" s="70">
        <v>44544</v>
      </c>
      <c r="G1778" t="str">
        <f>IFERROR(IF((F1778-F1777)&gt;1,(LARGE(F1778:$F1778,1)-LARGE(F$1774:$F1778,2))-1,""),"")</f>
        <v/>
      </c>
    </row>
    <row r="1779" spans="1:7">
      <c r="A1779" s="79" t="s">
        <v>44029</v>
      </c>
      <c r="B1779">
        <v>235</v>
      </c>
      <c r="C1779">
        <v>234.9</v>
      </c>
      <c r="D1779">
        <v>11</v>
      </c>
      <c r="E1779">
        <v>66000</v>
      </c>
      <c r="F1779" s="70">
        <v>44545</v>
      </c>
      <c r="G1779" t="str">
        <f>IFERROR(IF((F1779-F1778)&gt;1,(LARGE(F1779:$F1779,1)-LARGE(F$1774:$F1779,2))-1,""),"")</f>
        <v/>
      </c>
    </row>
    <row r="1780" spans="1:7">
      <c r="A1780" s="77">
        <f>(SUM(E1774:E1787)/(A1776+14)+SUM(G1774:G1787))</f>
        <v>30896.6</v>
      </c>
      <c r="B1780">
        <v>275</v>
      </c>
      <c r="C1780">
        <v>275</v>
      </c>
      <c r="D1780">
        <v>1</v>
      </c>
      <c r="E1780">
        <v>4000</v>
      </c>
      <c r="F1780" s="70">
        <v>44546</v>
      </c>
      <c r="G1780" t="str">
        <f>IFERROR(IF((F1780-F1779)&gt;1,(LARGE(F1780:$F1780,1)-LARGE(F$1774:$F1780,2))-1,""),"")</f>
        <v/>
      </c>
    </row>
    <row r="1781" spans="1:7">
      <c r="A1781" s="77">
        <f>(SUM(E1781:E1787)/(A1776+7)+SUM(G1781:G1787))</f>
        <v>32251</v>
      </c>
      <c r="B1781">
        <v>275</v>
      </c>
      <c r="C1781">
        <v>275</v>
      </c>
      <c r="D1781">
        <v>2</v>
      </c>
      <c r="E1781">
        <v>16000</v>
      </c>
      <c r="F1781" s="70">
        <v>44547</v>
      </c>
      <c r="G1781" t="str">
        <f>IFERROR(IF((F1781-F1780)&gt;1,(LARGE(F1781:$F1781,1)-LARGE(F$1774:$F1781,2))-1,""),"")</f>
        <v/>
      </c>
    </row>
    <row r="1782" spans="1:7">
      <c r="A1782" s="79" t="s">
        <v>44028</v>
      </c>
      <c r="B1782">
        <v>290</v>
      </c>
      <c r="C1782">
        <v>290</v>
      </c>
      <c r="D1782">
        <v>4</v>
      </c>
      <c r="E1782">
        <v>17000</v>
      </c>
      <c r="F1782" s="70">
        <v>44548</v>
      </c>
      <c r="G1782" t="str">
        <f>IFERROR(IF((F1782-F1781)&gt;1,(LARGE(F1782:$F1782,1)-LARGE(F$1774:$F1782,2))-1,""),"")</f>
        <v/>
      </c>
    </row>
    <row r="1783" spans="1:7">
      <c r="A1783" s="77">
        <f>(SUM(D1784:D1787)/(A1776+4)+SUM(G1784:G1787))</f>
        <v>4.2</v>
      </c>
      <c r="B1783">
        <v>289.89999999999998</v>
      </c>
      <c r="C1783">
        <v>289.89999999999998</v>
      </c>
      <c r="D1783">
        <v>1</v>
      </c>
      <c r="E1783">
        <v>2500</v>
      </c>
      <c r="F1783" s="70">
        <v>44549</v>
      </c>
      <c r="G1783" t="str">
        <f>IFERROR(IF((F1783-F1782)&gt;1,(LARGE(F1783:$F1783,1)-LARGE(F$1774:$F1783,2))-1,""),"")</f>
        <v/>
      </c>
    </row>
    <row r="1784" spans="1:7">
      <c r="A1784" s="85" t="s">
        <v>44027</v>
      </c>
      <c r="B1784">
        <v>290</v>
      </c>
      <c r="C1784">
        <v>290</v>
      </c>
      <c r="D1784">
        <v>9</v>
      </c>
      <c r="E1784">
        <v>112500</v>
      </c>
      <c r="F1784" s="70">
        <v>44550</v>
      </c>
      <c r="G1784" t="str">
        <f>IFERROR(IF((F1784-F1783)&gt;1,(LARGE(F1784:$F1784,1)-LARGE(F$1774:$F1784,2))-1,""),"")</f>
        <v/>
      </c>
    </row>
    <row r="1785" spans="1:7">
      <c r="A1785" s="86">
        <f>IF(A1778+A1776&gt;10,"Look Up",AVERAGE(A1780,A1781))</f>
        <v>31573.8</v>
      </c>
      <c r="B1785">
        <v>300</v>
      </c>
      <c r="C1785">
        <v>300</v>
      </c>
      <c r="D1785">
        <v>3</v>
      </c>
      <c r="E1785">
        <v>35000</v>
      </c>
      <c r="F1785" s="70">
        <v>44551</v>
      </c>
      <c r="G1785" t="str">
        <f>IFERROR(IF((F1785-F1784)&gt;1,(LARGE(F1785:$F1785,1)-LARGE(F$1774:$F1785,2))-1,""),"")</f>
        <v/>
      </c>
    </row>
    <row r="1786" spans="1:7">
      <c r="A1786" s="85" t="s">
        <v>44030</v>
      </c>
      <c r="B1786">
        <v>290</v>
      </c>
      <c r="C1786">
        <v>290</v>
      </c>
      <c r="D1786">
        <v>1</v>
      </c>
      <c r="E1786">
        <v>50000</v>
      </c>
      <c r="F1786" s="70">
        <v>44553</v>
      </c>
      <c r="G1786">
        <f>IFERROR(IF((F1786-F1785)&gt;1,(LARGE(F1786:$F1786,1)-LARGE(F$1774:$F1786,2))-1,""),"")</f>
        <v>1</v>
      </c>
    </row>
    <row r="1787" spans="1:7">
      <c r="A1787" s="88"/>
      <c r="B1787">
        <v>290</v>
      </c>
      <c r="C1787">
        <v>290</v>
      </c>
      <c r="D1787">
        <v>3</v>
      </c>
      <c r="E1787">
        <v>25000</v>
      </c>
      <c r="F1787" s="70">
        <v>44554</v>
      </c>
      <c r="G1787" t="str">
        <f>IFERROR(IF((F1787-F1786)&gt;1,(LARGE(F1787:$F1787,1)-LARGE(F$1774:$F1787,2))-1,""),"")</f>
        <v/>
      </c>
    </row>
    <row r="1788" spans="1:7">
      <c r="A1788" s="65">
        <f>VLOOKUP(TradeSheet!A121,TypeIDs!B:C,2,FALSE)</f>
        <v>41155</v>
      </c>
      <c r="B1788" t="s">
        <v>43998</v>
      </c>
      <c r="C1788" t="s">
        <v>43999</v>
      </c>
      <c r="D1788" t="s">
        <v>44000</v>
      </c>
      <c r="E1788" t="s">
        <v>44001</v>
      </c>
      <c r="F1788" t="s">
        <v>44009</v>
      </c>
      <c r="G1788" t="s">
        <v>44008</v>
      </c>
    </row>
    <row r="1789" spans="1:7">
      <c r="A1789" s="65" t="str">
        <f>CONCATENATE(SwaggerURL,input120)</f>
        <v>https://esi.evetech.net/latest/markets/10000021/history/?datasource=tranquility&amp;type_id=41155</v>
      </c>
      <c r="B1789">
        <v>33750</v>
      </c>
      <c r="C1789">
        <v>33750</v>
      </c>
      <c r="D1789">
        <v>2</v>
      </c>
      <c r="E1789">
        <v>3</v>
      </c>
      <c r="F1789" s="70">
        <v>44539</v>
      </c>
      <c r="G1789" t="str">
        <f>IFERROR(IF((F1789-F1788)&gt;1,(LARGE(F1789:$F1789,1)-LARGE(F$1789:$F1789,2))-1,""),"")</f>
        <v/>
      </c>
    </row>
    <row r="1790" spans="1:7">
      <c r="A1790" s="79" t="s">
        <v>44018</v>
      </c>
      <c r="B1790">
        <v>33750</v>
      </c>
      <c r="C1790">
        <v>33750</v>
      </c>
      <c r="D1790">
        <v>3</v>
      </c>
      <c r="E1790">
        <v>3</v>
      </c>
      <c r="F1790" s="70">
        <v>44540</v>
      </c>
      <c r="G1790" t="str">
        <f>IFERROR(IF((F1790-F1789)&gt;1,(LARGE(F1790:$F1790,1)-LARGE(F$1789:$F1790,2))-1,""),"")</f>
        <v/>
      </c>
    </row>
    <row r="1791" spans="1:7">
      <c r="A1791" s="78">
        <f>MAX(0,(CurrentDate-2)-F1802)</f>
        <v>1</v>
      </c>
      <c r="B1791">
        <v>33750</v>
      </c>
      <c r="C1791">
        <v>33750</v>
      </c>
      <c r="D1791">
        <v>2</v>
      </c>
      <c r="E1791">
        <v>2</v>
      </c>
      <c r="F1791" s="70">
        <v>44541</v>
      </c>
      <c r="G1791" t="str">
        <f>IFERROR(IF((F1791-F1790)&gt;1,(LARGE(F1791:$F1791,1)-LARGE(F$1789:$F1791,2))-1,""),"")</f>
        <v/>
      </c>
    </row>
    <row r="1792" spans="1:7">
      <c r="A1792" s="79" t="s">
        <v>44026</v>
      </c>
      <c r="B1792">
        <v>33750</v>
      </c>
      <c r="C1792">
        <v>33750</v>
      </c>
      <c r="D1792">
        <v>1</v>
      </c>
      <c r="E1792">
        <v>1</v>
      </c>
      <c r="F1792" s="70">
        <v>44542</v>
      </c>
      <c r="G1792" t="str">
        <f>IFERROR(IF((F1792-F1791)&gt;1,(LARGE(F1792:$F1792,1)-LARGE(F$1789:$F1792,2))-1,""),"")</f>
        <v/>
      </c>
    </row>
    <row r="1793" spans="1:7">
      <c r="A1793" s="83">
        <f>SUM(G1796:G1802)</f>
        <v>1</v>
      </c>
      <c r="B1793">
        <v>33750</v>
      </c>
      <c r="C1793">
        <v>33750</v>
      </c>
      <c r="D1793">
        <v>2</v>
      </c>
      <c r="E1793">
        <v>2</v>
      </c>
      <c r="F1793" s="70">
        <v>44544</v>
      </c>
      <c r="G1793">
        <f>IFERROR(IF((F1793-F1792)&gt;1,(LARGE(F1793:$F1793,1)-LARGE(F$1789:$F1793,2))-1,""),"")</f>
        <v>1</v>
      </c>
    </row>
    <row r="1794" spans="1:7">
      <c r="A1794" s="79" t="s">
        <v>44029</v>
      </c>
      <c r="B1794">
        <v>33750</v>
      </c>
      <c r="C1794">
        <v>33750</v>
      </c>
      <c r="D1794">
        <v>2</v>
      </c>
      <c r="E1794">
        <v>3</v>
      </c>
      <c r="F1794" s="70">
        <v>44545</v>
      </c>
      <c r="G1794" t="str">
        <f>IFERROR(IF((F1794-F1793)&gt;1,(LARGE(F1794:$F1794,1)-LARGE(F$1789:$F1794,2))-1,""),"")</f>
        <v/>
      </c>
    </row>
    <row r="1795" spans="1:7">
      <c r="A1795" s="77">
        <f>(SUM(E1789:E1802)/(A1791+14)+SUM(G1789:G1802))</f>
        <v>7.4666666666666668</v>
      </c>
      <c r="B1795">
        <v>33750</v>
      </c>
      <c r="C1795">
        <v>33750</v>
      </c>
      <c r="D1795">
        <v>5</v>
      </c>
      <c r="E1795">
        <v>11</v>
      </c>
      <c r="F1795" s="70">
        <v>44546</v>
      </c>
      <c r="G1795" t="str">
        <f>IFERROR(IF((F1795-F1794)&gt;1,(LARGE(F1795:$F1795,1)-LARGE(F$1789:$F1795,2))-1,""),"")</f>
        <v/>
      </c>
    </row>
    <row r="1796" spans="1:7">
      <c r="A1796" s="77">
        <f>(SUM(E1796:E1802)/(A1791+7)+SUM(G1796:G1802))</f>
        <v>8.125</v>
      </c>
      <c r="B1796">
        <v>33750</v>
      </c>
      <c r="C1796">
        <v>33750</v>
      </c>
      <c r="D1796">
        <v>4</v>
      </c>
      <c r="E1796">
        <v>5</v>
      </c>
      <c r="F1796" s="70">
        <v>44547</v>
      </c>
      <c r="G1796" t="str">
        <f>IFERROR(IF((F1796-F1795)&gt;1,(LARGE(F1796:$F1796,1)-LARGE(F$1789:$F1796,2))-1,""),"")</f>
        <v/>
      </c>
    </row>
    <row r="1797" spans="1:7">
      <c r="A1797" s="79" t="s">
        <v>44028</v>
      </c>
      <c r="B1797">
        <v>33750</v>
      </c>
      <c r="C1797">
        <v>33750</v>
      </c>
      <c r="D1797">
        <v>12</v>
      </c>
      <c r="E1797">
        <v>15</v>
      </c>
      <c r="F1797" s="70">
        <v>44548</v>
      </c>
      <c r="G1797" t="str">
        <f>IFERROR(IF((F1797-F1796)&gt;1,(LARGE(F1797:$F1797,1)-LARGE(F$1789:$F1797,2))-1,""),"")</f>
        <v/>
      </c>
    </row>
    <row r="1798" spans="1:7">
      <c r="A1798" s="77">
        <f>(SUM(D1799:D1802)/(A1791+4)+SUM(G1799:G1802))</f>
        <v>3.4</v>
      </c>
      <c r="B1798">
        <v>33750</v>
      </c>
      <c r="C1798">
        <v>33750</v>
      </c>
      <c r="D1798">
        <v>5</v>
      </c>
      <c r="E1798">
        <v>20</v>
      </c>
      <c r="F1798" s="70">
        <v>44549</v>
      </c>
      <c r="G1798" t="str">
        <f>IFERROR(IF((F1798-F1797)&gt;1,(LARGE(F1798:$F1798,1)-LARGE(F$1789:$F1798,2))-1,""),"")</f>
        <v/>
      </c>
    </row>
    <row r="1799" spans="1:7">
      <c r="A1799" s="85" t="s">
        <v>44027</v>
      </c>
      <c r="B1799">
        <v>33750</v>
      </c>
      <c r="C1799">
        <v>33750</v>
      </c>
      <c r="D1799">
        <v>5</v>
      </c>
      <c r="E1799">
        <v>7</v>
      </c>
      <c r="F1799" s="70">
        <v>44550</v>
      </c>
      <c r="G1799" t="str">
        <f>IFERROR(IF((F1799-F1798)&gt;1,(LARGE(F1799:$F1799,1)-LARGE(F$1789:$F1799,2))-1,""),"")</f>
        <v/>
      </c>
    </row>
    <row r="1800" spans="1:7">
      <c r="A1800" s="86">
        <f>IF(A1793+A1791&gt;10,"Look Up",AVERAGE(A1795,A1796))</f>
        <v>7.7958333333333334</v>
      </c>
      <c r="B1800">
        <v>33750</v>
      </c>
      <c r="C1800">
        <v>33750</v>
      </c>
      <c r="D1800">
        <v>3</v>
      </c>
      <c r="E1800">
        <v>3</v>
      </c>
      <c r="F1800" s="70">
        <v>44551</v>
      </c>
      <c r="G1800" t="str">
        <f>IFERROR(IF((F1800-F1799)&gt;1,(LARGE(F1800:$F1800,1)-LARGE(F$1789:$F1800,2))-1,""),"")</f>
        <v/>
      </c>
    </row>
    <row r="1801" spans="1:7">
      <c r="A1801" s="85" t="s">
        <v>44030</v>
      </c>
      <c r="B1801">
        <v>33750</v>
      </c>
      <c r="C1801">
        <v>33750</v>
      </c>
      <c r="D1801">
        <v>1</v>
      </c>
      <c r="E1801">
        <v>1</v>
      </c>
      <c r="F1801" s="70">
        <v>44553</v>
      </c>
      <c r="G1801">
        <f>IFERROR(IF((F1801-F1800)&gt;1,(LARGE(F1801:$F1801,1)-LARGE(F$1789:$F1801,2))-1,""),"")</f>
        <v>1</v>
      </c>
    </row>
    <row r="1802" spans="1:7">
      <c r="A1802" s="88"/>
      <c r="B1802">
        <v>33541.67</v>
      </c>
      <c r="C1802">
        <v>33500</v>
      </c>
      <c r="D1802">
        <v>3</v>
      </c>
      <c r="E1802">
        <v>6</v>
      </c>
      <c r="F1802" s="70">
        <v>44554</v>
      </c>
      <c r="G1802" t="str">
        <f>IFERROR(IF((F1802-F1801)&gt;1,(LARGE(F1802:$F1802,1)-LARGE(F$1789:$F1802,2))-1,""),"")</f>
        <v/>
      </c>
    </row>
    <row r="1803" spans="1:7">
      <c r="A1803" s="65">
        <f>VLOOKUP(TradeSheet!A122,TypeIDs!B:C,2,FALSE)</f>
        <v>35795</v>
      </c>
      <c r="B1803" t="s">
        <v>43998</v>
      </c>
      <c r="C1803" t="s">
        <v>43999</v>
      </c>
      <c r="D1803" t="s">
        <v>44000</v>
      </c>
      <c r="E1803" t="s">
        <v>44001</v>
      </c>
      <c r="F1803" t="s">
        <v>44009</v>
      </c>
      <c r="G1803" t="s">
        <v>44008</v>
      </c>
    </row>
    <row r="1804" spans="1:7">
      <c r="A1804" s="65" t="str">
        <f>CONCATENATE(SwaggerURL,input121)</f>
        <v>https://esi.evetech.net/latest/markets/10000021/history/?datasource=tranquility&amp;type_id=35795</v>
      </c>
      <c r="B1804">
        <v>134915.38</v>
      </c>
      <c r="C1804">
        <v>134900</v>
      </c>
      <c r="D1804">
        <v>6</v>
      </c>
      <c r="E1804">
        <v>13</v>
      </c>
      <c r="F1804" s="70">
        <v>44541</v>
      </c>
      <c r="G1804" t="str">
        <f>IFERROR(IF((F1804-F1803)&gt;1,(LARGE(F1804:$F1804,1)-LARGE(F$1804:$F1804,2))-1,""),"")</f>
        <v/>
      </c>
    </row>
    <row r="1805" spans="1:7">
      <c r="A1805" s="79" t="s">
        <v>44018</v>
      </c>
      <c r="B1805">
        <v>135000</v>
      </c>
      <c r="C1805">
        <v>135000</v>
      </c>
      <c r="D1805">
        <v>2</v>
      </c>
      <c r="E1805">
        <v>2</v>
      </c>
      <c r="F1805" s="70">
        <v>44542</v>
      </c>
      <c r="G1805" t="str">
        <f>IFERROR(IF((F1805-F1804)&gt;1,(LARGE(F1805:$F1805,1)-LARGE(F$1804:$F1805,2))-1,""),"")</f>
        <v/>
      </c>
    </row>
    <row r="1806" spans="1:7">
      <c r="A1806" s="78">
        <f>MAX(0,(CurrentDate-2)-F1817)</f>
        <v>1</v>
      </c>
      <c r="B1806">
        <v>136000</v>
      </c>
      <c r="C1806">
        <v>135000</v>
      </c>
      <c r="D1806">
        <v>6</v>
      </c>
      <c r="E1806">
        <v>9</v>
      </c>
      <c r="F1806" s="70">
        <v>44543</v>
      </c>
      <c r="G1806" t="str">
        <f>IFERROR(IF((F1806-F1805)&gt;1,(LARGE(F1806:$F1806,1)-LARGE(F$1804:$F1806,2))-1,""),"")</f>
        <v/>
      </c>
    </row>
    <row r="1807" spans="1:7">
      <c r="A1807" s="79" t="s">
        <v>44026</v>
      </c>
      <c r="B1807">
        <v>135000</v>
      </c>
      <c r="C1807">
        <v>135000</v>
      </c>
      <c r="D1807">
        <v>4</v>
      </c>
      <c r="E1807">
        <v>9</v>
      </c>
      <c r="F1807" s="70">
        <v>44544</v>
      </c>
      <c r="G1807" t="str">
        <f>IFERROR(IF((F1807-F1806)&gt;1,(LARGE(F1807:$F1807,1)-LARGE(F$1804:$F1807,2))-1,""),"")</f>
        <v/>
      </c>
    </row>
    <row r="1808" spans="1:7">
      <c r="A1808" s="83">
        <f>SUM(G1811:G1817)</f>
        <v>0</v>
      </c>
      <c r="B1808">
        <v>135000</v>
      </c>
      <c r="C1808">
        <v>135000</v>
      </c>
      <c r="D1808">
        <v>2</v>
      </c>
      <c r="E1808">
        <v>3</v>
      </c>
      <c r="F1808" s="70">
        <v>44545</v>
      </c>
      <c r="G1808" t="str">
        <f>IFERROR(IF((F1808-F1807)&gt;1,(LARGE(F1808:$F1808,1)-LARGE(F$1804:$F1808,2))-1,""),"")</f>
        <v/>
      </c>
    </row>
    <row r="1809" spans="1:7">
      <c r="A1809" s="79" t="s">
        <v>44029</v>
      </c>
      <c r="B1809">
        <v>135000</v>
      </c>
      <c r="C1809">
        <v>135000</v>
      </c>
      <c r="D1809">
        <v>2</v>
      </c>
      <c r="E1809">
        <v>4</v>
      </c>
      <c r="F1809" s="70">
        <v>44546</v>
      </c>
      <c r="G1809" t="str">
        <f>IFERROR(IF((F1809-F1808)&gt;1,(LARGE(F1809:$F1809,1)-LARGE(F$1804:$F1809,2))-1,""),"")</f>
        <v/>
      </c>
    </row>
    <row r="1810" spans="1:7">
      <c r="A1810" s="77">
        <f>(SUM(E1804:E1817)/(A1806+14)+SUM(G1804:G1817))</f>
        <v>7.1333333333333337</v>
      </c>
      <c r="B1810">
        <v>135000</v>
      </c>
      <c r="C1810">
        <v>135000</v>
      </c>
      <c r="D1810">
        <v>1</v>
      </c>
      <c r="E1810">
        <v>1</v>
      </c>
      <c r="F1810" s="70">
        <v>44547</v>
      </c>
      <c r="G1810" t="str">
        <f>IFERROR(IF((F1810-F1809)&gt;1,(LARGE(F1810:$F1810,1)-LARGE(F$1804:$F1810,2))-1,""),"")</f>
        <v/>
      </c>
    </row>
    <row r="1811" spans="1:7">
      <c r="A1811" s="77">
        <f>(SUM(E1811:E1817)/(A1806+7)+SUM(G1811:G1817))</f>
        <v>8.25</v>
      </c>
      <c r="B1811">
        <v>132000</v>
      </c>
      <c r="C1811">
        <v>130000</v>
      </c>
      <c r="D1811">
        <v>16</v>
      </c>
      <c r="E1811">
        <v>27</v>
      </c>
      <c r="F1811" s="70">
        <v>44548</v>
      </c>
      <c r="G1811" t="str">
        <f>IFERROR(IF((F1811-F1810)&gt;1,(LARGE(F1811:$F1811,1)-LARGE(F$1804:$F1811,2))-1,""),"")</f>
        <v/>
      </c>
    </row>
    <row r="1812" spans="1:7">
      <c r="A1812" s="79" t="s">
        <v>44028</v>
      </c>
      <c r="B1812">
        <v>131100</v>
      </c>
      <c r="C1812">
        <v>113700</v>
      </c>
      <c r="D1812">
        <v>7</v>
      </c>
      <c r="E1812">
        <v>7</v>
      </c>
      <c r="F1812" s="70">
        <v>44549</v>
      </c>
      <c r="G1812" t="str">
        <f>IFERROR(IF((F1812-F1811)&gt;1,(LARGE(F1812:$F1812,1)-LARGE(F$1804:$F1812,2))-1,""),"")</f>
        <v/>
      </c>
    </row>
    <row r="1813" spans="1:7">
      <c r="A1813" s="77">
        <f>(SUM(D1814:D1817)/(A1806+4)+SUM(G1814:G1817))</f>
        <v>4.4000000000000004</v>
      </c>
      <c r="B1813">
        <v>132780</v>
      </c>
      <c r="C1813">
        <v>132500</v>
      </c>
      <c r="D1813">
        <v>5</v>
      </c>
      <c r="E1813">
        <v>5</v>
      </c>
      <c r="F1813" s="70">
        <v>44550</v>
      </c>
      <c r="G1813" t="str">
        <f>IFERROR(IF((F1813-F1812)&gt;1,(LARGE(F1813:$F1813,1)-LARGE(F$1804:$F1813,2))-1,""),"")</f>
        <v/>
      </c>
    </row>
    <row r="1814" spans="1:7">
      <c r="A1814" s="85" t="s">
        <v>44027</v>
      </c>
      <c r="B1814">
        <v>132400</v>
      </c>
      <c r="C1814">
        <v>132400</v>
      </c>
      <c r="D1814">
        <v>3</v>
      </c>
      <c r="E1814">
        <v>3</v>
      </c>
      <c r="F1814" s="70">
        <v>44551</v>
      </c>
      <c r="G1814" t="str">
        <f>IFERROR(IF((F1814-F1813)&gt;1,(LARGE(F1814:$F1814,1)-LARGE(F$1804:$F1814,2))-1,""),"")</f>
        <v/>
      </c>
    </row>
    <row r="1815" spans="1:7">
      <c r="A1815" s="86">
        <f>IF(A1808+A1806&gt;10,"Look Up",AVERAGE(A1810,A1811))</f>
        <v>7.6916666666666664</v>
      </c>
      <c r="B1815">
        <v>132400</v>
      </c>
      <c r="C1815">
        <v>132400</v>
      </c>
      <c r="D1815">
        <v>4</v>
      </c>
      <c r="E1815">
        <v>5</v>
      </c>
      <c r="F1815" s="70">
        <v>44552</v>
      </c>
      <c r="G1815" t="str">
        <f>IFERROR(IF((F1815-F1814)&gt;1,(LARGE(F1815:$F1815,1)-LARGE(F$1804:$F1815,2))-1,""),"")</f>
        <v/>
      </c>
    </row>
    <row r="1816" spans="1:7">
      <c r="A1816" s="85" t="s">
        <v>44030</v>
      </c>
      <c r="B1816">
        <v>132400</v>
      </c>
      <c r="C1816">
        <v>132400</v>
      </c>
      <c r="D1816">
        <v>1</v>
      </c>
      <c r="E1816">
        <v>2</v>
      </c>
      <c r="F1816" s="70">
        <v>44553</v>
      </c>
      <c r="G1816" t="str">
        <f>IFERROR(IF((F1816-F1815)&gt;1,(LARGE(F1816:$F1816,1)-LARGE(F$1804:$F1816,2))-1,""),"")</f>
        <v/>
      </c>
    </row>
    <row r="1817" spans="1:7">
      <c r="A1817" s="88"/>
      <c r="B1817">
        <v>132305.88</v>
      </c>
      <c r="C1817">
        <v>132000</v>
      </c>
      <c r="D1817">
        <v>14</v>
      </c>
      <c r="E1817">
        <v>17</v>
      </c>
      <c r="F1817" s="70">
        <v>44554</v>
      </c>
      <c r="G1817" t="str">
        <f>IFERROR(IF((F1817-F1816)&gt;1,(LARGE(F1817:$F1817,1)-LARGE(F$1804:$F1817,2))-1,""),"")</f>
        <v/>
      </c>
    </row>
    <row r="1818" spans="1:7">
      <c r="A1818" s="65">
        <f>VLOOKUP(TradeSheet!A123,TypeIDs!B:C,2,FALSE)</f>
        <v>35794</v>
      </c>
      <c r="B1818" t="s">
        <v>43998</v>
      </c>
      <c r="C1818" t="s">
        <v>43999</v>
      </c>
      <c r="D1818" t="s">
        <v>44000</v>
      </c>
      <c r="E1818" t="s">
        <v>44001</v>
      </c>
      <c r="F1818" t="s">
        <v>44009</v>
      </c>
      <c r="G1818" t="s">
        <v>44008</v>
      </c>
    </row>
    <row r="1819" spans="1:7">
      <c r="A1819" s="65" t="str">
        <f>CONCATENATE(SwaggerURL,input122)</f>
        <v>https://esi.evetech.net/latest/markets/10000021/history/?datasource=tranquility&amp;type_id=35794</v>
      </c>
      <c r="B1819">
        <v>33984</v>
      </c>
      <c r="C1819">
        <v>33950</v>
      </c>
      <c r="D1819">
        <v>7</v>
      </c>
      <c r="E1819">
        <v>15</v>
      </c>
      <c r="F1819" s="70">
        <v>44541</v>
      </c>
      <c r="G1819" t="str">
        <f>IFERROR(IF((F1819-F1818)&gt;1,(LARGE(F1819:$F1819,1)-LARGE(F$1819:$F1819,2))-1,""),"")</f>
        <v/>
      </c>
    </row>
    <row r="1820" spans="1:7">
      <c r="A1820" s="79" t="s">
        <v>44018</v>
      </c>
      <c r="B1820">
        <v>33950</v>
      </c>
      <c r="C1820">
        <v>33950</v>
      </c>
      <c r="D1820">
        <v>3</v>
      </c>
      <c r="E1820">
        <v>4</v>
      </c>
      <c r="F1820" s="70">
        <v>44542</v>
      </c>
      <c r="G1820" t="str">
        <f>IFERROR(IF((F1820-F1819)&gt;1,(LARGE(F1820:$F1820,1)-LARGE(F$1819:$F1820,2))-1,""),"")</f>
        <v/>
      </c>
    </row>
    <row r="1821" spans="1:7">
      <c r="A1821" s="78">
        <f>MAX(0,(CurrentDate-2)-F1832)</f>
        <v>1</v>
      </c>
      <c r="B1821">
        <v>33950</v>
      </c>
      <c r="C1821">
        <v>33950</v>
      </c>
      <c r="D1821">
        <v>4</v>
      </c>
      <c r="E1821">
        <v>5</v>
      </c>
      <c r="F1821" s="70">
        <v>44543</v>
      </c>
      <c r="G1821" t="str">
        <f>IFERROR(IF((F1821-F1820)&gt;1,(LARGE(F1821:$F1821,1)-LARGE(F$1819:$F1821,2))-1,""),"")</f>
        <v/>
      </c>
    </row>
    <row r="1822" spans="1:7">
      <c r="A1822" s="79" t="s">
        <v>44026</v>
      </c>
      <c r="B1822">
        <v>33950</v>
      </c>
      <c r="C1822">
        <v>33950</v>
      </c>
      <c r="D1822">
        <v>4</v>
      </c>
      <c r="E1822">
        <v>7</v>
      </c>
      <c r="F1822" s="70">
        <v>44544</v>
      </c>
      <c r="G1822" t="str">
        <f>IFERROR(IF((F1822-F1821)&gt;1,(LARGE(F1822:$F1822,1)-LARGE(F$1819:$F1822,2))-1,""),"")</f>
        <v/>
      </c>
    </row>
    <row r="1823" spans="1:7">
      <c r="A1823" s="83">
        <f>SUM(G1826:G1832)</f>
        <v>0</v>
      </c>
      <c r="B1823">
        <v>33950</v>
      </c>
      <c r="C1823">
        <v>33950</v>
      </c>
      <c r="D1823">
        <v>4</v>
      </c>
      <c r="E1823">
        <v>5</v>
      </c>
      <c r="F1823" s="70">
        <v>44545</v>
      </c>
      <c r="G1823" t="str">
        <f>IFERROR(IF((F1823-F1822)&gt;1,(LARGE(F1823:$F1823,1)-LARGE(F$1819:$F1823,2))-1,""),"")</f>
        <v/>
      </c>
    </row>
    <row r="1824" spans="1:7">
      <c r="A1824" s="79" t="s">
        <v>44029</v>
      </c>
      <c r="B1824">
        <v>33950</v>
      </c>
      <c r="C1824">
        <v>33950</v>
      </c>
      <c r="D1824">
        <v>1</v>
      </c>
      <c r="E1824">
        <v>2</v>
      </c>
      <c r="F1824" s="70">
        <v>44546</v>
      </c>
      <c r="G1824" t="str">
        <f>IFERROR(IF((F1824-F1823)&gt;1,(LARGE(F1824:$F1824,1)-LARGE(F$1819:$F1824,2))-1,""),"")</f>
        <v/>
      </c>
    </row>
    <row r="1825" spans="1:7">
      <c r="A1825" s="77">
        <f>(SUM(E1819:E1832)/(A1821+14)+SUM(G1819:G1832))</f>
        <v>7.2</v>
      </c>
      <c r="B1825">
        <v>33950</v>
      </c>
      <c r="C1825">
        <v>33950</v>
      </c>
      <c r="D1825">
        <v>1</v>
      </c>
      <c r="E1825">
        <v>1</v>
      </c>
      <c r="F1825" s="70">
        <v>44547</v>
      </c>
      <c r="G1825" t="str">
        <f>IFERROR(IF((F1825-F1824)&gt;1,(LARGE(F1825:$F1825,1)-LARGE(F$1819:$F1825,2))-1,""),"")</f>
        <v/>
      </c>
    </row>
    <row r="1826" spans="1:7">
      <c r="A1826" s="77">
        <f>(SUM(E1826:E1832)/(A1821+7)+SUM(G1826:G1832))</f>
        <v>8.625</v>
      </c>
      <c r="B1826">
        <v>35085.71</v>
      </c>
      <c r="C1826">
        <v>33950</v>
      </c>
      <c r="D1826">
        <v>18</v>
      </c>
      <c r="E1826">
        <v>28</v>
      </c>
      <c r="F1826" s="70">
        <v>44548</v>
      </c>
      <c r="G1826" t="str">
        <f>IFERROR(IF((F1826-F1825)&gt;1,(LARGE(F1826:$F1826,1)-LARGE(F$1819:$F1826,2))-1,""),"")</f>
        <v/>
      </c>
    </row>
    <row r="1827" spans="1:7">
      <c r="A1827" s="79" t="s">
        <v>44028</v>
      </c>
      <c r="B1827">
        <v>38685</v>
      </c>
      <c r="C1827">
        <v>38500</v>
      </c>
      <c r="D1827">
        <v>8</v>
      </c>
      <c r="E1827">
        <v>8</v>
      </c>
      <c r="F1827" s="70">
        <v>44549</v>
      </c>
      <c r="G1827" t="str">
        <f>IFERROR(IF((F1827-F1826)&gt;1,(LARGE(F1827:$F1827,1)-LARGE(F$1819:$F1827,2))-1,""),"")</f>
        <v/>
      </c>
    </row>
    <row r="1828" spans="1:7">
      <c r="A1828" s="77">
        <f>(SUM(D1829:D1832)/(A1821+4)+SUM(G1829:G1832))</f>
        <v>4.4000000000000004</v>
      </c>
      <c r="B1828">
        <v>38428.57</v>
      </c>
      <c r="C1828">
        <v>38000</v>
      </c>
      <c r="D1828">
        <v>7</v>
      </c>
      <c r="E1828">
        <v>7</v>
      </c>
      <c r="F1828" s="70">
        <v>44550</v>
      </c>
      <c r="G1828" t="str">
        <f>IFERROR(IF((F1828-F1827)&gt;1,(LARGE(F1828:$F1828,1)-LARGE(F$1819:$F1828,2))-1,""),"")</f>
        <v/>
      </c>
    </row>
    <row r="1829" spans="1:7">
      <c r="A1829" s="85" t="s">
        <v>44027</v>
      </c>
      <c r="B1829">
        <v>38500</v>
      </c>
      <c r="C1829">
        <v>38500</v>
      </c>
      <c r="D1829">
        <v>3</v>
      </c>
      <c r="E1829">
        <v>4</v>
      </c>
      <c r="F1829" s="70">
        <v>44551</v>
      </c>
      <c r="G1829" t="str">
        <f>IFERROR(IF((F1829-F1828)&gt;1,(LARGE(F1829:$F1829,1)-LARGE(F$1819:$F1829,2))-1,""),"")</f>
        <v/>
      </c>
    </row>
    <row r="1830" spans="1:7">
      <c r="A1830" s="86">
        <f>IF(A1823+A1821&gt;10,"Look Up",AVERAGE(A1825,A1826))</f>
        <v>7.9124999999999996</v>
      </c>
      <c r="B1830">
        <v>38500</v>
      </c>
      <c r="C1830">
        <v>38500</v>
      </c>
      <c r="D1830">
        <v>4</v>
      </c>
      <c r="E1830">
        <v>5</v>
      </c>
      <c r="F1830" s="70">
        <v>44552</v>
      </c>
      <c r="G1830" t="str">
        <f>IFERROR(IF((F1830-F1829)&gt;1,(LARGE(F1830:$F1830,1)-LARGE(F$1819:$F1830,2))-1,""),"")</f>
        <v/>
      </c>
    </row>
    <row r="1831" spans="1:7">
      <c r="A1831" s="85" t="s">
        <v>44030</v>
      </c>
      <c r="B1831">
        <v>38500</v>
      </c>
      <c r="C1831">
        <v>38500</v>
      </c>
      <c r="D1831">
        <v>1</v>
      </c>
      <c r="E1831">
        <v>2</v>
      </c>
      <c r="F1831" s="70">
        <v>44553</v>
      </c>
      <c r="G1831" t="str">
        <f>IFERROR(IF((F1831-F1830)&gt;1,(LARGE(F1831:$F1831,1)-LARGE(F$1819:$F1831,2))-1,""),"")</f>
        <v/>
      </c>
    </row>
    <row r="1832" spans="1:7">
      <c r="A1832" s="88"/>
      <c r="B1832">
        <v>27765.33</v>
      </c>
      <c r="C1832">
        <v>27000</v>
      </c>
      <c r="D1832">
        <v>14</v>
      </c>
      <c r="E1832">
        <v>15</v>
      </c>
      <c r="F1832" s="70">
        <v>44554</v>
      </c>
      <c r="G1832" t="str">
        <f>IFERROR(IF((F1832-F1831)&gt;1,(LARGE(F1832:$F1832,1)-LARGE(F$1819:$F1832,2))-1,""),"")</f>
        <v/>
      </c>
    </row>
    <row r="1833" spans="1:7">
      <c r="A1833" s="65">
        <f>VLOOKUP(TradeSheet!A124,TypeIDs!B:C,2,FALSE)</f>
        <v>29005</v>
      </c>
      <c r="B1833" t="s">
        <v>43998</v>
      </c>
      <c r="C1833" t="s">
        <v>43999</v>
      </c>
      <c r="D1833" t="s">
        <v>44000</v>
      </c>
      <c r="E1833" t="s">
        <v>44001</v>
      </c>
      <c r="F1833" t="s">
        <v>44009</v>
      </c>
      <c r="G1833" t="s">
        <v>44008</v>
      </c>
    </row>
    <row r="1834" spans="1:7">
      <c r="A1834" s="65" t="str">
        <f>CONCATENATE(SwaggerURL,input123)</f>
        <v>https://esi.evetech.net/latest/markets/10000021/history/?datasource=tranquility&amp;type_id=29005</v>
      </c>
      <c r="B1834">
        <v>18990</v>
      </c>
      <c r="C1834">
        <v>18990</v>
      </c>
      <c r="D1834">
        <v>2</v>
      </c>
      <c r="E1834">
        <v>2</v>
      </c>
      <c r="F1834" s="70">
        <v>44535</v>
      </c>
      <c r="G1834" t="str">
        <f>IFERROR(IF((F1834-F1833)&gt;1,(LARGE(F1834:$F1834,1)-LARGE(F$1834:$F1834,2))-1,""),"")</f>
        <v/>
      </c>
    </row>
    <row r="1835" spans="1:7">
      <c r="A1835" s="79" t="s">
        <v>44018</v>
      </c>
      <c r="B1835">
        <v>18990</v>
      </c>
      <c r="C1835">
        <v>18990</v>
      </c>
      <c r="D1835">
        <v>1</v>
      </c>
      <c r="E1835">
        <v>1</v>
      </c>
      <c r="F1835" s="70">
        <v>44536</v>
      </c>
      <c r="G1835" t="str">
        <f>IFERROR(IF((F1835-F1834)&gt;1,(LARGE(F1835:$F1835,1)-LARGE(F$1834:$F1835,2))-1,""),"")</f>
        <v/>
      </c>
    </row>
    <row r="1836" spans="1:7">
      <c r="A1836" s="78">
        <f>MAX(0,(CurrentDate-2)-F1847)</f>
        <v>1</v>
      </c>
      <c r="B1836">
        <v>18990</v>
      </c>
      <c r="C1836">
        <v>18990</v>
      </c>
      <c r="D1836">
        <v>1</v>
      </c>
      <c r="E1836">
        <v>2</v>
      </c>
      <c r="F1836" s="70">
        <v>44538</v>
      </c>
      <c r="G1836">
        <f>IFERROR(IF((F1836-F1835)&gt;1,(LARGE(F1836:$F1836,1)-LARGE(F$1834:$F1836,2))-1,""),"")</f>
        <v>1</v>
      </c>
    </row>
    <row r="1837" spans="1:7">
      <c r="A1837" s="79" t="s">
        <v>44026</v>
      </c>
      <c r="B1837">
        <v>18990</v>
      </c>
      <c r="C1837">
        <v>18990</v>
      </c>
      <c r="D1837">
        <v>2</v>
      </c>
      <c r="E1837">
        <v>3</v>
      </c>
      <c r="F1837" s="70">
        <v>44539</v>
      </c>
      <c r="G1837" t="str">
        <f>IFERROR(IF((F1837-F1836)&gt;1,(LARGE(F1837:$F1837,1)-LARGE(F$1834:$F1837,2))-1,""),"")</f>
        <v/>
      </c>
    </row>
    <row r="1838" spans="1:7">
      <c r="A1838" s="83">
        <f>SUM(G1841:G1847)</f>
        <v>2</v>
      </c>
      <c r="B1838">
        <v>18990</v>
      </c>
      <c r="C1838">
        <v>18990</v>
      </c>
      <c r="D1838">
        <v>2</v>
      </c>
      <c r="E1838">
        <v>6</v>
      </c>
      <c r="F1838" s="70">
        <v>44542</v>
      </c>
      <c r="G1838">
        <f>IFERROR(IF((F1838-F1837)&gt;1,(LARGE(F1838:$F1838,1)-LARGE(F$1834:$F1838,2))-1,""),"")</f>
        <v>2</v>
      </c>
    </row>
    <row r="1839" spans="1:7">
      <c r="A1839" s="79" t="s">
        <v>44029</v>
      </c>
      <c r="B1839">
        <v>18990</v>
      </c>
      <c r="C1839">
        <v>18990</v>
      </c>
      <c r="D1839">
        <v>1</v>
      </c>
      <c r="E1839">
        <v>1</v>
      </c>
      <c r="F1839" s="70">
        <v>44544</v>
      </c>
      <c r="G1839">
        <f>IFERROR(IF((F1839-F1838)&gt;1,(LARGE(F1839:$F1839,1)-LARGE(F$1834:$F1839,2))-1,""),"")</f>
        <v>1</v>
      </c>
    </row>
    <row r="1840" spans="1:7">
      <c r="A1840" s="77">
        <f>(SUM(E1834:E1847)/(A1836+14)+SUM(G1834:G1847))</f>
        <v>14.6</v>
      </c>
      <c r="B1840">
        <v>18990</v>
      </c>
      <c r="C1840">
        <v>18990</v>
      </c>
      <c r="D1840">
        <v>1</v>
      </c>
      <c r="E1840">
        <v>1</v>
      </c>
      <c r="F1840" s="70">
        <v>44545</v>
      </c>
      <c r="G1840" t="str">
        <f>IFERROR(IF((F1840-F1839)&gt;1,(LARGE(F1840:$F1840,1)-LARGE(F$1834:$F1840,2))-1,""),"")</f>
        <v/>
      </c>
    </row>
    <row r="1841" spans="1:7">
      <c r="A1841" s="77">
        <f>(SUM(E1841:E1847)/(A1836+7)+SUM(G1841:G1847))</f>
        <v>16.125</v>
      </c>
      <c r="B1841">
        <v>18990</v>
      </c>
      <c r="C1841">
        <v>18990</v>
      </c>
      <c r="D1841">
        <v>2</v>
      </c>
      <c r="E1841">
        <v>4</v>
      </c>
      <c r="F1841" s="70">
        <v>44547</v>
      </c>
      <c r="G1841">
        <f>IFERROR(IF((F1841-F1840)&gt;1,(LARGE(F1841:$F1841,1)-LARGE(F$1834:$F1841,2))-1,""),"")</f>
        <v>1</v>
      </c>
    </row>
    <row r="1842" spans="1:7">
      <c r="A1842" s="79" t="s">
        <v>44028</v>
      </c>
      <c r="B1842">
        <v>18990</v>
      </c>
      <c r="C1842">
        <v>18990</v>
      </c>
      <c r="D1842">
        <v>10</v>
      </c>
      <c r="E1842">
        <v>46</v>
      </c>
      <c r="F1842" s="70">
        <v>44548</v>
      </c>
      <c r="G1842" t="str">
        <f>IFERROR(IF((F1842-F1841)&gt;1,(LARGE(F1842:$F1842,1)-LARGE(F$1834:$F1842,2))-1,""),"")</f>
        <v/>
      </c>
    </row>
    <row r="1843" spans="1:7">
      <c r="A1843" s="77">
        <f>(SUM(D1844:D1847)/(A1836+4)+SUM(G1844:G1847))</f>
        <v>2.6</v>
      </c>
      <c r="B1843">
        <v>18990</v>
      </c>
      <c r="C1843">
        <v>18990</v>
      </c>
      <c r="D1843">
        <v>5</v>
      </c>
      <c r="E1843">
        <v>42</v>
      </c>
      <c r="F1843" s="70">
        <v>44549</v>
      </c>
      <c r="G1843" t="str">
        <f>IFERROR(IF((F1843-F1842)&gt;1,(LARGE(F1843:$F1843,1)-LARGE(F$1834:$F1843,2))-1,""),"")</f>
        <v/>
      </c>
    </row>
    <row r="1844" spans="1:7">
      <c r="A1844" s="85" t="s">
        <v>44027</v>
      </c>
      <c r="B1844">
        <v>18990</v>
      </c>
      <c r="C1844">
        <v>18990</v>
      </c>
      <c r="D1844">
        <v>3</v>
      </c>
      <c r="E1844">
        <v>4</v>
      </c>
      <c r="F1844" s="70">
        <v>44550</v>
      </c>
      <c r="G1844" t="str">
        <f>IFERROR(IF((F1844-F1843)&gt;1,(LARGE(F1844:$F1844,1)-LARGE(F$1834:$F1844,2))-1,""),"")</f>
        <v/>
      </c>
    </row>
    <row r="1845" spans="1:7">
      <c r="A1845" s="86">
        <f>IF(A1838+A1836&gt;10,"Look Up",AVERAGE(A1840,A1841))</f>
        <v>15.362500000000001</v>
      </c>
      <c r="B1845">
        <v>18990</v>
      </c>
      <c r="C1845">
        <v>18990</v>
      </c>
      <c r="D1845">
        <v>2</v>
      </c>
      <c r="E1845">
        <v>6</v>
      </c>
      <c r="F1845" s="70">
        <v>44551</v>
      </c>
      <c r="G1845" t="str">
        <f>IFERROR(IF((F1845-F1844)&gt;1,(LARGE(F1845:$F1845,1)-LARGE(F$1834:$F1845,2))-1,""),"")</f>
        <v/>
      </c>
    </row>
    <row r="1846" spans="1:7">
      <c r="A1846" s="85" t="s">
        <v>44030</v>
      </c>
      <c r="B1846">
        <v>18990</v>
      </c>
      <c r="C1846">
        <v>18990</v>
      </c>
      <c r="D1846">
        <v>2</v>
      </c>
      <c r="E1846">
        <v>7</v>
      </c>
      <c r="F1846" s="70">
        <v>44553</v>
      </c>
      <c r="G1846">
        <f>IFERROR(IF((F1846-F1845)&gt;1,(LARGE(F1846:$F1846,1)-LARGE(F$1834:$F1846,2))-1,""),"")</f>
        <v>1</v>
      </c>
    </row>
    <row r="1847" spans="1:7">
      <c r="A1847" s="88"/>
      <c r="B1847">
        <v>18990</v>
      </c>
      <c r="C1847">
        <v>18990</v>
      </c>
      <c r="D1847">
        <v>1</v>
      </c>
      <c r="E1847">
        <v>4</v>
      </c>
      <c r="F1847" s="70">
        <v>44554</v>
      </c>
      <c r="G1847" t="str">
        <f>IFERROR(IF((F1847-F1846)&gt;1,(LARGE(F1847:$F1847,1)-LARGE(F$1834:$F1847,2))-1,""),"")</f>
        <v/>
      </c>
    </row>
    <row r="1848" spans="1:7">
      <c r="A1848" s="65">
        <f>VLOOKUP(TradeSheet!A125,TypeIDs!B:C,2,FALSE)</f>
        <v>28999</v>
      </c>
      <c r="B1848" t="s">
        <v>43998</v>
      </c>
      <c r="C1848" t="s">
        <v>43999</v>
      </c>
      <c r="D1848" t="s">
        <v>44000</v>
      </c>
      <c r="E1848" t="s">
        <v>44001</v>
      </c>
      <c r="F1848" t="s">
        <v>44009</v>
      </c>
      <c r="G1848" t="s">
        <v>44008</v>
      </c>
    </row>
    <row r="1849" spans="1:7">
      <c r="A1849" s="65" t="str">
        <f>CONCATENATE(SwaggerURL,input124)</f>
        <v>https://esi.evetech.net/latest/markets/10000021/history/?datasource=tranquility&amp;type_id=28999</v>
      </c>
      <c r="B1849">
        <v>5000</v>
      </c>
      <c r="C1849">
        <v>5000</v>
      </c>
      <c r="D1849">
        <v>3</v>
      </c>
      <c r="E1849">
        <v>303</v>
      </c>
      <c r="F1849" s="70">
        <v>44540</v>
      </c>
      <c r="G1849" t="str">
        <f>IFERROR(IF((F1849-F1848)&gt;1,(LARGE(F1849:$F1849,1)-LARGE(F$1849:$F1849,2))-1,""),"")</f>
        <v/>
      </c>
    </row>
    <row r="1850" spans="1:7">
      <c r="A1850" s="79" t="s">
        <v>44018</v>
      </c>
      <c r="B1850">
        <v>10019.16</v>
      </c>
      <c r="C1850">
        <v>8999</v>
      </c>
      <c r="D1850">
        <v>5</v>
      </c>
      <c r="E1850">
        <v>19</v>
      </c>
      <c r="F1850" s="70">
        <v>44541</v>
      </c>
      <c r="G1850" t="str">
        <f>IFERROR(IF((F1850-F1849)&gt;1,(LARGE(F1850:$F1850,1)-LARGE(F$1849:$F1850,2))-1,""),"")</f>
        <v/>
      </c>
    </row>
    <row r="1851" spans="1:7">
      <c r="A1851" s="78">
        <f>MAX(0,(CurrentDate-2)-F1862)</f>
        <v>1</v>
      </c>
      <c r="B1851">
        <v>10491.54</v>
      </c>
      <c r="C1851">
        <v>10490</v>
      </c>
      <c r="D1851">
        <v>11</v>
      </c>
      <c r="E1851">
        <v>13</v>
      </c>
      <c r="F1851" s="70">
        <v>44542</v>
      </c>
      <c r="G1851" t="str">
        <f>IFERROR(IF((F1851-F1850)&gt;1,(LARGE(F1851:$F1851,1)-LARGE(F$1849:$F1851,2))-1,""),"")</f>
        <v/>
      </c>
    </row>
    <row r="1852" spans="1:7">
      <c r="A1852" s="79" t="s">
        <v>44026</v>
      </c>
      <c r="B1852">
        <v>10490</v>
      </c>
      <c r="C1852">
        <v>10490</v>
      </c>
      <c r="D1852">
        <v>2</v>
      </c>
      <c r="E1852">
        <v>4</v>
      </c>
      <c r="F1852" s="70">
        <v>44543</v>
      </c>
      <c r="G1852" t="str">
        <f>IFERROR(IF((F1852-F1851)&gt;1,(LARGE(F1852:$F1852,1)-LARGE(F$1849:$F1852,2))-1,""),"")</f>
        <v/>
      </c>
    </row>
    <row r="1853" spans="1:7">
      <c r="A1853" s="83">
        <f>SUM(G1856:G1862)</f>
        <v>1</v>
      </c>
      <c r="B1853">
        <v>10490</v>
      </c>
      <c r="C1853">
        <v>10490</v>
      </c>
      <c r="D1853">
        <v>13</v>
      </c>
      <c r="E1853">
        <v>18</v>
      </c>
      <c r="F1853" s="70">
        <v>44544</v>
      </c>
      <c r="G1853" t="str">
        <f>IFERROR(IF((F1853-F1852)&gt;1,(LARGE(F1853:$F1853,1)-LARGE(F$1849:$F1853,2))-1,""),"")</f>
        <v/>
      </c>
    </row>
    <row r="1854" spans="1:7">
      <c r="A1854" s="79" t="s">
        <v>44029</v>
      </c>
      <c r="B1854">
        <v>10350.52</v>
      </c>
      <c r="C1854">
        <v>6166</v>
      </c>
      <c r="D1854">
        <v>2</v>
      </c>
      <c r="E1854">
        <v>31</v>
      </c>
      <c r="F1854" s="70">
        <v>44545</v>
      </c>
      <c r="G1854" t="str">
        <f>IFERROR(IF((F1854-F1853)&gt;1,(LARGE(F1854:$F1854,1)-LARGE(F$1849:$F1854,2))-1,""),"")</f>
        <v/>
      </c>
    </row>
    <row r="1855" spans="1:7">
      <c r="A1855" s="77">
        <f>(SUM(E1849:E1862)/(A1851+14)+SUM(G1849:G1862))</f>
        <v>37.733333333333334</v>
      </c>
      <c r="B1855">
        <v>10510</v>
      </c>
      <c r="C1855">
        <v>10400</v>
      </c>
      <c r="D1855">
        <v>11</v>
      </c>
      <c r="E1855">
        <v>25</v>
      </c>
      <c r="F1855" s="70">
        <v>44546</v>
      </c>
      <c r="G1855" t="str">
        <f>IFERROR(IF((F1855-F1854)&gt;1,(LARGE(F1855:$F1855,1)-LARGE(F$1849:$F1855,2))-1,""),"")</f>
        <v/>
      </c>
    </row>
    <row r="1856" spans="1:7">
      <c r="A1856" s="77">
        <f>(SUM(E1856:E1862)/(A1851+7)+SUM(G1856:G1862))</f>
        <v>18.25</v>
      </c>
      <c r="B1856">
        <v>10395.56</v>
      </c>
      <c r="C1856">
        <v>10380</v>
      </c>
      <c r="D1856">
        <v>7</v>
      </c>
      <c r="E1856">
        <v>9</v>
      </c>
      <c r="F1856" s="70">
        <v>44547</v>
      </c>
      <c r="G1856" t="str">
        <f>IFERROR(IF((F1856-F1855)&gt;1,(LARGE(F1856:$F1856,1)-LARGE(F$1849:$F1856,2))-1,""),"")</f>
        <v/>
      </c>
    </row>
    <row r="1857" spans="1:7">
      <c r="A1857" s="79" t="s">
        <v>44028</v>
      </c>
      <c r="B1857">
        <v>10407.94</v>
      </c>
      <c r="C1857">
        <v>10400</v>
      </c>
      <c r="D1857">
        <v>18</v>
      </c>
      <c r="E1857">
        <v>34</v>
      </c>
      <c r="F1857" s="70">
        <v>44548</v>
      </c>
      <c r="G1857" t="str">
        <f>IFERROR(IF((F1857-F1856)&gt;1,(LARGE(F1857:$F1857,1)-LARGE(F$1849:$F1857,2))-1,""),"")</f>
        <v/>
      </c>
    </row>
    <row r="1858" spans="1:7">
      <c r="A1858" s="77">
        <f>(SUM(D1859:D1862)/(A1851+4)+SUM(G1859:G1862))</f>
        <v>4.5999999999999996</v>
      </c>
      <c r="B1858">
        <v>10400</v>
      </c>
      <c r="C1858">
        <v>10400</v>
      </c>
      <c r="D1858">
        <v>10</v>
      </c>
      <c r="E1858">
        <v>65</v>
      </c>
      <c r="F1858" s="70">
        <v>44549</v>
      </c>
      <c r="G1858" t="str">
        <f>IFERROR(IF((F1858-F1857)&gt;1,(LARGE(F1858:$F1858,1)-LARGE(F$1849:$F1858,2))-1,""),"")</f>
        <v/>
      </c>
    </row>
    <row r="1859" spans="1:7">
      <c r="A1859" s="85" t="s">
        <v>44027</v>
      </c>
      <c r="B1859">
        <v>10380</v>
      </c>
      <c r="C1859">
        <v>10350</v>
      </c>
      <c r="D1859">
        <v>4</v>
      </c>
      <c r="E1859">
        <v>5</v>
      </c>
      <c r="F1859" s="70">
        <v>44550</v>
      </c>
      <c r="G1859" t="str">
        <f>IFERROR(IF((F1859-F1858)&gt;1,(LARGE(F1859:$F1859,1)-LARGE(F$1849:$F1859,2))-1,""),"")</f>
        <v/>
      </c>
    </row>
    <row r="1860" spans="1:7">
      <c r="A1860" s="86">
        <f>IF(A1853+A1851&gt;10,"Look Up",AVERAGE(A1855,A1856))</f>
        <v>27.991666666666667</v>
      </c>
      <c r="B1860">
        <v>10400</v>
      </c>
      <c r="C1860">
        <v>10400</v>
      </c>
      <c r="D1860">
        <v>3</v>
      </c>
      <c r="E1860">
        <v>7</v>
      </c>
      <c r="F1860" s="70">
        <v>44551</v>
      </c>
      <c r="G1860" t="str">
        <f>IFERROR(IF((F1860-F1859)&gt;1,(LARGE(F1860:$F1860,1)-LARGE(F$1849:$F1860,2))-1,""),"")</f>
        <v/>
      </c>
    </row>
    <row r="1861" spans="1:7">
      <c r="A1861" s="85" t="s">
        <v>44030</v>
      </c>
      <c r="B1861">
        <v>10400</v>
      </c>
      <c r="C1861">
        <v>10400</v>
      </c>
      <c r="D1861">
        <v>3</v>
      </c>
      <c r="E1861">
        <v>6</v>
      </c>
      <c r="F1861" s="70">
        <v>44553</v>
      </c>
      <c r="G1861">
        <f>IFERROR(IF((F1861-F1860)&gt;1,(LARGE(F1861:$F1861,1)-LARGE(F$1849:$F1861,2))-1,""),"")</f>
        <v>1</v>
      </c>
    </row>
    <row r="1862" spans="1:7">
      <c r="A1862" s="88"/>
      <c r="B1862">
        <v>10400</v>
      </c>
      <c r="C1862">
        <v>10400</v>
      </c>
      <c r="D1862">
        <v>8</v>
      </c>
      <c r="E1862">
        <v>12</v>
      </c>
      <c r="F1862" s="70">
        <v>44554</v>
      </c>
      <c r="G1862" t="str">
        <f>IFERROR(IF((F1862-F1861)&gt;1,(LARGE(F1862:$F1862,1)-LARGE(F$1849:$F1862,2))-1,""),"")</f>
        <v/>
      </c>
    </row>
    <row r="1863" spans="1:7">
      <c r="A1863" s="65">
        <f>VLOOKUP(TradeSheet!A126,TypeIDs!B:C,2,FALSE)</f>
        <v>29011</v>
      </c>
      <c r="B1863" t="s">
        <v>43998</v>
      </c>
      <c r="C1863" t="s">
        <v>43999</v>
      </c>
      <c r="D1863" t="s">
        <v>44000</v>
      </c>
      <c r="E1863" t="s">
        <v>44001</v>
      </c>
      <c r="F1863" t="s">
        <v>44009</v>
      </c>
      <c r="G1863" t="s">
        <v>44008</v>
      </c>
    </row>
    <row r="1864" spans="1:7">
      <c r="A1864" s="65" t="str">
        <f>CONCATENATE(SwaggerURL,input125)</f>
        <v>https://esi.evetech.net/latest/markets/10000021/history/?datasource=tranquility&amp;type_id=29011</v>
      </c>
      <c r="B1864">
        <v>599984.21</v>
      </c>
      <c r="C1864">
        <v>599900</v>
      </c>
      <c r="D1864">
        <v>10</v>
      </c>
      <c r="E1864">
        <v>19</v>
      </c>
      <c r="F1864" s="70">
        <v>44540</v>
      </c>
      <c r="G1864" t="str">
        <f>IFERROR(IF((F1864-F1863)&gt;1,(LARGE(F1864:$F1864,1)-LARGE(F$1864:$F1864,2))-1,""),"")</f>
        <v/>
      </c>
    </row>
    <row r="1865" spans="1:7">
      <c r="A1865" s="79" t="s">
        <v>44018</v>
      </c>
      <c r="B1865">
        <v>599925</v>
      </c>
      <c r="C1865">
        <v>599900</v>
      </c>
      <c r="D1865">
        <v>4</v>
      </c>
      <c r="E1865">
        <v>4</v>
      </c>
      <c r="F1865" s="70">
        <v>44541</v>
      </c>
      <c r="G1865" t="str">
        <f>IFERROR(IF((F1865-F1864)&gt;1,(LARGE(F1865:$F1865,1)-LARGE(F$1864:$F1865,2))-1,""),"")</f>
        <v/>
      </c>
    </row>
    <row r="1866" spans="1:7">
      <c r="A1866" s="78">
        <f>MAX(0,(CurrentDate-2)-F1877)</f>
        <v>1</v>
      </c>
      <c r="B1866">
        <v>593528.56999999995</v>
      </c>
      <c r="C1866">
        <v>590000</v>
      </c>
      <c r="D1866">
        <v>5</v>
      </c>
      <c r="E1866">
        <v>7</v>
      </c>
      <c r="F1866" s="70">
        <v>44542</v>
      </c>
      <c r="G1866" t="str">
        <f>IFERROR(IF((F1866-F1865)&gt;1,(LARGE(F1866:$F1866,1)-LARGE(F$1864:$F1866,2))-1,""),"")</f>
        <v/>
      </c>
    </row>
    <row r="1867" spans="1:7">
      <c r="A1867" s="79" t="s">
        <v>44026</v>
      </c>
      <c r="B1867">
        <v>584910</v>
      </c>
      <c r="C1867">
        <v>584900</v>
      </c>
      <c r="D1867">
        <v>3</v>
      </c>
      <c r="E1867">
        <v>10</v>
      </c>
      <c r="F1867" s="70">
        <v>44543</v>
      </c>
      <c r="G1867" t="str">
        <f>IFERROR(IF((F1867-F1866)&gt;1,(LARGE(F1867:$F1867,1)-LARGE(F$1864:$F1867,2))-1,""),"")</f>
        <v/>
      </c>
    </row>
    <row r="1868" spans="1:7">
      <c r="A1868" s="83">
        <f>SUM(G1871:G1877)</f>
        <v>1</v>
      </c>
      <c r="B1868">
        <v>581633.32999999996</v>
      </c>
      <c r="C1868">
        <v>580000</v>
      </c>
      <c r="D1868">
        <v>5</v>
      </c>
      <c r="E1868">
        <v>6</v>
      </c>
      <c r="F1868" s="70">
        <v>44544</v>
      </c>
      <c r="G1868" t="str">
        <f>IFERROR(IF((F1868-F1867)&gt;1,(LARGE(F1868:$F1868,1)-LARGE(F$1864:$F1868,2))-1,""),"")</f>
        <v/>
      </c>
    </row>
    <row r="1869" spans="1:7">
      <c r="A1869" s="79" t="s">
        <v>44029</v>
      </c>
      <c r="B1869">
        <v>575833.32999999996</v>
      </c>
      <c r="C1869">
        <v>575000</v>
      </c>
      <c r="D1869">
        <v>4</v>
      </c>
      <c r="E1869">
        <v>6</v>
      </c>
      <c r="F1869" s="70">
        <v>44545</v>
      </c>
      <c r="G1869" t="str">
        <f>IFERROR(IF((F1869-F1868)&gt;1,(LARGE(F1869:$F1869,1)-LARGE(F$1864:$F1869,2))-1,""),"")</f>
        <v/>
      </c>
    </row>
    <row r="1870" spans="1:7">
      <c r="A1870" s="77">
        <f>(SUM(E1864:E1877)/(A1866+14)+SUM(G1864:G1877))</f>
        <v>17</v>
      </c>
      <c r="B1870">
        <v>574923.07999999996</v>
      </c>
      <c r="C1870">
        <v>574900</v>
      </c>
      <c r="D1870">
        <v>10</v>
      </c>
      <c r="E1870">
        <v>13</v>
      </c>
      <c r="F1870" s="70">
        <v>44546</v>
      </c>
      <c r="G1870" t="str">
        <f>IFERROR(IF((F1870-F1869)&gt;1,(LARGE(F1870:$F1870,1)-LARGE(F$1864:$F1870,2))-1,""),"")</f>
        <v/>
      </c>
    </row>
    <row r="1871" spans="1:7">
      <c r="A1871" s="77">
        <f>(SUM(E1871:E1877)/(A1866+7)+SUM(G1871:G1877))</f>
        <v>22.875</v>
      </c>
      <c r="B1871">
        <v>397121.43</v>
      </c>
      <c r="C1871">
        <v>15000</v>
      </c>
      <c r="D1871">
        <v>8</v>
      </c>
      <c r="E1871">
        <v>14</v>
      </c>
      <c r="F1871" s="70">
        <v>44547</v>
      </c>
      <c r="G1871" t="str">
        <f>IFERROR(IF((F1871-F1870)&gt;1,(LARGE(F1871:$F1871,1)-LARGE(F$1864:$F1871,2))-1,""),"")</f>
        <v/>
      </c>
    </row>
    <row r="1872" spans="1:7">
      <c r="A1872" s="79" t="s">
        <v>44028</v>
      </c>
      <c r="B1872">
        <v>42179.49</v>
      </c>
      <c r="C1872">
        <v>15000</v>
      </c>
      <c r="D1872">
        <v>17</v>
      </c>
      <c r="E1872">
        <v>39</v>
      </c>
      <c r="F1872" s="70">
        <v>44548</v>
      </c>
      <c r="G1872" t="str">
        <f>IFERROR(IF((F1872-F1871)&gt;1,(LARGE(F1872:$F1872,1)-LARGE(F$1864:$F1872,2))-1,""),"")</f>
        <v/>
      </c>
    </row>
    <row r="1873" spans="1:7">
      <c r="A1873" s="77">
        <f>(SUM(D1874:D1877)/(A1866+4)+SUM(G1874:G1877))</f>
        <v>5.8</v>
      </c>
      <c r="B1873">
        <v>15000</v>
      </c>
      <c r="C1873">
        <v>15000</v>
      </c>
      <c r="D1873">
        <v>11</v>
      </c>
      <c r="E1873">
        <v>33</v>
      </c>
      <c r="F1873" s="70">
        <v>44549</v>
      </c>
      <c r="G1873" t="str">
        <f>IFERROR(IF((F1873-F1872)&gt;1,(LARGE(F1873:$F1873,1)-LARGE(F$1864:$F1873,2))-1,""),"")</f>
        <v/>
      </c>
    </row>
    <row r="1874" spans="1:7">
      <c r="A1874" s="85" t="s">
        <v>44027</v>
      </c>
      <c r="B1874">
        <v>15000</v>
      </c>
      <c r="C1874">
        <v>15000</v>
      </c>
      <c r="D1874">
        <v>6</v>
      </c>
      <c r="E1874">
        <v>9</v>
      </c>
      <c r="F1874" s="70">
        <v>44550</v>
      </c>
      <c r="G1874" t="str">
        <f>IFERROR(IF((F1874-F1873)&gt;1,(LARGE(F1874:$F1874,1)-LARGE(F$1864:$F1874,2))-1,""),"")</f>
        <v/>
      </c>
    </row>
    <row r="1875" spans="1:7">
      <c r="A1875" s="86">
        <f>IF(A1868+A1866&gt;10,"Look Up",AVERAGE(A1870,A1871))</f>
        <v>19.9375</v>
      </c>
      <c r="B1875">
        <v>15000</v>
      </c>
      <c r="C1875">
        <v>15000</v>
      </c>
      <c r="D1875">
        <v>3</v>
      </c>
      <c r="E1875">
        <v>3</v>
      </c>
      <c r="F1875" s="70">
        <v>44551</v>
      </c>
      <c r="G1875" t="str">
        <f>IFERROR(IF((F1875-F1874)&gt;1,(LARGE(F1875:$F1875,1)-LARGE(F$1864:$F1875,2))-1,""),"")</f>
        <v/>
      </c>
    </row>
    <row r="1876" spans="1:7">
      <c r="A1876" s="85" t="s">
        <v>44030</v>
      </c>
      <c r="B1876">
        <v>33650.949999999997</v>
      </c>
      <c r="C1876">
        <v>15010</v>
      </c>
      <c r="D1876">
        <v>9</v>
      </c>
      <c r="E1876">
        <v>63</v>
      </c>
      <c r="F1876" s="70">
        <v>44553</v>
      </c>
      <c r="G1876">
        <f>IFERROR(IF((F1876-F1875)&gt;1,(LARGE(F1876:$F1876,1)-LARGE(F$1864:$F1876,2))-1,""),"")</f>
        <v>1</v>
      </c>
    </row>
    <row r="1877" spans="1:7">
      <c r="A1877" s="88"/>
      <c r="B1877">
        <v>15009.29</v>
      </c>
      <c r="C1877">
        <v>15000</v>
      </c>
      <c r="D1877">
        <v>6</v>
      </c>
      <c r="E1877">
        <v>14</v>
      </c>
      <c r="F1877" s="70">
        <v>44554</v>
      </c>
      <c r="G1877" t="str">
        <f>IFERROR(IF((F1877-F1876)&gt;1,(LARGE(F1877:$F1877,1)-LARGE(F$1864:$F1877,2))-1,""),"")</f>
        <v/>
      </c>
    </row>
    <row r="1878" spans="1:7">
      <c r="A1878" s="65">
        <f>VLOOKUP(TradeSheet!A127,TypeIDs!B:C,2,FALSE)</f>
        <v>29009</v>
      </c>
      <c r="B1878" t="s">
        <v>43998</v>
      </c>
      <c r="C1878" t="s">
        <v>43999</v>
      </c>
      <c r="D1878" t="s">
        <v>44000</v>
      </c>
      <c r="E1878" t="s">
        <v>44001</v>
      </c>
      <c r="F1878" t="s">
        <v>44009</v>
      </c>
      <c r="G1878" t="s">
        <v>44008</v>
      </c>
    </row>
    <row r="1879" spans="1:7">
      <c r="A1879" s="65" t="str">
        <f>CONCATENATE(SwaggerURL,input126)</f>
        <v>https://esi.evetech.net/latest/markets/10000021/history/?datasource=tranquility&amp;type_id=29009</v>
      </c>
      <c r="B1879">
        <v>8895.5</v>
      </c>
      <c r="C1879">
        <v>8882</v>
      </c>
      <c r="D1879">
        <v>4</v>
      </c>
      <c r="E1879">
        <v>4</v>
      </c>
      <c r="F1879" s="70">
        <v>44541</v>
      </c>
      <c r="G1879" t="str">
        <f>IFERROR(IF((F1879-F1878)&gt;1,(LARGE(F1879:$F1879,1)-LARGE(F$1879:$F1879,2))-1,""),"")</f>
        <v/>
      </c>
    </row>
    <row r="1880" spans="1:7">
      <c r="A1880" s="79" t="s">
        <v>44018</v>
      </c>
      <c r="B1880">
        <v>8891</v>
      </c>
      <c r="C1880">
        <v>8882</v>
      </c>
      <c r="D1880">
        <v>6</v>
      </c>
      <c r="E1880">
        <v>6</v>
      </c>
      <c r="F1880" s="70">
        <v>44542</v>
      </c>
      <c r="G1880" t="str">
        <f>IFERROR(IF((F1880-F1879)&gt;1,(LARGE(F1880:$F1880,1)-LARGE(F$1879:$F1880,2))-1,""),"")</f>
        <v/>
      </c>
    </row>
    <row r="1881" spans="1:7">
      <c r="A1881" s="78">
        <f>MAX(0,(CurrentDate-2)-F1892)</f>
        <v>1</v>
      </c>
      <c r="B1881">
        <v>8900</v>
      </c>
      <c r="C1881">
        <v>8900</v>
      </c>
      <c r="D1881">
        <v>2</v>
      </c>
      <c r="E1881">
        <v>2</v>
      </c>
      <c r="F1881" s="70">
        <v>44543</v>
      </c>
      <c r="G1881" t="str">
        <f>IFERROR(IF((F1881-F1880)&gt;1,(LARGE(F1881:$F1881,1)-LARGE(F$1879:$F1881,2))-1,""),"")</f>
        <v/>
      </c>
    </row>
    <row r="1882" spans="1:7">
      <c r="A1882" s="79" t="s">
        <v>44026</v>
      </c>
      <c r="B1882">
        <v>8900</v>
      </c>
      <c r="C1882">
        <v>8900</v>
      </c>
      <c r="D1882">
        <v>5</v>
      </c>
      <c r="E1882">
        <v>6</v>
      </c>
      <c r="F1882" s="70">
        <v>44544</v>
      </c>
      <c r="G1882" t="str">
        <f>IFERROR(IF((F1882-F1881)&gt;1,(LARGE(F1882:$F1882,1)-LARGE(F$1879:$F1882,2))-1,""),"")</f>
        <v/>
      </c>
    </row>
    <row r="1883" spans="1:7">
      <c r="A1883" s="83">
        <f>SUM(G1886:G1892)</f>
        <v>0</v>
      </c>
      <c r="B1883">
        <v>8900</v>
      </c>
      <c r="C1883">
        <v>8900</v>
      </c>
      <c r="D1883">
        <v>1</v>
      </c>
      <c r="E1883">
        <v>2</v>
      </c>
      <c r="F1883" s="70">
        <v>44545</v>
      </c>
      <c r="G1883" t="str">
        <f>IFERROR(IF((F1883-F1882)&gt;1,(LARGE(F1883:$F1883,1)-LARGE(F$1879:$F1883,2))-1,""),"")</f>
        <v/>
      </c>
    </row>
    <row r="1884" spans="1:7">
      <c r="A1884" s="79" t="s">
        <v>44029</v>
      </c>
      <c r="B1884">
        <v>8900</v>
      </c>
      <c r="C1884">
        <v>8900</v>
      </c>
      <c r="D1884">
        <v>11</v>
      </c>
      <c r="E1884">
        <v>19</v>
      </c>
      <c r="F1884" s="70">
        <v>44546</v>
      </c>
      <c r="G1884" t="str">
        <f>IFERROR(IF((F1884-F1883)&gt;1,(LARGE(F1884:$F1884,1)-LARGE(F$1879:$F1884,2))-1,""),"")</f>
        <v/>
      </c>
    </row>
    <row r="1885" spans="1:7">
      <c r="A1885" s="77">
        <f>(SUM(E1879:E1892)/(A1881+14)+SUM(G1879:G1892))</f>
        <v>8.9333333333333336</v>
      </c>
      <c r="B1885">
        <v>8920</v>
      </c>
      <c r="C1885">
        <v>8900</v>
      </c>
      <c r="D1885">
        <v>4</v>
      </c>
      <c r="E1885">
        <v>5</v>
      </c>
      <c r="F1885" s="70">
        <v>44547</v>
      </c>
      <c r="G1885" t="str">
        <f>IFERROR(IF((F1885-F1884)&gt;1,(LARGE(F1885:$F1885,1)-LARGE(F$1879:$F1885,2))-1,""),"")</f>
        <v/>
      </c>
    </row>
    <row r="1886" spans="1:7">
      <c r="A1886" s="77">
        <f>(SUM(E1886:E1892)/(A1881+7)+SUM(G1886:G1892))</f>
        <v>11.25</v>
      </c>
      <c r="B1886">
        <v>8899.9599999999991</v>
      </c>
      <c r="C1886">
        <v>8899</v>
      </c>
      <c r="D1886">
        <v>14</v>
      </c>
      <c r="E1886">
        <v>26</v>
      </c>
      <c r="F1886" s="70">
        <v>44548</v>
      </c>
      <c r="G1886" t="str">
        <f>IFERROR(IF((F1886-F1885)&gt;1,(LARGE(F1886:$F1886,1)-LARGE(F$1879:$F1886,2))-1,""),"")</f>
        <v/>
      </c>
    </row>
    <row r="1887" spans="1:7">
      <c r="A1887" s="79" t="s">
        <v>44028</v>
      </c>
      <c r="B1887">
        <v>8899.59</v>
      </c>
      <c r="C1887">
        <v>8899</v>
      </c>
      <c r="D1887">
        <v>9</v>
      </c>
      <c r="E1887">
        <v>27</v>
      </c>
      <c r="F1887" s="70">
        <v>44549</v>
      </c>
      <c r="G1887" t="str">
        <f>IFERROR(IF((F1887-F1886)&gt;1,(LARGE(F1887:$F1887,1)-LARGE(F$1879:$F1887,2))-1,""),"")</f>
        <v/>
      </c>
    </row>
    <row r="1888" spans="1:7">
      <c r="A1888" s="77">
        <f>(SUM(D1889:D1892)/(A1881+4)+SUM(G1889:G1892))</f>
        <v>2.6</v>
      </c>
      <c r="B1888">
        <v>8900</v>
      </c>
      <c r="C1888">
        <v>8900</v>
      </c>
      <c r="D1888">
        <v>6</v>
      </c>
      <c r="E1888">
        <v>9</v>
      </c>
      <c r="F1888" s="70">
        <v>44550</v>
      </c>
      <c r="G1888" t="str">
        <f>IFERROR(IF((F1888-F1887)&gt;1,(LARGE(F1888:$F1888,1)-LARGE(F$1879:$F1888,2))-1,""),"")</f>
        <v/>
      </c>
    </row>
    <row r="1889" spans="1:7">
      <c r="A1889" s="85" t="s">
        <v>44027</v>
      </c>
      <c r="B1889">
        <v>8900</v>
      </c>
      <c r="C1889">
        <v>8900</v>
      </c>
      <c r="D1889">
        <v>2</v>
      </c>
      <c r="E1889">
        <v>2</v>
      </c>
      <c r="F1889" s="70">
        <v>44551</v>
      </c>
      <c r="G1889" t="str">
        <f>IFERROR(IF((F1889-F1888)&gt;1,(LARGE(F1889:$F1889,1)-LARGE(F$1879:$F1889,2))-1,""),"")</f>
        <v/>
      </c>
    </row>
    <row r="1890" spans="1:7">
      <c r="A1890" s="86">
        <f>IF(A1883+A1881&gt;10,"Look Up",AVERAGE(A1885,A1886))</f>
        <v>10.091666666666667</v>
      </c>
      <c r="B1890">
        <v>8900</v>
      </c>
      <c r="C1890">
        <v>8900</v>
      </c>
      <c r="D1890">
        <v>1</v>
      </c>
      <c r="E1890">
        <v>1</v>
      </c>
      <c r="F1890" s="70">
        <v>44552</v>
      </c>
      <c r="G1890" t="str">
        <f>IFERROR(IF((F1890-F1889)&gt;1,(LARGE(F1890:$F1890,1)-LARGE(F$1879:$F1890,2))-1,""),"")</f>
        <v/>
      </c>
    </row>
    <row r="1891" spans="1:7">
      <c r="A1891" s="85" t="s">
        <v>44030</v>
      </c>
      <c r="B1891">
        <v>8900</v>
      </c>
      <c r="C1891">
        <v>8900</v>
      </c>
      <c r="D1891">
        <v>4</v>
      </c>
      <c r="E1891">
        <v>14</v>
      </c>
      <c r="F1891" s="70">
        <v>44553</v>
      </c>
      <c r="G1891" t="str">
        <f>IFERROR(IF((F1891-F1890)&gt;1,(LARGE(F1891:$F1891,1)-LARGE(F$1879:$F1891,2))-1,""),"")</f>
        <v/>
      </c>
    </row>
    <row r="1892" spans="1:7">
      <c r="A1892" s="88"/>
      <c r="B1892">
        <v>8536.36</v>
      </c>
      <c r="C1892">
        <v>8500</v>
      </c>
      <c r="D1892">
        <v>6</v>
      </c>
      <c r="E1892">
        <v>11</v>
      </c>
      <c r="F1892" s="70">
        <v>44554</v>
      </c>
      <c r="G1892" t="str">
        <f>IFERROR(IF((F1892-F1891)&gt;1,(LARGE(F1892:$F1892,1)-LARGE(F$1879:$F1892,2))-1,""),"")</f>
        <v/>
      </c>
    </row>
    <row r="1893" spans="1:7">
      <c r="A1893" s="65">
        <f>VLOOKUP(TradeSheet!A128,TypeIDs!B:C,2,FALSE)</f>
        <v>29007</v>
      </c>
      <c r="B1893" t="s">
        <v>43998</v>
      </c>
      <c r="C1893" t="s">
        <v>43999</v>
      </c>
      <c r="D1893" t="s">
        <v>44000</v>
      </c>
      <c r="E1893" t="s">
        <v>44001</v>
      </c>
      <c r="F1893" t="s">
        <v>44009</v>
      </c>
      <c r="G1893" t="s">
        <v>44008</v>
      </c>
    </row>
    <row r="1894" spans="1:7">
      <c r="A1894" s="65" t="str">
        <f>CONCATENATE(SwaggerURL,input127)</f>
        <v>https://esi.evetech.net/latest/markets/10000021/history/?datasource=tranquility&amp;type_id=29007</v>
      </c>
      <c r="B1894">
        <v>19000</v>
      </c>
      <c r="C1894">
        <v>19000</v>
      </c>
      <c r="D1894">
        <v>2</v>
      </c>
      <c r="E1894">
        <v>2</v>
      </c>
      <c r="F1894" s="70">
        <v>44535</v>
      </c>
      <c r="G1894" t="str">
        <f>IFERROR(IF((F1894-F1893)&gt;1,(LARGE(F1894:$F1894,1)-LARGE(F$1894:$F1894,2))-1,""),"")</f>
        <v/>
      </c>
    </row>
    <row r="1895" spans="1:7">
      <c r="A1895" s="79" t="s">
        <v>44018</v>
      </c>
      <c r="B1895">
        <v>18980</v>
      </c>
      <c r="C1895">
        <v>18980</v>
      </c>
      <c r="D1895">
        <v>1</v>
      </c>
      <c r="E1895">
        <v>1</v>
      </c>
      <c r="F1895" s="70">
        <v>44536</v>
      </c>
      <c r="G1895" t="str">
        <f>IFERROR(IF((F1895-F1894)&gt;1,(LARGE(F1895:$F1895,1)-LARGE(F$1894:$F1895,2))-1,""),"")</f>
        <v/>
      </c>
    </row>
    <row r="1896" spans="1:7">
      <c r="A1896" s="78">
        <f>MAX(0,(CurrentDate-2)-F1907)</f>
        <v>1</v>
      </c>
      <c r="B1896">
        <v>19000</v>
      </c>
      <c r="C1896">
        <v>19000</v>
      </c>
      <c r="D1896">
        <v>2</v>
      </c>
      <c r="E1896">
        <v>4</v>
      </c>
      <c r="F1896" s="70">
        <v>44538</v>
      </c>
      <c r="G1896">
        <f>IFERROR(IF((F1896-F1895)&gt;1,(LARGE(F1896:$F1896,1)-LARGE(F$1894:$F1896,2))-1,""),"")</f>
        <v>1</v>
      </c>
    </row>
    <row r="1897" spans="1:7">
      <c r="A1897" s="79" t="s">
        <v>44026</v>
      </c>
      <c r="B1897">
        <v>18996.669999999998</v>
      </c>
      <c r="C1897">
        <v>18990</v>
      </c>
      <c r="D1897">
        <v>3</v>
      </c>
      <c r="E1897">
        <v>3</v>
      </c>
      <c r="F1897" s="70">
        <v>44539</v>
      </c>
      <c r="G1897" t="str">
        <f>IFERROR(IF((F1897-F1896)&gt;1,(LARGE(F1897:$F1897,1)-LARGE(F$1894:$F1897,2))-1,""),"")</f>
        <v/>
      </c>
    </row>
    <row r="1898" spans="1:7">
      <c r="A1898" s="83">
        <f>SUM(G1901:G1907)</f>
        <v>2</v>
      </c>
      <c r="B1898">
        <v>19000</v>
      </c>
      <c r="C1898">
        <v>19000</v>
      </c>
      <c r="D1898">
        <v>1</v>
      </c>
      <c r="E1898">
        <v>1</v>
      </c>
      <c r="F1898" s="70">
        <v>44540</v>
      </c>
      <c r="G1898" t="str">
        <f>IFERROR(IF((F1898-F1897)&gt;1,(LARGE(F1898:$F1898,1)-LARGE(F$1894:$F1898,2))-1,""),"")</f>
        <v/>
      </c>
    </row>
    <row r="1899" spans="1:7">
      <c r="A1899" s="79" t="s">
        <v>44029</v>
      </c>
      <c r="B1899">
        <v>19000</v>
      </c>
      <c r="C1899">
        <v>19000</v>
      </c>
      <c r="D1899">
        <v>1</v>
      </c>
      <c r="E1899">
        <v>1</v>
      </c>
      <c r="F1899" s="70">
        <v>44544</v>
      </c>
      <c r="G1899">
        <f>IFERROR(IF((F1899-F1898)&gt;1,(LARGE(F1899:$F1899,1)-LARGE(F$1894:$F1899,2))-1,""),"")</f>
        <v>3</v>
      </c>
    </row>
    <row r="1900" spans="1:7">
      <c r="A1900" s="77">
        <f>(SUM(E1894:E1907)/(A1896+14)+SUM(G1894:G1907))</f>
        <v>14</v>
      </c>
      <c r="B1900">
        <v>19000</v>
      </c>
      <c r="C1900">
        <v>19000</v>
      </c>
      <c r="D1900">
        <v>1</v>
      </c>
      <c r="E1900">
        <v>1</v>
      </c>
      <c r="F1900" s="70">
        <v>44545</v>
      </c>
      <c r="G1900" t="str">
        <f>IFERROR(IF((F1900-F1899)&gt;1,(LARGE(F1900:$F1900,1)-LARGE(F$1894:$F1900,2))-1,""),"")</f>
        <v/>
      </c>
    </row>
    <row r="1901" spans="1:7">
      <c r="A1901" s="77">
        <f>(SUM(E1901:E1907)/(A1896+7)+SUM(G1901:G1907))</f>
        <v>15.375</v>
      </c>
      <c r="B1901">
        <v>19000</v>
      </c>
      <c r="C1901">
        <v>19000</v>
      </c>
      <c r="D1901">
        <v>3</v>
      </c>
      <c r="E1901">
        <v>6</v>
      </c>
      <c r="F1901" s="70">
        <v>44547</v>
      </c>
      <c r="G1901">
        <f>IFERROR(IF((F1901-F1900)&gt;1,(LARGE(F1901:$F1901,1)-LARGE(F$1894:$F1901,2))-1,""),"")</f>
        <v>1</v>
      </c>
    </row>
    <row r="1902" spans="1:7">
      <c r="A1902" s="79" t="s">
        <v>44028</v>
      </c>
      <c r="B1902">
        <v>19957.45</v>
      </c>
      <c r="C1902">
        <v>19000</v>
      </c>
      <c r="D1902">
        <v>10</v>
      </c>
      <c r="E1902">
        <v>47</v>
      </c>
      <c r="F1902" s="70">
        <v>44548</v>
      </c>
      <c r="G1902" t="str">
        <f>IFERROR(IF((F1902-F1901)&gt;1,(LARGE(F1902:$F1902,1)-LARGE(F$1894:$F1902,2))-1,""),"")</f>
        <v/>
      </c>
    </row>
    <row r="1903" spans="1:7">
      <c r="A1903" s="77">
        <f>(SUM(D1904:D1907)/(A1896+4)+SUM(G1904:G1907))</f>
        <v>2.4</v>
      </c>
      <c r="B1903">
        <v>20000</v>
      </c>
      <c r="C1903">
        <v>20000</v>
      </c>
      <c r="D1903">
        <v>5</v>
      </c>
      <c r="E1903">
        <v>42</v>
      </c>
      <c r="F1903" s="70">
        <v>44549</v>
      </c>
      <c r="G1903" t="str">
        <f>IFERROR(IF((F1903-F1902)&gt;1,(LARGE(F1903:$F1903,1)-LARGE(F$1894:$F1903,2))-1,""),"")</f>
        <v/>
      </c>
    </row>
    <row r="1904" spans="1:7">
      <c r="A1904" s="85" t="s">
        <v>44027</v>
      </c>
      <c r="B1904">
        <v>20000</v>
      </c>
      <c r="C1904">
        <v>20000</v>
      </c>
      <c r="D1904">
        <v>2</v>
      </c>
      <c r="E1904">
        <v>2</v>
      </c>
      <c r="F1904" s="70">
        <v>44550</v>
      </c>
      <c r="G1904" t="str">
        <f>IFERROR(IF((F1904-F1903)&gt;1,(LARGE(F1904:$F1904,1)-LARGE(F$1894:$F1904,2))-1,""),"")</f>
        <v/>
      </c>
    </row>
    <row r="1905" spans="1:7">
      <c r="A1905" s="86">
        <f>IF(A1898+A1896&gt;10,"Look Up",AVERAGE(A1900,A1901))</f>
        <v>14.6875</v>
      </c>
      <c r="B1905">
        <v>20000</v>
      </c>
      <c r="C1905">
        <v>20000</v>
      </c>
      <c r="D1905">
        <v>1</v>
      </c>
      <c r="E1905">
        <v>1</v>
      </c>
      <c r="F1905" s="70">
        <v>44551</v>
      </c>
      <c r="G1905" t="str">
        <f>IFERROR(IF((F1905-F1904)&gt;1,(LARGE(F1905:$F1905,1)-LARGE(F$1894:$F1905,2))-1,""),"")</f>
        <v/>
      </c>
    </row>
    <row r="1906" spans="1:7">
      <c r="A1906" s="85" t="s">
        <v>44030</v>
      </c>
      <c r="B1906">
        <v>20000</v>
      </c>
      <c r="C1906">
        <v>20000</v>
      </c>
      <c r="D1906">
        <v>2</v>
      </c>
      <c r="E1906">
        <v>5</v>
      </c>
      <c r="F1906" s="70">
        <v>44553</v>
      </c>
      <c r="G1906">
        <f>IFERROR(IF((F1906-F1905)&gt;1,(LARGE(F1906:$F1906,1)-LARGE(F$1894:$F1906,2))-1,""),"")</f>
        <v>1</v>
      </c>
    </row>
    <row r="1907" spans="1:7">
      <c r="A1907" s="88"/>
      <c r="B1907">
        <v>20000</v>
      </c>
      <c r="C1907">
        <v>20000</v>
      </c>
      <c r="D1907">
        <v>2</v>
      </c>
      <c r="E1907">
        <v>4</v>
      </c>
      <c r="F1907" s="70">
        <v>44554</v>
      </c>
      <c r="G1907" t="str">
        <f>IFERROR(IF((F1907-F1906)&gt;1,(LARGE(F1907:$F1907,1)-LARGE(F$1894:$F1907,2))-1,""),"")</f>
        <v/>
      </c>
    </row>
    <row r="1908" spans="1:7">
      <c r="A1908" s="65">
        <f>VLOOKUP(TradeSheet!A129,TypeIDs!B:C,2,FALSE)</f>
        <v>29001</v>
      </c>
      <c r="B1908" t="s">
        <v>43998</v>
      </c>
      <c r="C1908" t="s">
        <v>43999</v>
      </c>
      <c r="D1908" t="s">
        <v>44000</v>
      </c>
      <c r="E1908" t="s">
        <v>44001</v>
      </c>
      <c r="F1908" t="s">
        <v>44009</v>
      </c>
      <c r="G1908" t="s">
        <v>44008</v>
      </c>
    </row>
    <row r="1909" spans="1:7">
      <c r="A1909" s="65" t="str">
        <f>CONCATENATE(SwaggerURL,input128)</f>
        <v>https://esi.evetech.net/latest/markets/10000021/history/?datasource=tranquility&amp;type_id=29001</v>
      </c>
      <c r="B1909">
        <v>1750</v>
      </c>
      <c r="C1909">
        <v>1750</v>
      </c>
      <c r="D1909">
        <v>7</v>
      </c>
      <c r="E1909">
        <v>22</v>
      </c>
      <c r="F1909" s="70">
        <v>44541</v>
      </c>
      <c r="G1909" t="str">
        <f>IFERROR(IF((F1909-F1908)&gt;1,(LARGE(F1909:$F1909,1)-LARGE(F$1909:$F1909,2))-1,""),"")</f>
        <v/>
      </c>
    </row>
    <row r="1910" spans="1:7">
      <c r="A1910" s="79" t="s">
        <v>44018</v>
      </c>
      <c r="B1910">
        <v>1826.77</v>
      </c>
      <c r="C1910">
        <v>1750</v>
      </c>
      <c r="D1910">
        <v>12</v>
      </c>
      <c r="E1910">
        <v>13</v>
      </c>
      <c r="F1910" s="70">
        <v>44542</v>
      </c>
      <c r="G1910" t="str">
        <f>IFERROR(IF((F1910-F1909)&gt;1,(LARGE(F1910:$F1910,1)-LARGE(F$1909:$F1910,2))-1,""),"")</f>
        <v/>
      </c>
    </row>
    <row r="1911" spans="1:7">
      <c r="A1911" s="78">
        <f>MAX(0,(CurrentDate-2)-F1922)</f>
        <v>1</v>
      </c>
      <c r="B1911">
        <v>1750</v>
      </c>
      <c r="C1911">
        <v>1750</v>
      </c>
      <c r="D1911">
        <v>1</v>
      </c>
      <c r="E1911">
        <v>1</v>
      </c>
      <c r="F1911" s="70">
        <v>44543</v>
      </c>
      <c r="G1911" t="str">
        <f>IFERROR(IF((F1911-F1910)&gt;1,(LARGE(F1911:$F1911,1)-LARGE(F$1909:$F1911,2))-1,""),"")</f>
        <v/>
      </c>
    </row>
    <row r="1912" spans="1:7">
      <c r="A1912" s="79" t="s">
        <v>44026</v>
      </c>
      <c r="B1912">
        <v>1750</v>
      </c>
      <c r="C1912">
        <v>1750</v>
      </c>
      <c r="D1912">
        <v>13</v>
      </c>
      <c r="E1912">
        <v>20</v>
      </c>
      <c r="F1912" s="70">
        <v>44544</v>
      </c>
      <c r="G1912" t="str">
        <f>IFERROR(IF((F1912-F1911)&gt;1,(LARGE(F1912:$F1912,1)-LARGE(F$1909:$F1912,2))-1,""),"")</f>
        <v/>
      </c>
    </row>
    <row r="1913" spans="1:7">
      <c r="A1913" s="83">
        <f>SUM(G1916:G1922)</f>
        <v>0</v>
      </c>
      <c r="B1913">
        <v>1750</v>
      </c>
      <c r="C1913">
        <v>1750</v>
      </c>
      <c r="D1913">
        <v>3</v>
      </c>
      <c r="E1913">
        <v>32</v>
      </c>
      <c r="F1913" s="70">
        <v>44545</v>
      </c>
      <c r="G1913" t="str">
        <f>IFERROR(IF((F1913-F1912)&gt;1,(LARGE(F1913:$F1913,1)-LARGE(F$1909:$F1913,2))-1,""),"")</f>
        <v/>
      </c>
    </row>
    <row r="1914" spans="1:7">
      <c r="A1914" s="79" t="s">
        <v>44029</v>
      </c>
      <c r="B1914">
        <v>1745</v>
      </c>
      <c r="C1914">
        <v>1745</v>
      </c>
      <c r="D1914">
        <v>10</v>
      </c>
      <c r="E1914">
        <v>25</v>
      </c>
      <c r="F1914" s="70">
        <v>44546</v>
      </c>
      <c r="G1914" t="str">
        <f>IFERROR(IF((F1914-F1913)&gt;1,(LARGE(F1914:$F1914,1)-LARGE(F$1909:$F1914,2))-1,""),"")</f>
        <v/>
      </c>
    </row>
    <row r="1915" spans="1:7">
      <c r="A1915" s="77">
        <f>(SUM(E1909:E1922)/(A1911+14)+SUM(G1909:G1922))</f>
        <v>15.466666666666667</v>
      </c>
      <c r="B1915">
        <v>1745</v>
      </c>
      <c r="C1915">
        <v>1745</v>
      </c>
      <c r="D1915">
        <v>9</v>
      </c>
      <c r="E1915">
        <v>14</v>
      </c>
      <c r="F1915" s="70">
        <v>44547</v>
      </c>
      <c r="G1915" t="str">
        <f>IFERROR(IF((F1915-F1914)&gt;1,(LARGE(F1915:$F1915,1)-LARGE(F$1909:$F1915,2))-1,""),"")</f>
        <v/>
      </c>
    </row>
    <row r="1916" spans="1:7">
      <c r="A1916" s="77">
        <f>(SUM(E1916:E1922)/(A1911+7)+SUM(G1916:G1922))</f>
        <v>13.125</v>
      </c>
      <c r="B1916">
        <v>1745</v>
      </c>
      <c r="C1916">
        <v>1745</v>
      </c>
      <c r="D1916">
        <v>13</v>
      </c>
      <c r="E1916">
        <v>25</v>
      </c>
      <c r="F1916" s="70">
        <v>44548</v>
      </c>
      <c r="G1916" t="str">
        <f>IFERROR(IF((F1916-F1915)&gt;1,(LARGE(F1916:$F1916,1)-LARGE(F$1909:$F1916,2))-1,""),"")</f>
        <v/>
      </c>
    </row>
    <row r="1917" spans="1:7">
      <c r="A1917" s="79" t="s">
        <v>44028</v>
      </c>
      <c r="B1917">
        <v>1745</v>
      </c>
      <c r="C1917">
        <v>1745</v>
      </c>
      <c r="D1917">
        <v>11</v>
      </c>
      <c r="E1917">
        <v>46</v>
      </c>
      <c r="F1917" s="70">
        <v>44549</v>
      </c>
      <c r="G1917" t="str">
        <f>IFERROR(IF((F1917-F1916)&gt;1,(LARGE(F1917:$F1917,1)-LARGE(F$1909:$F1917,2))-1,""),"")</f>
        <v/>
      </c>
    </row>
    <row r="1918" spans="1:7">
      <c r="A1918" s="77">
        <f>(SUM(D1919:D1922)/(A1911+4)+SUM(G1919:G1922))</f>
        <v>4</v>
      </c>
      <c r="B1918">
        <v>1736</v>
      </c>
      <c r="C1918">
        <v>1700</v>
      </c>
      <c r="D1918">
        <v>7</v>
      </c>
      <c r="E1918">
        <v>10</v>
      </c>
      <c r="F1918" s="70">
        <v>44550</v>
      </c>
      <c r="G1918" t="str">
        <f>IFERROR(IF((F1918-F1917)&gt;1,(LARGE(F1918:$F1918,1)-LARGE(F$1909:$F1918,2))-1,""),"")</f>
        <v/>
      </c>
    </row>
    <row r="1919" spans="1:7">
      <c r="A1919" s="85" t="s">
        <v>44027</v>
      </c>
      <c r="B1919">
        <v>1745</v>
      </c>
      <c r="C1919">
        <v>1745</v>
      </c>
      <c r="D1919">
        <v>5</v>
      </c>
      <c r="E1919">
        <v>5</v>
      </c>
      <c r="F1919" s="70">
        <v>44551</v>
      </c>
      <c r="G1919" t="str">
        <f>IFERROR(IF((F1919-F1918)&gt;1,(LARGE(F1919:$F1919,1)-LARGE(F$1909:$F1919,2))-1,""),"")</f>
        <v/>
      </c>
    </row>
    <row r="1920" spans="1:7">
      <c r="A1920" s="86">
        <f>IF(A1913+A1911&gt;10,"Look Up",AVERAGE(A1915,A1916))</f>
        <v>14.295833333333334</v>
      </c>
      <c r="B1920">
        <v>1745</v>
      </c>
      <c r="C1920">
        <v>1745</v>
      </c>
      <c r="D1920">
        <v>1</v>
      </c>
      <c r="E1920">
        <v>1</v>
      </c>
      <c r="F1920" s="70">
        <v>44552</v>
      </c>
      <c r="G1920" t="str">
        <f>IFERROR(IF((F1920-F1919)&gt;1,(LARGE(F1920:$F1920,1)-LARGE(F$1909:$F1920,2))-1,""),"")</f>
        <v/>
      </c>
    </row>
    <row r="1921" spans="1:7">
      <c r="A1921" s="85" t="s">
        <v>44030</v>
      </c>
      <c r="B1921">
        <v>1746</v>
      </c>
      <c r="C1921">
        <v>1745</v>
      </c>
      <c r="D1921">
        <v>4</v>
      </c>
      <c r="E1921">
        <v>5</v>
      </c>
      <c r="F1921" s="70">
        <v>44553</v>
      </c>
      <c r="G1921" t="str">
        <f>IFERROR(IF((F1921-F1920)&gt;1,(LARGE(F1921:$F1921,1)-LARGE(F$1909:$F1921,2))-1,""),"")</f>
        <v/>
      </c>
    </row>
    <row r="1922" spans="1:7">
      <c r="A1922" s="88"/>
      <c r="B1922">
        <v>1745</v>
      </c>
      <c r="C1922">
        <v>1745</v>
      </c>
      <c r="D1922">
        <v>10</v>
      </c>
      <c r="E1922">
        <v>13</v>
      </c>
      <c r="F1922" s="70">
        <v>44554</v>
      </c>
      <c r="G1922" t="str">
        <f>IFERROR(IF((F1922-F1921)&gt;1,(LARGE(F1922:$F1922,1)-LARGE(F$1909:$F1922,2))-1,""),"")</f>
        <v/>
      </c>
    </row>
    <row r="1923" spans="1:7">
      <c r="A1923" s="65">
        <f>VLOOKUP(TradeSheet!A130,TypeIDs!B:C,2,FALSE)</f>
        <v>33681</v>
      </c>
      <c r="B1923" t="s">
        <v>43998</v>
      </c>
      <c r="C1923" t="s">
        <v>43999</v>
      </c>
      <c r="D1923" t="s">
        <v>44000</v>
      </c>
      <c r="E1923" t="s">
        <v>44001</v>
      </c>
      <c r="F1923" t="s">
        <v>44009</v>
      </c>
      <c r="G1923" t="s">
        <v>44008</v>
      </c>
    </row>
    <row r="1924" spans="1:7">
      <c r="A1924" s="65" t="str">
        <f>CONCATENATE(SwaggerURL,input129)</f>
        <v>https://esi.evetech.net/latest/markets/10000021/history/?datasource=tranquility&amp;type_id=33681</v>
      </c>
      <c r="B1924">
        <v>104500000</v>
      </c>
      <c r="C1924">
        <v>104500000</v>
      </c>
      <c r="D1924">
        <v>1</v>
      </c>
      <c r="E1924">
        <v>1</v>
      </c>
      <c r="F1924" s="70">
        <v>44505</v>
      </c>
      <c r="G1924" t="str">
        <f>IFERROR(IF((F1924-F1923)&gt;1,(LARGE(F1924:$F1924,1)-LARGE(F$1924:$F1924,2))-1,""),"")</f>
        <v/>
      </c>
    </row>
    <row r="1925" spans="1:7">
      <c r="A1925" s="79" t="s">
        <v>44018</v>
      </c>
      <c r="B1925">
        <v>104000000</v>
      </c>
      <c r="C1925">
        <v>103500000</v>
      </c>
      <c r="D1925">
        <v>2</v>
      </c>
      <c r="E1925">
        <v>2</v>
      </c>
      <c r="F1925" s="70">
        <v>44512</v>
      </c>
      <c r="G1925">
        <f>IFERROR(IF((F1925-F1924)&gt;1,(LARGE(F1925:$F1925,1)-LARGE(F$1924:$F1925,2))-1,""),"")</f>
        <v>6</v>
      </c>
    </row>
    <row r="1926" spans="1:7">
      <c r="A1926" s="78">
        <f>MAX(0,(CurrentDate-2)-F1937)</f>
        <v>1</v>
      </c>
      <c r="B1926">
        <v>104500000</v>
      </c>
      <c r="C1926">
        <v>104500000</v>
      </c>
      <c r="D1926">
        <v>1</v>
      </c>
      <c r="E1926">
        <v>2</v>
      </c>
      <c r="F1926" s="70">
        <v>44514</v>
      </c>
      <c r="G1926">
        <f>IFERROR(IF((F1926-F1925)&gt;1,(LARGE(F1926:$F1926,1)-LARGE(F$1924:$F1926,2))-1,""),"")</f>
        <v>1</v>
      </c>
    </row>
    <row r="1927" spans="1:7">
      <c r="A1927" s="79" t="s">
        <v>44026</v>
      </c>
      <c r="B1927">
        <v>104500000</v>
      </c>
      <c r="C1927">
        <v>104500000</v>
      </c>
      <c r="D1927">
        <v>1</v>
      </c>
      <c r="E1927">
        <v>2</v>
      </c>
      <c r="F1927" s="70">
        <v>44517</v>
      </c>
      <c r="G1927">
        <f>IFERROR(IF((F1927-F1926)&gt;1,(LARGE(F1927:$F1927,1)-LARGE(F$1924:$F1927,2))-1,""),"")</f>
        <v>2</v>
      </c>
    </row>
    <row r="1928" spans="1:7">
      <c r="A1928" s="83">
        <f>SUM(G1931:G1937)</f>
        <v>11</v>
      </c>
      <c r="B1928">
        <v>104500000</v>
      </c>
      <c r="C1928">
        <v>104500000</v>
      </c>
      <c r="D1928">
        <v>1</v>
      </c>
      <c r="E1928">
        <v>2</v>
      </c>
      <c r="F1928" s="70">
        <v>44518</v>
      </c>
      <c r="G1928" t="str">
        <f>IFERROR(IF((F1928-F1927)&gt;1,(LARGE(F1928:$F1928,1)-LARGE(F$1924:$F1928,2))-1,""),"")</f>
        <v/>
      </c>
    </row>
    <row r="1929" spans="1:7">
      <c r="A1929" s="79" t="s">
        <v>44029</v>
      </c>
      <c r="B1929">
        <v>120000000</v>
      </c>
      <c r="C1929">
        <v>120000000</v>
      </c>
      <c r="D1929">
        <v>2</v>
      </c>
      <c r="E1929">
        <v>2</v>
      </c>
      <c r="F1929" s="70">
        <v>44526</v>
      </c>
      <c r="G1929">
        <f>IFERROR(IF((F1929-F1928)&gt;1,(LARGE(F1929:$F1929,1)-LARGE(F$1924:$F1929,2))-1,""),"")</f>
        <v>7</v>
      </c>
    </row>
    <row r="1930" spans="1:7">
      <c r="A1930" s="77">
        <f>(SUM(E1924:E1937)/(A1926+14)+SUM(G1924:G1937))</f>
        <v>37.466666666666669</v>
      </c>
      <c r="B1930">
        <v>119000000</v>
      </c>
      <c r="C1930">
        <v>119000000</v>
      </c>
      <c r="D1930">
        <v>2</v>
      </c>
      <c r="E1930">
        <v>2</v>
      </c>
      <c r="F1930" s="70">
        <v>44536</v>
      </c>
      <c r="G1930">
        <f>IFERROR(IF((F1930-F1929)&gt;1,(LARGE(F1930:$F1930,1)-LARGE(F$1924:$F1930,2))-1,""),"")</f>
        <v>9</v>
      </c>
    </row>
    <row r="1931" spans="1:7">
      <c r="A1931" s="77">
        <f>(SUM(E1931:E1937)/(A1926+7)+SUM(G1931:G1937))</f>
        <v>12.125</v>
      </c>
      <c r="B1931">
        <v>119000000</v>
      </c>
      <c r="C1931">
        <v>119000000</v>
      </c>
      <c r="D1931">
        <v>1</v>
      </c>
      <c r="E1931">
        <v>1</v>
      </c>
      <c r="F1931" s="70">
        <v>44542</v>
      </c>
      <c r="G1931">
        <f>IFERROR(IF((F1931-F1930)&gt;1,(LARGE(F1931:$F1931,1)-LARGE(F$1924:$F1931,2))-1,""),"")</f>
        <v>5</v>
      </c>
    </row>
    <row r="1932" spans="1:7">
      <c r="A1932" s="79" t="s">
        <v>44028</v>
      </c>
      <c r="B1932">
        <v>118900000</v>
      </c>
      <c r="C1932">
        <v>118900000</v>
      </c>
      <c r="D1932">
        <v>1</v>
      </c>
      <c r="E1932">
        <v>1</v>
      </c>
      <c r="F1932" s="70">
        <v>44544</v>
      </c>
      <c r="G1932">
        <f>IFERROR(IF((F1932-F1931)&gt;1,(LARGE(F1932:$F1932,1)-LARGE(F$1924:$F1932,2))-1,""),"")</f>
        <v>1</v>
      </c>
    </row>
    <row r="1933" spans="1:7">
      <c r="A1933" s="77">
        <f>(SUM(D1934:D1937)/(A1926+4)+SUM(G1934:G1937))</f>
        <v>5</v>
      </c>
      <c r="B1933">
        <v>119000000</v>
      </c>
      <c r="C1933">
        <v>119000000</v>
      </c>
      <c r="D1933">
        <v>1</v>
      </c>
      <c r="E1933">
        <v>1</v>
      </c>
      <c r="F1933" s="70">
        <v>44546</v>
      </c>
      <c r="G1933">
        <f>IFERROR(IF((F1933-F1932)&gt;1,(LARGE(F1933:$F1933,1)-LARGE(F$1924:$F1933,2))-1,""),"")</f>
        <v>1</v>
      </c>
    </row>
    <row r="1934" spans="1:7">
      <c r="A1934" s="85" t="s">
        <v>44027</v>
      </c>
      <c r="B1934">
        <v>119000000</v>
      </c>
      <c r="C1934">
        <v>119000000</v>
      </c>
      <c r="D1934">
        <v>2</v>
      </c>
      <c r="E1934">
        <v>2</v>
      </c>
      <c r="F1934" s="70">
        <v>44547</v>
      </c>
      <c r="G1934" t="str">
        <f>IFERROR(IF((F1934-F1933)&gt;1,(LARGE(F1934:$F1934,1)-LARGE(F$1924:$F1934,2))-1,""),"")</f>
        <v/>
      </c>
    </row>
    <row r="1935" spans="1:7">
      <c r="A1935" s="86" t="str">
        <f>IF(A1928+A1926&gt;10,"Look Up",AVERAGE(A1930,A1931))</f>
        <v>Look Up</v>
      </c>
      <c r="B1935">
        <v>119000000</v>
      </c>
      <c r="C1935">
        <v>119000000</v>
      </c>
      <c r="D1935">
        <v>1</v>
      </c>
      <c r="E1935">
        <v>1</v>
      </c>
      <c r="F1935" s="70">
        <v>44549</v>
      </c>
      <c r="G1935">
        <f>IFERROR(IF((F1935-F1934)&gt;1,(LARGE(F1935:$F1935,1)-LARGE(F$1924:$F1935,2))-1,""),"")</f>
        <v>1</v>
      </c>
    </row>
    <row r="1936" spans="1:7">
      <c r="A1936" s="85" t="s">
        <v>44030</v>
      </c>
      <c r="B1936">
        <v>120000000</v>
      </c>
      <c r="C1936">
        <v>120000000</v>
      </c>
      <c r="D1936">
        <v>1</v>
      </c>
      <c r="E1936">
        <v>1</v>
      </c>
      <c r="F1936" s="70">
        <v>44550</v>
      </c>
      <c r="G1936" t="str">
        <f>IFERROR(IF((F1936-F1935)&gt;1,(LARGE(F1936:$F1936,1)-LARGE(F$1924:$F1936,2))-1,""),"")</f>
        <v/>
      </c>
    </row>
    <row r="1937" spans="1:7">
      <c r="A1937" s="88"/>
      <c r="B1937">
        <v>120000000</v>
      </c>
      <c r="C1937">
        <v>120000000</v>
      </c>
      <c r="D1937">
        <v>1</v>
      </c>
      <c r="E1937">
        <v>2</v>
      </c>
      <c r="F1937" s="70">
        <v>44554</v>
      </c>
      <c r="G1937">
        <f>IFERROR(IF((F1937-F1936)&gt;1,(LARGE(F1937:$F1937,1)-LARGE(F$1924:$F1937,2))-1,""),"")</f>
        <v>3</v>
      </c>
    </row>
    <row r="1938" spans="1:7">
      <c r="A1938" s="65">
        <f>VLOOKUP(TradeSheet!A131,TypeIDs!B:C,2,FALSE)</f>
        <v>2193</v>
      </c>
      <c r="B1938" t="s">
        <v>43998</v>
      </c>
      <c r="C1938" t="s">
        <v>43999</v>
      </c>
      <c r="D1938" t="s">
        <v>44000</v>
      </c>
      <c r="E1938" t="s">
        <v>44001</v>
      </c>
      <c r="F1938" t="s">
        <v>44009</v>
      </c>
      <c r="G1938" t="s">
        <v>44008</v>
      </c>
    </row>
    <row r="1939" spans="1:7">
      <c r="A1939" s="65" t="str">
        <f>CONCATENATE(SwaggerURL,input130)</f>
        <v>https://esi.evetech.net/latest/markets/10000021/history/?datasource=tranquility&amp;type_id=2193</v>
      </c>
      <c r="B1939">
        <v>110000</v>
      </c>
      <c r="C1939">
        <v>110000</v>
      </c>
      <c r="D1939">
        <v>1</v>
      </c>
      <c r="E1939">
        <v>10</v>
      </c>
      <c r="F1939" s="70">
        <v>44520</v>
      </c>
      <c r="G1939" t="str">
        <f>IFERROR(IF((F1939-F1938)&gt;1,(LARGE(F1939:$F1939,1)-LARGE(F$1939:$F1939,2))-1,""),"")</f>
        <v/>
      </c>
    </row>
    <row r="1940" spans="1:7">
      <c r="A1940" s="79" t="s">
        <v>44018</v>
      </c>
      <c r="B1940">
        <v>110000</v>
      </c>
      <c r="C1940">
        <v>110000</v>
      </c>
      <c r="D1940">
        <v>2</v>
      </c>
      <c r="E1940">
        <v>12</v>
      </c>
      <c r="F1940" s="70">
        <v>44521</v>
      </c>
      <c r="G1940" t="str">
        <f>IFERROR(IF((F1940-F1939)&gt;1,(LARGE(F1940:$F1940,1)-LARGE(F$1939:$F1940,2))-1,""),"")</f>
        <v/>
      </c>
    </row>
    <row r="1941" spans="1:7">
      <c r="A1941" s="78">
        <f>MAX(0,(CurrentDate-2)-F1952)</f>
        <v>1</v>
      </c>
      <c r="B1941">
        <v>110000</v>
      </c>
      <c r="C1941">
        <v>110000</v>
      </c>
      <c r="D1941">
        <v>3</v>
      </c>
      <c r="E1941">
        <v>17</v>
      </c>
      <c r="F1941" s="70">
        <v>44522</v>
      </c>
      <c r="G1941" t="str">
        <f>IFERROR(IF((F1941-F1940)&gt;1,(LARGE(F1941:$F1941,1)-LARGE(F$1939:$F1941,2))-1,""),"")</f>
        <v/>
      </c>
    </row>
    <row r="1942" spans="1:7">
      <c r="A1942" s="79" t="s">
        <v>44026</v>
      </c>
      <c r="B1942">
        <v>109900</v>
      </c>
      <c r="C1942">
        <v>109900</v>
      </c>
      <c r="D1942">
        <v>1</v>
      </c>
      <c r="E1942">
        <v>10</v>
      </c>
      <c r="F1942" s="70">
        <v>44526</v>
      </c>
      <c r="G1942">
        <f>IFERROR(IF((F1942-F1941)&gt;1,(LARGE(F1942:$F1942,1)-LARGE(F$1939:$F1942,2))-1,""),"")</f>
        <v>3</v>
      </c>
    </row>
    <row r="1943" spans="1:7">
      <c r="A1943" s="83">
        <f>SUM(G1946:G1952)</f>
        <v>12</v>
      </c>
      <c r="B1943">
        <v>109900</v>
      </c>
      <c r="C1943">
        <v>109900</v>
      </c>
      <c r="D1943">
        <v>3</v>
      </c>
      <c r="E1943">
        <v>8</v>
      </c>
      <c r="F1943" s="70">
        <v>44527</v>
      </c>
      <c r="G1943" t="str">
        <f>IFERROR(IF((F1943-F1942)&gt;1,(LARGE(F1943:$F1943,1)-LARGE(F$1939:$F1943,2))-1,""),"")</f>
        <v/>
      </c>
    </row>
    <row r="1944" spans="1:7">
      <c r="A1944" s="79" t="s">
        <v>44029</v>
      </c>
      <c r="B1944">
        <v>109900</v>
      </c>
      <c r="C1944">
        <v>109900</v>
      </c>
      <c r="D1944">
        <v>1</v>
      </c>
      <c r="E1944">
        <v>22</v>
      </c>
      <c r="F1944" s="70">
        <v>44528</v>
      </c>
      <c r="G1944" t="str">
        <f>IFERROR(IF((F1944-F1943)&gt;1,(LARGE(F1944:$F1944,1)-LARGE(F$1939:$F1944,2))-1,""),"")</f>
        <v/>
      </c>
    </row>
    <row r="1945" spans="1:7">
      <c r="A1945" s="77">
        <f>(SUM(E1939:E1952)/(A1941+14)+SUM(G1939:G1952))</f>
        <v>53.466666666666669</v>
      </c>
      <c r="B1945">
        <v>342520</v>
      </c>
      <c r="C1945">
        <v>105000</v>
      </c>
      <c r="D1945">
        <v>2</v>
      </c>
      <c r="E1945">
        <v>20</v>
      </c>
      <c r="F1945" s="70">
        <v>44535</v>
      </c>
      <c r="G1945">
        <f>IFERROR(IF((F1945-F1944)&gt;1,(LARGE(F1945:$F1945,1)-LARGE(F$1939:$F1945,2))-1,""),"")</f>
        <v>6</v>
      </c>
    </row>
    <row r="1946" spans="1:7">
      <c r="A1946" s="77">
        <f>(SUM(E1946:E1952)/(A1941+7)+SUM(G1946:G1952))</f>
        <v>60.5</v>
      </c>
      <c r="B1946">
        <v>105000</v>
      </c>
      <c r="C1946">
        <v>105000</v>
      </c>
      <c r="D1946">
        <v>1</v>
      </c>
      <c r="E1946">
        <v>10</v>
      </c>
      <c r="F1946" s="70">
        <v>44536</v>
      </c>
      <c r="G1946" t="str">
        <f>IFERROR(IF((F1946-F1945)&gt;1,(LARGE(F1946:$F1946,1)-LARGE(F$1939:$F1946,2))-1,""),"")</f>
        <v/>
      </c>
    </row>
    <row r="1947" spans="1:7">
      <c r="A1947" s="79" t="s">
        <v>44028</v>
      </c>
      <c r="B1947">
        <v>104885.71</v>
      </c>
      <c r="C1947">
        <v>104800</v>
      </c>
      <c r="D1947">
        <v>3</v>
      </c>
      <c r="E1947">
        <v>35</v>
      </c>
      <c r="F1947" s="70">
        <v>44539</v>
      </c>
      <c r="G1947">
        <f>IFERROR(IF((F1947-F1946)&gt;1,(LARGE(F1947:$F1947,1)-LARGE(F$1939:$F1947,2))-1,""),"")</f>
        <v>2</v>
      </c>
    </row>
    <row r="1948" spans="1:7">
      <c r="A1948" s="77">
        <f>(SUM(D1949:D1952)/(A1941+4)+SUM(G1949:G1952))</f>
        <v>7.8</v>
      </c>
      <c r="B1948">
        <v>104900</v>
      </c>
      <c r="C1948">
        <v>104900</v>
      </c>
      <c r="D1948">
        <v>1</v>
      </c>
      <c r="E1948">
        <v>5</v>
      </c>
      <c r="F1948" s="70">
        <v>44544</v>
      </c>
      <c r="G1948">
        <f>IFERROR(IF((F1948-F1947)&gt;1,(LARGE(F1948:$F1948,1)-LARGE(F$1939:$F1948,2))-1,""),"")</f>
        <v>4</v>
      </c>
    </row>
    <row r="1949" spans="1:7">
      <c r="A1949" s="85" t="s">
        <v>44027</v>
      </c>
      <c r="B1949">
        <v>66660</v>
      </c>
      <c r="C1949">
        <v>66660</v>
      </c>
      <c r="D1949">
        <v>3</v>
      </c>
      <c r="E1949">
        <v>317</v>
      </c>
      <c r="F1949" s="70">
        <v>44549</v>
      </c>
      <c r="G1949">
        <f>IFERROR(IF((F1949-F1948)&gt;1,(LARGE(F1949:$F1949,1)-LARGE(F$1939:$F1949,2))-1,""),"")</f>
        <v>4</v>
      </c>
    </row>
    <row r="1950" spans="1:7">
      <c r="A1950" s="86" t="str">
        <f>IF(A1943+A1941&gt;10,"Look Up",AVERAGE(A1945,A1946))</f>
        <v>Look Up</v>
      </c>
      <c r="B1950">
        <v>698800</v>
      </c>
      <c r="C1950">
        <v>698800</v>
      </c>
      <c r="D1950">
        <v>1</v>
      </c>
      <c r="E1950">
        <v>5</v>
      </c>
      <c r="F1950" s="70">
        <v>44551</v>
      </c>
      <c r="G1950">
        <f>IFERROR(IF((F1950-F1949)&gt;1,(LARGE(F1950:$F1950,1)-LARGE(F$1939:$F1950,2))-1,""),"")</f>
        <v>1</v>
      </c>
    </row>
    <row r="1951" spans="1:7">
      <c r="A1951" s="85" t="s">
        <v>44030</v>
      </c>
      <c r="B1951">
        <v>698700</v>
      </c>
      <c r="C1951">
        <v>698700</v>
      </c>
      <c r="D1951">
        <v>4</v>
      </c>
      <c r="E1951">
        <v>11</v>
      </c>
      <c r="F1951" s="70">
        <v>44552</v>
      </c>
      <c r="G1951" t="str">
        <f>IFERROR(IF((F1951-F1950)&gt;1,(LARGE(F1951:$F1951,1)-LARGE(F$1939:$F1951,2))-1,""),"")</f>
        <v/>
      </c>
    </row>
    <row r="1952" spans="1:7">
      <c r="A1952" s="88"/>
      <c r="B1952">
        <v>698800</v>
      </c>
      <c r="C1952">
        <v>698800</v>
      </c>
      <c r="D1952">
        <v>1</v>
      </c>
      <c r="E1952">
        <v>5</v>
      </c>
      <c r="F1952" s="70">
        <v>44554</v>
      </c>
      <c r="G1952">
        <f>IFERROR(IF((F1952-F1951)&gt;1,(LARGE(F1952:$F1952,1)-LARGE(F$1939:$F1952,2))-1,""),"")</f>
        <v>1</v>
      </c>
    </row>
    <row r="1953" spans="1:7">
      <c r="A1953" s="65">
        <f>VLOOKUP(TradeSheet!A132,TypeIDs!B:C,2,FALSE)</f>
        <v>2478</v>
      </c>
      <c r="B1953" t="s">
        <v>43998</v>
      </c>
      <c r="C1953" t="s">
        <v>43999</v>
      </c>
      <c r="D1953" t="s">
        <v>44000</v>
      </c>
      <c r="E1953" t="s">
        <v>44001</v>
      </c>
      <c r="F1953" t="s">
        <v>44009</v>
      </c>
      <c r="G1953" t="s">
        <v>44008</v>
      </c>
    </row>
    <row r="1954" spans="1:7">
      <c r="A1954" s="65" t="str">
        <f>CONCATENATE(SwaggerURL,input131)</f>
        <v>https://esi.evetech.net/latest/markets/10000021/history/?datasource=tranquility&amp;type_id=2478</v>
      </c>
      <c r="B1954">
        <v>1809000</v>
      </c>
      <c r="C1954">
        <v>1809000</v>
      </c>
      <c r="D1954">
        <v>1</v>
      </c>
      <c r="E1954">
        <v>10</v>
      </c>
      <c r="F1954" s="70">
        <v>44510</v>
      </c>
      <c r="G1954" t="str">
        <f>IFERROR(IF((F1954-F1953)&gt;1,(LARGE(F1954:$F1954,1)-LARGE(F$1954:$F1954,2))-1,""),"")</f>
        <v/>
      </c>
    </row>
    <row r="1955" spans="1:7">
      <c r="A1955" s="79" t="s">
        <v>44018</v>
      </c>
      <c r="B1955">
        <v>1500000</v>
      </c>
      <c r="C1955">
        <v>1500000</v>
      </c>
      <c r="D1955">
        <v>1</v>
      </c>
      <c r="E1955">
        <v>2</v>
      </c>
      <c r="F1955" s="70">
        <v>44512</v>
      </c>
      <c r="G1955">
        <f>IFERROR(IF((F1955-F1954)&gt;1,(LARGE(F1955:$F1955,1)-LARGE(F$1954:$F1955,2))-1,""),"")</f>
        <v>1</v>
      </c>
    </row>
    <row r="1956" spans="1:7">
      <c r="A1956" s="78">
        <f>MAX(0,(CurrentDate-2)-F1967)</f>
        <v>1</v>
      </c>
      <c r="B1956">
        <v>1803000</v>
      </c>
      <c r="C1956">
        <v>1803000</v>
      </c>
      <c r="D1956">
        <v>2</v>
      </c>
      <c r="E1956">
        <v>10</v>
      </c>
      <c r="F1956" s="70">
        <v>44517</v>
      </c>
      <c r="G1956">
        <f>IFERROR(IF((F1956-F1955)&gt;1,(LARGE(F1956:$F1956,1)-LARGE(F$1954:$F1956,2))-1,""),"")</f>
        <v>4</v>
      </c>
    </row>
    <row r="1957" spans="1:7">
      <c r="A1957" s="79" t="s">
        <v>44026</v>
      </c>
      <c r="B1957">
        <v>1803000</v>
      </c>
      <c r="C1957">
        <v>1803000</v>
      </c>
      <c r="D1957">
        <v>1</v>
      </c>
      <c r="E1957">
        <v>5</v>
      </c>
      <c r="F1957" s="70">
        <v>44518</v>
      </c>
      <c r="G1957" t="str">
        <f>IFERROR(IF((F1957-F1956)&gt;1,(LARGE(F1957:$F1957,1)-LARGE(F$1954:$F1957,2))-1,""),"")</f>
        <v/>
      </c>
    </row>
    <row r="1958" spans="1:7">
      <c r="A1958" s="83">
        <f>SUM(G1961:G1967)</f>
        <v>16</v>
      </c>
      <c r="B1958">
        <v>1804000</v>
      </c>
      <c r="C1958">
        <v>1804000</v>
      </c>
      <c r="D1958">
        <v>1</v>
      </c>
      <c r="E1958">
        <v>1</v>
      </c>
      <c r="F1958" s="70">
        <v>44519</v>
      </c>
      <c r="G1958" t="str">
        <f>IFERROR(IF((F1958-F1957)&gt;1,(LARGE(F1958:$F1958,1)-LARGE(F$1954:$F1958,2))-1,""),"")</f>
        <v/>
      </c>
    </row>
    <row r="1959" spans="1:7">
      <c r="A1959" s="79" t="s">
        <v>44029</v>
      </c>
      <c r="B1959">
        <v>1797000</v>
      </c>
      <c r="C1959">
        <v>1797000</v>
      </c>
      <c r="D1959">
        <v>1</v>
      </c>
      <c r="E1959">
        <v>6</v>
      </c>
      <c r="F1959" s="70">
        <v>44529</v>
      </c>
      <c r="G1959">
        <f>IFERROR(IF((F1959-F1958)&gt;1,(LARGE(F1959:$F1959,1)-LARGE(F$1954:$F1959,2))-1,""),"")</f>
        <v>9</v>
      </c>
    </row>
    <row r="1960" spans="1:7">
      <c r="A1960" s="77">
        <f>(SUM(E1954:E1967)/(A1956+14)+SUM(G1954:G1967))</f>
        <v>37.533333333333331</v>
      </c>
      <c r="B1960">
        <v>1798000</v>
      </c>
      <c r="C1960">
        <v>1798000</v>
      </c>
      <c r="D1960">
        <v>1</v>
      </c>
      <c r="E1960">
        <v>4</v>
      </c>
      <c r="F1960" s="70">
        <v>44531</v>
      </c>
      <c r="G1960">
        <f>IFERROR(IF((F1960-F1959)&gt;1,(LARGE(F1960:$F1960,1)-LARGE(F$1954:$F1960,2))-1,""),"")</f>
        <v>1</v>
      </c>
    </row>
    <row r="1961" spans="1:7">
      <c r="A1961" s="77">
        <f>(SUM(E1961:E1967)/(A1956+7)+SUM(G1961:G1967))</f>
        <v>23.5</v>
      </c>
      <c r="B1961">
        <v>1798000</v>
      </c>
      <c r="C1961">
        <v>1798000</v>
      </c>
      <c r="D1961">
        <v>1</v>
      </c>
      <c r="E1961">
        <v>20</v>
      </c>
      <c r="F1961" s="70">
        <v>44532</v>
      </c>
      <c r="G1961" t="str">
        <f>IFERROR(IF((F1961-F1960)&gt;1,(LARGE(F1961:$F1961,1)-LARGE(F$1954:$F1961,2))-1,""),"")</f>
        <v/>
      </c>
    </row>
    <row r="1962" spans="1:7">
      <c r="A1962" s="79" t="s">
        <v>44028</v>
      </c>
      <c r="B1962">
        <v>1796000</v>
      </c>
      <c r="C1962">
        <v>1796000</v>
      </c>
      <c r="D1962">
        <v>1</v>
      </c>
      <c r="E1962">
        <v>4</v>
      </c>
      <c r="F1962" s="70">
        <v>44538</v>
      </c>
      <c r="G1962">
        <f>IFERROR(IF((F1962-F1961)&gt;1,(LARGE(F1962:$F1962,1)-LARGE(F$1954:$F1962,2))-1,""),"")</f>
        <v>5</v>
      </c>
    </row>
    <row r="1963" spans="1:7">
      <c r="A1963" s="77">
        <f>(SUM(D1964:D1967)/(A1956+4)+SUM(G1964:G1967))</f>
        <v>11.2</v>
      </c>
      <c r="B1963">
        <v>1796200</v>
      </c>
      <c r="C1963">
        <v>1796000</v>
      </c>
      <c r="D1963">
        <v>2</v>
      </c>
      <c r="E1963">
        <v>5</v>
      </c>
      <c r="F1963" s="70">
        <v>44540</v>
      </c>
      <c r="G1963">
        <f>IFERROR(IF((F1963-F1962)&gt;1,(LARGE(F1963:$F1963,1)-LARGE(F$1954:$F1963,2))-1,""),"")</f>
        <v>1</v>
      </c>
    </row>
    <row r="1964" spans="1:7">
      <c r="A1964" s="85" t="s">
        <v>44027</v>
      </c>
      <c r="B1964">
        <v>1797000</v>
      </c>
      <c r="C1964">
        <v>1797000</v>
      </c>
      <c r="D1964">
        <v>1</v>
      </c>
      <c r="E1964">
        <v>2</v>
      </c>
      <c r="F1964" s="70">
        <v>44546</v>
      </c>
      <c r="G1964">
        <f>IFERROR(IF((F1964-F1963)&gt;1,(LARGE(F1964:$F1964,1)-LARGE(F$1954:$F1964,2))-1,""),"")</f>
        <v>5</v>
      </c>
    </row>
    <row r="1965" spans="1:7">
      <c r="A1965" s="86" t="str">
        <f>IF(A1958+A1956&gt;10,"Look Up",AVERAGE(A1960,A1961))</f>
        <v>Look Up</v>
      </c>
      <c r="B1965">
        <v>1775000</v>
      </c>
      <c r="C1965">
        <v>1775000</v>
      </c>
      <c r="D1965">
        <v>1</v>
      </c>
      <c r="E1965">
        <v>5</v>
      </c>
      <c r="F1965" s="70">
        <v>44547</v>
      </c>
      <c r="G1965" t="str">
        <f>IFERROR(IF((F1965-F1964)&gt;1,(LARGE(F1965:$F1965,1)-LARGE(F$1954:$F1965,2))-1,""),"")</f>
        <v/>
      </c>
    </row>
    <row r="1966" spans="1:7">
      <c r="A1966" s="85" t="s">
        <v>44030</v>
      </c>
      <c r="B1966">
        <v>1770750</v>
      </c>
      <c r="C1966">
        <v>1770000</v>
      </c>
      <c r="D1966">
        <v>3</v>
      </c>
      <c r="E1966">
        <v>20</v>
      </c>
      <c r="F1966" s="70">
        <v>44553</v>
      </c>
      <c r="G1966">
        <f>IFERROR(IF((F1966-F1965)&gt;1,(LARGE(F1966:$F1966,1)-LARGE(F$1954:$F1966,2))-1,""),"")</f>
        <v>5</v>
      </c>
    </row>
    <row r="1967" spans="1:7">
      <c r="A1967" s="88"/>
      <c r="B1967">
        <v>1768000</v>
      </c>
      <c r="C1967">
        <v>1768000</v>
      </c>
      <c r="D1967">
        <v>1</v>
      </c>
      <c r="E1967">
        <v>4</v>
      </c>
      <c r="F1967" s="70">
        <v>44554</v>
      </c>
      <c r="G1967" t="str">
        <f>IFERROR(IF((F1967-F1966)&gt;1,(LARGE(F1967:$F1967,1)-LARGE(F$1954:$F1967,2))-1,""),"")</f>
        <v/>
      </c>
    </row>
    <row r="1968" spans="1:7">
      <c r="A1968" s="65">
        <f>VLOOKUP(TradeSheet!A133,TypeIDs!B:C,2,FALSE)</f>
        <v>2446</v>
      </c>
      <c r="B1968" t="s">
        <v>43998</v>
      </c>
      <c r="C1968" t="s">
        <v>43999</v>
      </c>
      <c r="D1968" t="s">
        <v>44000</v>
      </c>
      <c r="E1968" t="s">
        <v>44001</v>
      </c>
      <c r="F1968" t="s">
        <v>44009</v>
      </c>
      <c r="G1968" t="s">
        <v>44008</v>
      </c>
    </row>
    <row r="1969" spans="1:7">
      <c r="A1969" s="65" t="str">
        <f>CONCATENATE(SwaggerURL,input132)</f>
        <v>https://esi.evetech.net/latest/markets/10000021/history/?datasource=tranquility&amp;type_id=2446</v>
      </c>
      <c r="B1969">
        <v>2339000</v>
      </c>
      <c r="C1969">
        <v>2339000</v>
      </c>
      <c r="D1969">
        <v>1</v>
      </c>
      <c r="E1969">
        <v>1</v>
      </c>
      <c r="F1969" s="70">
        <v>44540</v>
      </c>
      <c r="G1969" t="str">
        <f>IFERROR(IF((F1969-F1968)&gt;1,(LARGE(F1969:$F1969,1)-LARGE(F$1969:$F1969,2))-1,""),"")</f>
        <v/>
      </c>
    </row>
    <row r="1970" spans="1:7">
      <c r="A1970" s="79" t="s">
        <v>44018</v>
      </c>
      <c r="B1970">
        <v>2348500</v>
      </c>
      <c r="C1970">
        <v>2340000</v>
      </c>
      <c r="D1970">
        <v>16</v>
      </c>
      <c r="E1970">
        <v>38</v>
      </c>
      <c r="F1970" s="70">
        <v>44541</v>
      </c>
      <c r="G1970" t="str">
        <f>IFERROR(IF((F1970-F1969)&gt;1,(LARGE(F1970:$F1970,1)-LARGE(F$1969:$F1970,2))-1,""),"")</f>
        <v/>
      </c>
    </row>
    <row r="1971" spans="1:7">
      <c r="A1971" s="78">
        <f>MAX(0,(CurrentDate-2)-F1982)</f>
        <v>1</v>
      </c>
      <c r="B1971">
        <v>2390777.7799999998</v>
      </c>
      <c r="C1971">
        <v>2389000</v>
      </c>
      <c r="D1971">
        <v>2</v>
      </c>
      <c r="E1971">
        <v>9</v>
      </c>
      <c r="F1971" s="70">
        <v>44542</v>
      </c>
      <c r="G1971" t="str">
        <f>IFERROR(IF((F1971-F1970)&gt;1,(LARGE(F1971:$F1971,1)-LARGE(F$1969:$F1971,2))-1,""),"")</f>
        <v/>
      </c>
    </row>
    <row r="1972" spans="1:7">
      <c r="A1972" s="79" t="s">
        <v>44026</v>
      </c>
      <c r="B1972">
        <v>2150000</v>
      </c>
      <c r="C1972">
        <v>2150000</v>
      </c>
      <c r="D1972">
        <v>3</v>
      </c>
      <c r="E1972">
        <v>3</v>
      </c>
      <c r="F1972" s="70">
        <v>44543</v>
      </c>
      <c r="G1972" t="str">
        <f>IFERROR(IF((F1972-F1971)&gt;1,(LARGE(F1972:$F1972,1)-LARGE(F$1969:$F1972,2))-1,""),"")</f>
        <v/>
      </c>
    </row>
    <row r="1973" spans="1:7">
      <c r="A1973" s="83">
        <f>SUM(G1976:G1982)</f>
        <v>1</v>
      </c>
      <c r="B1973">
        <v>2149000</v>
      </c>
      <c r="C1973">
        <v>2149000</v>
      </c>
      <c r="D1973">
        <v>1</v>
      </c>
      <c r="E1973">
        <v>4</v>
      </c>
      <c r="F1973" s="70">
        <v>44544</v>
      </c>
      <c r="G1973" t="str">
        <f>IFERROR(IF((F1973-F1972)&gt;1,(LARGE(F1973:$F1973,1)-LARGE(F$1969:$F1973,2))-1,""),"")</f>
        <v/>
      </c>
    </row>
    <row r="1974" spans="1:7">
      <c r="A1974" s="79" t="s">
        <v>44029</v>
      </c>
      <c r="B1974">
        <v>2000000</v>
      </c>
      <c r="C1974">
        <v>2000000</v>
      </c>
      <c r="D1974">
        <v>1</v>
      </c>
      <c r="E1974">
        <v>5</v>
      </c>
      <c r="F1974" s="70">
        <v>44545</v>
      </c>
      <c r="G1974" t="str">
        <f>IFERROR(IF((F1974-F1973)&gt;1,(LARGE(F1974:$F1974,1)-LARGE(F$1969:$F1974,2))-1,""),"")</f>
        <v/>
      </c>
    </row>
    <row r="1975" spans="1:7">
      <c r="A1975" s="77">
        <f>(SUM(E1969:E1982)/(A1971+14)+SUM(G1969:G1982))</f>
        <v>10.199999999999999</v>
      </c>
      <c r="B1975">
        <v>2017272.73</v>
      </c>
      <c r="C1975">
        <v>2000000</v>
      </c>
      <c r="D1975">
        <v>5</v>
      </c>
      <c r="E1975">
        <v>22</v>
      </c>
      <c r="F1975" s="70">
        <v>44546</v>
      </c>
      <c r="G1975" t="str">
        <f>IFERROR(IF((F1975-F1974)&gt;1,(LARGE(F1975:$F1975,1)-LARGE(F$1969:$F1975,2))-1,""),"")</f>
        <v/>
      </c>
    </row>
    <row r="1976" spans="1:7">
      <c r="A1976" s="77">
        <f>(SUM(E1976:E1982)/(A1971+7)+SUM(G1976:G1982))</f>
        <v>8</v>
      </c>
      <c r="B1976">
        <v>2039000</v>
      </c>
      <c r="C1976">
        <v>2039000</v>
      </c>
      <c r="D1976">
        <v>2</v>
      </c>
      <c r="E1976">
        <v>6</v>
      </c>
      <c r="F1976" s="70">
        <v>44547</v>
      </c>
      <c r="G1976" t="str">
        <f>IFERROR(IF((F1976-F1975)&gt;1,(LARGE(F1976:$F1976,1)-LARGE(F$1969:$F1976,2))-1,""),"")</f>
        <v/>
      </c>
    </row>
    <row r="1977" spans="1:7">
      <c r="A1977" s="79" t="s">
        <v>44028</v>
      </c>
      <c r="B1977">
        <v>2027000</v>
      </c>
      <c r="C1977">
        <v>2027000</v>
      </c>
      <c r="D1977">
        <v>1</v>
      </c>
      <c r="E1977">
        <v>2</v>
      </c>
      <c r="F1977" s="70">
        <v>44548</v>
      </c>
      <c r="G1977" t="str">
        <f>IFERROR(IF((F1977-F1976)&gt;1,(LARGE(F1977:$F1977,1)-LARGE(F$1969:$F1977,2))-1,""),"")</f>
        <v/>
      </c>
    </row>
    <row r="1978" spans="1:7">
      <c r="A1978" s="77">
        <f>(SUM(D1979:D1982)/(A1971+4)+SUM(G1979:G1982))</f>
        <v>2.4</v>
      </c>
      <c r="B1978">
        <v>2020000</v>
      </c>
      <c r="C1978">
        <v>1950000</v>
      </c>
      <c r="D1978">
        <v>2</v>
      </c>
      <c r="E1978">
        <v>7</v>
      </c>
      <c r="F1978" s="70">
        <v>44549</v>
      </c>
      <c r="G1978" t="str">
        <f>IFERROR(IF((F1978-F1977)&gt;1,(LARGE(F1978:$F1978,1)-LARGE(F$1969:$F1978,2))-1,""),"")</f>
        <v/>
      </c>
    </row>
    <row r="1979" spans="1:7">
      <c r="A1979" s="85" t="s">
        <v>44027</v>
      </c>
      <c r="B1979">
        <v>1804407.41</v>
      </c>
      <c r="C1979">
        <v>1700000</v>
      </c>
      <c r="D1979">
        <v>4</v>
      </c>
      <c r="E1979">
        <v>27</v>
      </c>
      <c r="F1979" s="70">
        <v>44550</v>
      </c>
      <c r="G1979" t="str">
        <f>IFERROR(IF((F1979-F1978)&gt;1,(LARGE(F1979:$F1979,1)-LARGE(F$1969:$F1979,2))-1,""),"")</f>
        <v/>
      </c>
    </row>
    <row r="1980" spans="1:7">
      <c r="A1980" s="86">
        <f>IF(A1973+A1971&gt;10,"Look Up",AVERAGE(A1975,A1976))</f>
        <v>9.1</v>
      </c>
      <c r="B1980">
        <v>1848000</v>
      </c>
      <c r="C1980">
        <v>1848000</v>
      </c>
      <c r="D1980">
        <v>1</v>
      </c>
      <c r="E1980">
        <v>8</v>
      </c>
      <c r="F1980" s="70">
        <v>44551</v>
      </c>
      <c r="G1980" t="str">
        <f>IFERROR(IF((F1980-F1979)&gt;1,(LARGE(F1980:$F1980,1)-LARGE(F$1969:$F1980,2))-1,""),"")</f>
        <v/>
      </c>
    </row>
    <row r="1981" spans="1:7">
      <c r="A1981" s="85" t="s">
        <v>44030</v>
      </c>
      <c r="B1981">
        <v>834000</v>
      </c>
      <c r="C1981">
        <v>834000</v>
      </c>
      <c r="D1981">
        <v>1</v>
      </c>
      <c r="E1981">
        <v>1</v>
      </c>
      <c r="F1981" s="70">
        <v>44552</v>
      </c>
      <c r="G1981" t="str">
        <f>IFERROR(IF((F1981-F1980)&gt;1,(LARGE(F1981:$F1981,1)-LARGE(F$1969:$F1981,2))-1,""),"")</f>
        <v/>
      </c>
    </row>
    <row r="1982" spans="1:7">
      <c r="A1982" s="88"/>
      <c r="B1982">
        <v>1797000</v>
      </c>
      <c r="C1982">
        <v>1797000</v>
      </c>
      <c r="D1982">
        <v>1</v>
      </c>
      <c r="E1982">
        <v>5</v>
      </c>
      <c r="F1982" s="70">
        <v>44554</v>
      </c>
      <c r="G1982">
        <f>IFERROR(IF((F1982-F1981)&gt;1,(LARGE(F1982:$F1982,1)-LARGE(F$1969:$F1982,2))-1,""),"")</f>
        <v>1</v>
      </c>
    </row>
    <row r="1983" spans="1:7">
      <c r="A1983" s="65">
        <f>VLOOKUP(TradeSheet!A134,TypeIDs!B:C,2,FALSE)</f>
        <v>2195</v>
      </c>
      <c r="B1983" t="s">
        <v>43998</v>
      </c>
      <c r="C1983" t="s">
        <v>43999</v>
      </c>
      <c r="D1983" t="s">
        <v>44000</v>
      </c>
      <c r="E1983" t="s">
        <v>44001</v>
      </c>
      <c r="F1983" t="s">
        <v>44009</v>
      </c>
      <c r="G1983" t="s">
        <v>44008</v>
      </c>
    </row>
    <row r="1984" spans="1:7">
      <c r="A1984" s="65" t="str">
        <f>CONCATENATE(SwaggerURL,input133)</f>
        <v>https://esi.evetech.net/latest/markets/10000021/history/?datasource=tranquility&amp;type_id=2195</v>
      </c>
      <c r="B1984">
        <v>1989404.76</v>
      </c>
      <c r="C1984">
        <v>1989000</v>
      </c>
      <c r="D1984">
        <v>8</v>
      </c>
      <c r="E1984">
        <v>42</v>
      </c>
      <c r="F1984" s="70">
        <v>44541</v>
      </c>
      <c r="G1984" t="str">
        <f>IFERROR(IF((F1984-F1983)&gt;1,(LARGE(F1984:$F1984,1)-LARGE(F$1984:$F1984,2))-1,""),"")</f>
        <v/>
      </c>
    </row>
    <row r="1985" spans="1:7">
      <c r="A1985" s="79" t="s">
        <v>44018</v>
      </c>
      <c r="B1985">
        <v>1981000</v>
      </c>
      <c r="C1985">
        <v>1980000</v>
      </c>
      <c r="D1985">
        <v>22</v>
      </c>
      <c r="E1985">
        <v>119</v>
      </c>
      <c r="F1985" s="70">
        <v>44542</v>
      </c>
      <c r="G1985" t="str">
        <f>IFERROR(IF((F1985-F1984)&gt;1,(LARGE(F1985:$F1985,1)-LARGE(F$1984:$F1985,2))-1,""),"")</f>
        <v/>
      </c>
    </row>
    <row r="1986" spans="1:7">
      <c r="A1986" s="78">
        <f>MAX(0,(CurrentDate-2)-F1997)</f>
        <v>1</v>
      </c>
      <c r="B1986">
        <v>1968000</v>
      </c>
      <c r="C1986">
        <v>1900000</v>
      </c>
      <c r="D1986">
        <v>4</v>
      </c>
      <c r="E1986">
        <v>20</v>
      </c>
      <c r="F1986" s="70">
        <v>44543</v>
      </c>
      <c r="G1986" t="str">
        <f>IFERROR(IF((F1986-F1985)&gt;1,(LARGE(F1986:$F1986,1)-LARGE(F$1984:$F1986,2))-1,""),"")</f>
        <v/>
      </c>
    </row>
    <row r="1987" spans="1:7">
      <c r="A1987" s="79" t="s">
        <v>44026</v>
      </c>
      <c r="B1987">
        <v>1699607.84</v>
      </c>
      <c r="C1987">
        <v>1699000</v>
      </c>
      <c r="D1987">
        <v>8</v>
      </c>
      <c r="E1987">
        <v>51</v>
      </c>
      <c r="F1987" s="70">
        <v>44544</v>
      </c>
      <c r="G1987" t="str">
        <f>IFERROR(IF((F1987-F1986)&gt;1,(LARGE(F1987:$F1987,1)-LARGE(F$1984:$F1987,2))-1,""),"")</f>
        <v/>
      </c>
    </row>
    <row r="1988" spans="1:7">
      <c r="A1988" s="83">
        <f>SUM(G1991:G1997)</f>
        <v>0</v>
      </c>
      <c r="B1988">
        <v>1691162.79</v>
      </c>
      <c r="C1988">
        <v>1680000</v>
      </c>
      <c r="D1988">
        <v>7</v>
      </c>
      <c r="E1988">
        <v>43</v>
      </c>
      <c r="F1988" s="70">
        <v>44545</v>
      </c>
      <c r="G1988" t="str">
        <f>IFERROR(IF((F1988-F1987)&gt;1,(LARGE(F1988:$F1988,1)-LARGE(F$1984:$F1988,2))-1,""),"")</f>
        <v/>
      </c>
    </row>
    <row r="1989" spans="1:7">
      <c r="A1989" s="79" t="s">
        <v>44029</v>
      </c>
      <c r="B1989">
        <v>1688928.57</v>
      </c>
      <c r="C1989">
        <v>1650000</v>
      </c>
      <c r="D1989">
        <v>11</v>
      </c>
      <c r="E1989">
        <v>70</v>
      </c>
      <c r="F1989" s="70">
        <v>44546</v>
      </c>
      <c r="G1989" t="str">
        <f>IFERROR(IF((F1989-F1988)&gt;1,(LARGE(F1989:$F1989,1)-LARGE(F$1984:$F1989,2))-1,""),"")</f>
        <v/>
      </c>
    </row>
    <row r="1990" spans="1:7">
      <c r="A1990" s="77">
        <f>(SUM(E1984:E1997)/(A1986+14)+SUM(G1984:G1997))</f>
        <v>58.6</v>
      </c>
      <c r="B1990">
        <v>1619600</v>
      </c>
      <c r="C1990">
        <v>1600000</v>
      </c>
      <c r="D1990">
        <v>6</v>
      </c>
      <c r="E1990">
        <v>35</v>
      </c>
      <c r="F1990" s="70">
        <v>44547</v>
      </c>
      <c r="G1990" t="str">
        <f>IFERROR(IF((F1990-F1989)&gt;1,(LARGE(F1990:$F1990,1)-LARGE(F$1984:$F1990,2))-1,""),"")</f>
        <v/>
      </c>
    </row>
    <row r="1991" spans="1:7">
      <c r="A1991" s="77">
        <f>(SUM(E1991:E1997)/(A1986+7)+SUM(G1991:G1997))</f>
        <v>62.375</v>
      </c>
      <c r="B1991">
        <v>1700000</v>
      </c>
      <c r="C1991">
        <v>1690000</v>
      </c>
      <c r="D1991">
        <v>18</v>
      </c>
      <c r="E1991">
        <v>101</v>
      </c>
      <c r="F1991" s="70">
        <v>44548</v>
      </c>
      <c r="G1991" t="str">
        <f>IFERROR(IF((F1991-F1990)&gt;1,(LARGE(F1991:$F1991,1)-LARGE(F$1984:$F1991,2))-1,""),"")</f>
        <v/>
      </c>
    </row>
    <row r="1992" spans="1:7">
      <c r="A1992" s="79" t="s">
        <v>44028</v>
      </c>
      <c r="B1992">
        <v>2146000</v>
      </c>
      <c r="C1992">
        <v>1900000</v>
      </c>
      <c r="D1992">
        <v>15</v>
      </c>
      <c r="E1992">
        <v>165</v>
      </c>
      <c r="F1992" s="70">
        <v>44549</v>
      </c>
      <c r="G1992" t="str">
        <f>IFERROR(IF((F1992-F1991)&gt;1,(LARGE(F1992:$F1992,1)-LARGE(F$1984:$F1992,2))-1,""),"")</f>
        <v/>
      </c>
    </row>
    <row r="1993" spans="1:7">
      <c r="A1993" s="77">
        <f>(SUM(D1994:D1997)/(A1986+4)+SUM(G1994:G1997))</f>
        <v>6.2</v>
      </c>
      <c r="B1993">
        <v>2139458.33</v>
      </c>
      <c r="C1993">
        <v>2097000</v>
      </c>
      <c r="D1993">
        <v>7</v>
      </c>
      <c r="E1993">
        <v>48</v>
      </c>
      <c r="F1993" s="70">
        <v>44550</v>
      </c>
      <c r="G1993" t="str">
        <f>IFERROR(IF((F1993-F1992)&gt;1,(LARGE(F1993:$F1993,1)-LARGE(F$1984:$F1993,2))-1,""),"")</f>
        <v/>
      </c>
    </row>
    <row r="1994" spans="1:7">
      <c r="A1994" s="85" t="s">
        <v>44027</v>
      </c>
      <c r="B1994">
        <v>2004960.78</v>
      </c>
      <c r="C1994">
        <v>1999000</v>
      </c>
      <c r="D1994">
        <v>10</v>
      </c>
      <c r="E1994">
        <v>51</v>
      </c>
      <c r="F1994" s="70">
        <v>44551</v>
      </c>
      <c r="G1994" t="str">
        <f>IFERROR(IF((F1994-F1993)&gt;1,(LARGE(F1994:$F1994,1)-LARGE(F$1984:$F1994,2))-1,""),"")</f>
        <v/>
      </c>
    </row>
    <row r="1995" spans="1:7">
      <c r="A1995" s="86">
        <f>IF(A1988+A1986&gt;10,"Look Up",AVERAGE(A1990,A1991))</f>
        <v>60.487499999999997</v>
      </c>
      <c r="B1995">
        <v>1931584.91</v>
      </c>
      <c r="C1995">
        <v>1899000</v>
      </c>
      <c r="D1995">
        <v>7</v>
      </c>
      <c r="E1995">
        <v>53</v>
      </c>
      <c r="F1995" s="70">
        <v>44552</v>
      </c>
      <c r="G1995" t="str">
        <f>IFERROR(IF((F1995-F1994)&gt;1,(LARGE(F1995:$F1995,1)-LARGE(F$1984:$F1995,2))-1,""),"")</f>
        <v/>
      </c>
    </row>
    <row r="1996" spans="1:7">
      <c r="A1996" s="85" t="s">
        <v>44030</v>
      </c>
      <c r="B1996">
        <v>1899705.88</v>
      </c>
      <c r="C1996">
        <v>1899000</v>
      </c>
      <c r="D1996">
        <v>6</v>
      </c>
      <c r="E1996">
        <v>34</v>
      </c>
      <c r="F1996" s="70">
        <v>44553</v>
      </c>
      <c r="G1996" t="str">
        <f>IFERROR(IF((F1996-F1995)&gt;1,(LARGE(F1996:$F1996,1)-LARGE(F$1984:$F1996,2))-1,""),"")</f>
        <v/>
      </c>
    </row>
    <row r="1997" spans="1:7">
      <c r="A1997" s="88"/>
      <c r="B1997">
        <v>1890744.68</v>
      </c>
      <c r="C1997">
        <v>1889000</v>
      </c>
      <c r="D1997">
        <v>8</v>
      </c>
      <c r="E1997">
        <v>47</v>
      </c>
      <c r="F1997" s="70">
        <v>44554</v>
      </c>
      <c r="G1997" t="str">
        <f>IFERROR(IF((F1997-F1996)&gt;1,(LARGE(F1997:$F1997,1)-LARGE(F$1984:$F1997,2))-1,""),"")</f>
        <v/>
      </c>
    </row>
    <row r="1998" spans="1:7">
      <c r="A1998" s="65">
        <f>VLOOKUP(TradeSheet!A135,TypeIDs!B:C,2,FALSE)</f>
        <v>2436</v>
      </c>
      <c r="B1998" t="s">
        <v>43998</v>
      </c>
      <c r="C1998" t="s">
        <v>43999</v>
      </c>
      <c r="D1998" t="s">
        <v>44000</v>
      </c>
      <c r="E1998" t="s">
        <v>44001</v>
      </c>
      <c r="F1998" t="s">
        <v>44009</v>
      </c>
      <c r="G1998" t="s">
        <v>44008</v>
      </c>
    </row>
    <row r="1999" spans="1:7">
      <c r="A1999" s="65" t="str">
        <f>CONCATENATE(SwaggerURL,input134)</f>
        <v>https://esi.evetech.net/latest/markets/10000021/history/?datasource=tranquility&amp;type_id=2436</v>
      </c>
      <c r="B1999">
        <v>2234000</v>
      </c>
      <c r="C1999">
        <v>2234000</v>
      </c>
      <c r="D1999">
        <v>1</v>
      </c>
      <c r="E1999">
        <v>5</v>
      </c>
      <c r="F1999" s="70">
        <v>44515</v>
      </c>
      <c r="G1999" t="str">
        <f>IFERROR(IF((F1999-F1998)&gt;1,(LARGE(F1999:$F1999,1)-LARGE(F$1999:$F1999,2))-1,""),"")</f>
        <v/>
      </c>
    </row>
    <row r="2000" spans="1:7">
      <c r="A2000" s="79" t="s">
        <v>44018</v>
      </c>
      <c r="B2000">
        <v>2247000</v>
      </c>
      <c r="C2000">
        <v>2247000</v>
      </c>
      <c r="D2000">
        <v>2</v>
      </c>
      <c r="E2000">
        <v>5</v>
      </c>
      <c r="F2000" s="70">
        <v>44517</v>
      </c>
      <c r="G2000">
        <f>IFERROR(IF((F2000-F1999)&gt;1,(LARGE(F2000:$F2000,1)-LARGE(F$1999:$F2000,2))-1,""),"")</f>
        <v>1</v>
      </c>
    </row>
    <row r="2001" spans="1:7">
      <c r="A2001" s="78">
        <f>MAX(0,(CurrentDate-2)-F2012)</f>
        <v>1</v>
      </c>
      <c r="B2001">
        <v>2247000</v>
      </c>
      <c r="C2001">
        <v>2247000</v>
      </c>
      <c r="D2001">
        <v>3</v>
      </c>
      <c r="E2001">
        <v>6</v>
      </c>
      <c r="F2001" s="70">
        <v>44519</v>
      </c>
      <c r="G2001">
        <f>IFERROR(IF((F2001-F2000)&gt;1,(LARGE(F2001:$F2001,1)-LARGE(F$1999:$F2001,2))-1,""),"")</f>
        <v>1</v>
      </c>
    </row>
    <row r="2002" spans="1:7">
      <c r="A2002" s="79" t="s">
        <v>44026</v>
      </c>
      <c r="B2002">
        <v>2247000</v>
      </c>
      <c r="C2002">
        <v>2247000</v>
      </c>
      <c r="D2002">
        <v>1</v>
      </c>
      <c r="E2002">
        <v>5</v>
      </c>
      <c r="F2002" s="70">
        <v>44520</v>
      </c>
      <c r="G2002" t="str">
        <f>IFERROR(IF((F2002-F2001)&gt;1,(LARGE(F2002:$F2002,1)-LARGE(F$1999:$F2002,2))-1,""),"")</f>
        <v/>
      </c>
    </row>
    <row r="2003" spans="1:7">
      <c r="A2003" s="83">
        <f>SUM(G2006:G2012)</f>
        <v>20</v>
      </c>
      <c r="B2003">
        <v>2244555.56</v>
      </c>
      <c r="C2003">
        <v>2244000</v>
      </c>
      <c r="D2003">
        <v>2</v>
      </c>
      <c r="E2003">
        <v>9</v>
      </c>
      <c r="F2003" s="70">
        <v>44524</v>
      </c>
      <c r="G2003">
        <f>IFERROR(IF((F2003-F2002)&gt;1,(LARGE(F2003:$F2003,1)-LARGE(F$1999:$F2003,2))-1,""),"")</f>
        <v>3</v>
      </c>
    </row>
    <row r="2004" spans="1:7">
      <c r="A2004" s="79" t="s">
        <v>44029</v>
      </c>
      <c r="B2004">
        <v>2244000</v>
      </c>
      <c r="C2004">
        <v>2244000</v>
      </c>
      <c r="D2004">
        <v>1</v>
      </c>
      <c r="E2004">
        <v>5</v>
      </c>
      <c r="F2004" s="70">
        <v>44525</v>
      </c>
      <c r="G2004" t="str">
        <f>IFERROR(IF((F2004-F2003)&gt;1,(LARGE(F2004:$F2004,1)-LARGE(F$1999:$F2004,2))-1,""),"")</f>
        <v/>
      </c>
    </row>
    <row r="2005" spans="1:7">
      <c r="A2005" s="77">
        <f>(SUM(E1999:E2012)/(A2001+14)+SUM(G1999:G2012))</f>
        <v>30.333333333333332</v>
      </c>
      <c r="B2005">
        <v>2244000</v>
      </c>
      <c r="C2005">
        <v>2244000</v>
      </c>
      <c r="D2005">
        <v>1</v>
      </c>
      <c r="E2005">
        <v>5</v>
      </c>
      <c r="F2005" s="70">
        <v>44527</v>
      </c>
      <c r="G2005">
        <f>IFERROR(IF((F2005-F2004)&gt;1,(LARGE(F2005:$F2005,1)-LARGE(F$1999:$F2005,2))-1,""),"")</f>
        <v>1</v>
      </c>
    </row>
    <row r="2006" spans="1:7">
      <c r="A2006" s="77">
        <f>(SUM(E2006:E2012)/(A2001+7)+SUM(G2006:G2012))</f>
        <v>23.125</v>
      </c>
      <c r="B2006">
        <v>2233000</v>
      </c>
      <c r="C2006">
        <v>2233000</v>
      </c>
      <c r="D2006">
        <v>1</v>
      </c>
      <c r="E2006">
        <v>5</v>
      </c>
      <c r="F2006" s="70">
        <v>44538</v>
      </c>
      <c r="G2006">
        <f>IFERROR(IF((F2006-F2005)&gt;1,(LARGE(F2006:$F2006,1)-LARGE(F$1999:$F2006,2))-1,""),"")</f>
        <v>10</v>
      </c>
    </row>
    <row r="2007" spans="1:7">
      <c r="A2007" s="79" t="s">
        <v>44028</v>
      </c>
      <c r="B2007">
        <v>2234000</v>
      </c>
      <c r="C2007">
        <v>2234000</v>
      </c>
      <c r="D2007">
        <v>2</v>
      </c>
      <c r="E2007">
        <v>4</v>
      </c>
      <c r="F2007" s="70">
        <v>44539</v>
      </c>
      <c r="G2007" t="str">
        <f>IFERROR(IF((F2007-F2006)&gt;1,(LARGE(F2007:$F2007,1)-LARGE(F$1999:$F2007,2))-1,""),"")</f>
        <v/>
      </c>
    </row>
    <row r="2008" spans="1:7">
      <c r="A2008" s="77">
        <f>(SUM(D2009:D2012)/(A2001+4)+SUM(G2009:G2012))</f>
        <v>10.4</v>
      </c>
      <c r="B2008">
        <v>2234000</v>
      </c>
      <c r="C2008">
        <v>2234000</v>
      </c>
      <c r="D2008">
        <v>1</v>
      </c>
      <c r="E2008">
        <v>1</v>
      </c>
      <c r="F2008" s="70">
        <v>44541</v>
      </c>
      <c r="G2008">
        <f>IFERROR(IF((F2008-F2007)&gt;1,(LARGE(F2008:$F2008,1)-LARGE(F$1999:$F2008,2))-1,""),"")</f>
        <v>1</v>
      </c>
    </row>
    <row r="2009" spans="1:7">
      <c r="A2009" s="85" t="s">
        <v>44027</v>
      </c>
      <c r="B2009">
        <v>2234000</v>
      </c>
      <c r="C2009">
        <v>2234000</v>
      </c>
      <c r="D2009">
        <v>1</v>
      </c>
      <c r="E2009">
        <v>1</v>
      </c>
      <c r="F2009" s="70">
        <v>44546</v>
      </c>
      <c r="G2009">
        <f>IFERROR(IF((F2009-F2008)&gt;1,(LARGE(F2009:$F2009,1)-LARGE(F$1999:$F2009,2))-1,""),"")</f>
        <v>4</v>
      </c>
    </row>
    <row r="2010" spans="1:7">
      <c r="A2010" s="86" t="str">
        <f>IF(A2003+A2001&gt;10,"Look Up",AVERAGE(A2005,A2006))</f>
        <v>Look Up</v>
      </c>
      <c r="B2010">
        <v>2245000</v>
      </c>
      <c r="C2010">
        <v>2245000</v>
      </c>
      <c r="D2010">
        <v>2</v>
      </c>
      <c r="E2010">
        <v>5</v>
      </c>
      <c r="F2010" s="70">
        <v>44547</v>
      </c>
      <c r="G2010" t="str">
        <f>IFERROR(IF((F2010-F2009)&gt;1,(LARGE(F2010:$F2010,1)-LARGE(F$1999:$F2010,2))-1,""),"")</f>
        <v/>
      </c>
    </row>
    <row r="2011" spans="1:7">
      <c r="A2011" s="85" t="s">
        <v>44030</v>
      </c>
      <c r="B2011">
        <v>2211000</v>
      </c>
      <c r="C2011">
        <v>2200000</v>
      </c>
      <c r="D2011">
        <v>2</v>
      </c>
      <c r="E2011">
        <v>4</v>
      </c>
      <c r="F2011" s="70">
        <v>44550</v>
      </c>
      <c r="G2011">
        <f>IFERROR(IF((F2011-F2010)&gt;1,(LARGE(F2011:$F2011,1)-LARGE(F$1999:$F2011,2))-1,""),"")</f>
        <v>2</v>
      </c>
    </row>
    <row r="2012" spans="1:7">
      <c r="A2012" s="88"/>
      <c r="B2012">
        <v>2245000</v>
      </c>
      <c r="C2012">
        <v>2245000</v>
      </c>
      <c r="D2012">
        <v>2</v>
      </c>
      <c r="E2012">
        <v>5</v>
      </c>
      <c r="F2012" s="70">
        <v>44554</v>
      </c>
      <c r="G2012">
        <f>IFERROR(IF((F2012-F2011)&gt;1,(LARGE(F2012:$F2012,1)-LARGE(F$1999:$F2012,2))-1,""),"")</f>
        <v>3</v>
      </c>
    </row>
    <row r="2013" spans="1:7">
      <c r="A2013" s="65">
        <f>VLOOKUP(TradeSheet!A136,TypeIDs!B:C,2,FALSE)</f>
        <v>31870</v>
      </c>
      <c r="B2013" t="s">
        <v>43998</v>
      </c>
      <c r="C2013" t="s">
        <v>43999</v>
      </c>
      <c r="D2013" t="s">
        <v>44000</v>
      </c>
      <c r="E2013" t="s">
        <v>44001</v>
      </c>
      <c r="F2013" t="s">
        <v>44009</v>
      </c>
      <c r="G2013" t="s">
        <v>44008</v>
      </c>
    </row>
    <row r="2014" spans="1:7">
      <c r="A2014" s="65" t="str">
        <f>CONCATENATE(SwaggerURL,input135)</f>
        <v>https://esi.evetech.net/latest/markets/10000021/history/?datasource=tranquility&amp;type_id=31870</v>
      </c>
      <c r="B2014">
        <v>3596000</v>
      </c>
      <c r="C2014">
        <v>3596000</v>
      </c>
      <c r="D2014">
        <v>1</v>
      </c>
      <c r="E2014">
        <v>9</v>
      </c>
      <c r="F2014" s="70">
        <v>44540</v>
      </c>
      <c r="G2014" t="str">
        <f>IFERROR(IF((F2014-F2013)&gt;1,(LARGE(F2014:$F2014,1)-LARGE(F$2014:$F2014,2))-1,""),"")</f>
        <v/>
      </c>
    </row>
    <row r="2015" spans="1:7">
      <c r="A2015" s="79" t="s">
        <v>44018</v>
      </c>
      <c r="B2015">
        <v>3596571.43</v>
      </c>
      <c r="C2015">
        <v>3596000</v>
      </c>
      <c r="D2015">
        <v>4</v>
      </c>
      <c r="E2015">
        <v>14</v>
      </c>
      <c r="F2015" s="70">
        <v>44541</v>
      </c>
      <c r="G2015" t="str">
        <f>IFERROR(IF((F2015-F2014)&gt;1,(LARGE(F2015:$F2015,1)-LARGE(F$2014:$F2015,2))-1,""),"")</f>
        <v/>
      </c>
    </row>
    <row r="2016" spans="1:7">
      <c r="A2016" s="78">
        <f>MAX(0,(CurrentDate-2)-F2027)</f>
        <v>1</v>
      </c>
      <c r="B2016">
        <v>3599461.54</v>
      </c>
      <c r="C2016">
        <v>3599000</v>
      </c>
      <c r="D2016">
        <v>3</v>
      </c>
      <c r="E2016">
        <v>13</v>
      </c>
      <c r="F2016" s="70">
        <v>44543</v>
      </c>
      <c r="G2016">
        <f>IFERROR(IF((F2016-F2015)&gt;1,(LARGE(F2016:$F2016,1)-LARGE(F$2014:$F2016,2))-1,""),"")</f>
        <v>1</v>
      </c>
    </row>
    <row r="2017" spans="1:7">
      <c r="A2017" s="79" t="s">
        <v>44026</v>
      </c>
      <c r="B2017">
        <v>3598647.06</v>
      </c>
      <c r="C2017">
        <v>3598000</v>
      </c>
      <c r="D2017">
        <v>4</v>
      </c>
      <c r="E2017">
        <v>17</v>
      </c>
      <c r="F2017" s="70">
        <v>44544</v>
      </c>
      <c r="G2017" t="str">
        <f>IFERROR(IF((F2017-F2016)&gt;1,(LARGE(F2017:$F2017,1)-LARGE(F$2014:$F2017,2))-1,""),"")</f>
        <v/>
      </c>
    </row>
    <row r="2018" spans="1:7">
      <c r="A2018" s="83">
        <f>SUM(G2021:G2027)</f>
        <v>0</v>
      </c>
      <c r="B2018">
        <v>3598000</v>
      </c>
      <c r="C2018">
        <v>3598000</v>
      </c>
      <c r="D2018">
        <v>2</v>
      </c>
      <c r="E2018">
        <v>9</v>
      </c>
      <c r="F2018" s="70">
        <v>44545</v>
      </c>
      <c r="G2018" t="str">
        <f>IFERROR(IF((F2018-F2017)&gt;1,(LARGE(F2018:$F2018,1)-LARGE(F$2014:$F2018,2))-1,""),"")</f>
        <v/>
      </c>
    </row>
    <row r="2019" spans="1:7">
      <c r="A2019" s="79" t="s">
        <v>44029</v>
      </c>
      <c r="B2019">
        <v>3597208.33</v>
      </c>
      <c r="C2019">
        <v>3596000</v>
      </c>
      <c r="D2019">
        <v>7</v>
      </c>
      <c r="E2019">
        <v>24</v>
      </c>
      <c r="F2019" s="70">
        <v>44546</v>
      </c>
      <c r="G2019" t="str">
        <f>IFERROR(IF((F2019-F2018)&gt;1,(LARGE(F2019:$F2019,1)-LARGE(F$2014:$F2019,2))-1,""),"")</f>
        <v/>
      </c>
    </row>
    <row r="2020" spans="1:7">
      <c r="A2020" s="77">
        <f>(SUM(E2014:E2027)/(A2016+14)+SUM(G2014:G2027))</f>
        <v>19.133333333333333</v>
      </c>
      <c r="B2020">
        <v>3374000</v>
      </c>
      <c r="C2020">
        <v>3374000</v>
      </c>
      <c r="D2020">
        <v>3</v>
      </c>
      <c r="E2020">
        <v>16</v>
      </c>
      <c r="F2020" s="70">
        <v>44547</v>
      </c>
      <c r="G2020" t="str">
        <f>IFERROR(IF((F2020-F2019)&gt;1,(LARGE(F2020:$F2020,1)-LARGE(F$2014:$F2020,2))-1,""),"")</f>
        <v/>
      </c>
    </row>
    <row r="2021" spans="1:7">
      <c r="A2021" s="77">
        <f>(SUM(E2021:E2027)/(A2016+7)+SUM(G2021:G2027))</f>
        <v>21.25</v>
      </c>
      <c r="B2021">
        <v>3090000</v>
      </c>
      <c r="C2021">
        <v>3000000</v>
      </c>
      <c r="D2021">
        <v>8</v>
      </c>
      <c r="E2021">
        <v>28</v>
      </c>
      <c r="F2021" s="70">
        <v>44548</v>
      </c>
      <c r="G2021" t="str">
        <f>IFERROR(IF((F2021-F2020)&gt;1,(LARGE(F2021:$F2021,1)-LARGE(F$2014:$F2021,2))-1,""),"")</f>
        <v/>
      </c>
    </row>
    <row r="2022" spans="1:7">
      <c r="A2022" s="79" t="s">
        <v>44028</v>
      </c>
      <c r="B2022">
        <v>3596000</v>
      </c>
      <c r="C2022">
        <v>3596000</v>
      </c>
      <c r="D2022">
        <v>2</v>
      </c>
      <c r="E2022">
        <v>13</v>
      </c>
      <c r="F2022" s="70">
        <v>44549</v>
      </c>
      <c r="G2022" t="str">
        <f>IFERROR(IF((F2022-F2021)&gt;1,(LARGE(F2022:$F2022,1)-LARGE(F$2014:$F2022,2))-1,""),"")</f>
        <v/>
      </c>
    </row>
    <row r="2023" spans="1:7">
      <c r="A2023" s="77">
        <f>(SUM(D2024:D2027)/(A2016+4)+SUM(G2024:G2027))</f>
        <v>3.8</v>
      </c>
      <c r="B2023">
        <v>3596300</v>
      </c>
      <c r="C2023">
        <v>3596000</v>
      </c>
      <c r="D2023">
        <v>4</v>
      </c>
      <c r="E2023">
        <v>20</v>
      </c>
      <c r="F2023" s="70">
        <v>44550</v>
      </c>
      <c r="G2023" t="str">
        <f>IFERROR(IF((F2023-F2022)&gt;1,(LARGE(F2023:$F2023,1)-LARGE(F$2014:$F2023,2))-1,""),"")</f>
        <v/>
      </c>
    </row>
    <row r="2024" spans="1:7">
      <c r="A2024" s="85" t="s">
        <v>44027</v>
      </c>
      <c r="B2024">
        <v>3596000</v>
      </c>
      <c r="C2024">
        <v>3596000</v>
      </c>
      <c r="D2024">
        <v>8</v>
      </c>
      <c r="E2024">
        <v>66</v>
      </c>
      <c r="F2024" s="70">
        <v>44551</v>
      </c>
      <c r="G2024" t="str">
        <f>IFERROR(IF((F2024-F2023)&gt;1,(LARGE(F2024:$F2024,1)-LARGE(F$2014:$F2024,2))-1,""),"")</f>
        <v/>
      </c>
    </row>
    <row r="2025" spans="1:7">
      <c r="A2025" s="86">
        <f>IF(A2018+A2016&gt;10,"Look Up",AVERAGE(A2020,A2021))</f>
        <v>20.191666666666666</v>
      </c>
      <c r="B2025">
        <v>3595000</v>
      </c>
      <c r="C2025">
        <v>3595000</v>
      </c>
      <c r="D2025">
        <v>4</v>
      </c>
      <c r="E2025">
        <v>18</v>
      </c>
      <c r="F2025" s="70">
        <v>44552</v>
      </c>
      <c r="G2025" t="str">
        <f>IFERROR(IF((F2025-F2024)&gt;1,(LARGE(F2025:$F2025,1)-LARGE(F$2014:$F2025,2))-1,""),"")</f>
        <v/>
      </c>
    </row>
    <row r="2026" spans="1:7">
      <c r="A2026" s="85" t="s">
        <v>44030</v>
      </c>
      <c r="B2026">
        <v>3595692.31</v>
      </c>
      <c r="C2026">
        <v>3595000</v>
      </c>
      <c r="D2026">
        <v>5</v>
      </c>
      <c r="E2026">
        <v>13</v>
      </c>
      <c r="F2026" s="70">
        <v>44553</v>
      </c>
      <c r="G2026" t="str">
        <f>IFERROR(IF((F2026-F2025)&gt;1,(LARGE(F2026:$F2026,1)-LARGE(F$2014:$F2026,2))-1,""),"")</f>
        <v/>
      </c>
    </row>
    <row r="2027" spans="1:7">
      <c r="A2027" s="88"/>
      <c r="B2027">
        <v>3545250</v>
      </c>
      <c r="C2027">
        <v>3509000</v>
      </c>
      <c r="D2027">
        <v>2</v>
      </c>
      <c r="E2027">
        <v>12</v>
      </c>
      <c r="F2027" s="70">
        <v>44554</v>
      </c>
      <c r="G2027" t="str">
        <f>IFERROR(IF((F2027-F2026)&gt;1,(LARGE(F2027:$F2027,1)-LARGE(F$2014:$F2027,2))-1,""),"")</f>
        <v/>
      </c>
    </row>
    <row r="2028" spans="1:7">
      <c r="A2028" s="65">
        <f>VLOOKUP(TradeSheet!A137,TypeIDs!B:C,2,FALSE)</f>
        <v>2203</v>
      </c>
      <c r="B2028" t="s">
        <v>43998</v>
      </c>
      <c r="C2028" t="s">
        <v>43999</v>
      </c>
      <c r="D2028" t="s">
        <v>44000</v>
      </c>
      <c r="E2028" t="s">
        <v>44001</v>
      </c>
      <c r="F2028" t="s">
        <v>44009</v>
      </c>
      <c r="G2028" t="s">
        <v>44008</v>
      </c>
    </row>
    <row r="2029" spans="1:7">
      <c r="A2029" s="65" t="str">
        <f>CONCATENATE(SwaggerURL,input136)</f>
        <v>https://esi.evetech.net/latest/markets/10000021/history/?datasource=tranquility&amp;type_id=2203</v>
      </c>
      <c r="B2029">
        <v>28485.56</v>
      </c>
      <c r="C2029">
        <v>28480</v>
      </c>
      <c r="D2029">
        <v>3</v>
      </c>
      <c r="E2029">
        <v>18</v>
      </c>
      <c r="F2029" s="70">
        <v>44536</v>
      </c>
      <c r="G2029" t="str">
        <f>IFERROR(IF((F2029-F2028)&gt;1,(LARGE(F2029:$F2029,1)-LARGE(F$2029:$F2029,2))-1,""),"")</f>
        <v/>
      </c>
    </row>
    <row r="2030" spans="1:7">
      <c r="A2030" s="79" t="s">
        <v>44018</v>
      </c>
      <c r="B2030">
        <v>9000</v>
      </c>
      <c r="C2030">
        <v>9000</v>
      </c>
      <c r="D2030">
        <v>2</v>
      </c>
      <c r="E2030">
        <v>10</v>
      </c>
      <c r="F2030" s="70">
        <v>44538</v>
      </c>
      <c r="G2030">
        <f>IFERROR(IF((F2030-F2029)&gt;1,(LARGE(F2030:$F2030,1)-LARGE(F$2029:$F2030,2))-1,""),"")</f>
        <v>1</v>
      </c>
    </row>
    <row r="2031" spans="1:7">
      <c r="A2031" s="78">
        <f>MAX(0,(CurrentDate-2)-F2042)</f>
        <v>2</v>
      </c>
      <c r="B2031">
        <v>8998.9</v>
      </c>
      <c r="C2031">
        <v>8998</v>
      </c>
      <c r="D2031">
        <v>4</v>
      </c>
      <c r="E2031">
        <v>100</v>
      </c>
      <c r="F2031" s="70">
        <v>44539</v>
      </c>
      <c r="G2031" t="str">
        <f>IFERROR(IF((F2031-F2030)&gt;1,(LARGE(F2031:$F2031,1)-LARGE(F$2029:$F2031,2))-1,""),"")</f>
        <v/>
      </c>
    </row>
    <row r="2032" spans="1:7">
      <c r="A2032" s="79" t="s">
        <v>44026</v>
      </c>
      <c r="B2032">
        <v>9000</v>
      </c>
      <c r="C2032">
        <v>9000</v>
      </c>
      <c r="D2032">
        <v>1</v>
      </c>
      <c r="E2032">
        <v>2</v>
      </c>
      <c r="F2032" s="70">
        <v>44540</v>
      </c>
      <c r="G2032" t="str">
        <f>IFERROR(IF((F2032-F2031)&gt;1,(LARGE(F2032:$F2032,1)-LARGE(F$2029:$F2032,2))-1,""),"")</f>
        <v/>
      </c>
    </row>
    <row r="2033" spans="1:7">
      <c r="A2033" s="83">
        <f>SUM(G2036:G2042)</f>
        <v>2</v>
      </c>
      <c r="B2033">
        <v>9000</v>
      </c>
      <c r="C2033">
        <v>9000</v>
      </c>
      <c r="D2033">
        <v>1</v>
      </c>
      <c r="E2033">
        <v>5</v>
      </c>
      <c r="F2033" s="70">
        <v>44541</v>
      </c>
      <c r="G2033" t="str">
        <f>IFERROR(IF((F2033-F2032)&gt;1,(LARGE(F2033:$F2033,1)-LARGE(F$2029:$F2033,2))-1,""),"")</f>
        <v/>
      </c>
    </row>
    <row r="2034" spans="1:7">
      <c r="A2034" s="79" t="s">
        <v>44029</v>
      </c>
      <c r="B2034">
        <v>9000</v>
      </c>
      <c r="C2034">
        <v>9000</v>
      </c>
      <c r="D2034">
        <v>1</v>
      </c>
      <c r="E2034">
        <v>10</v>
      </c>
      <c r="F2034" s="70">
        <v>44542</v>
      </c>
      <c r="G2034" t="str">
        <f>IFERROR(IF((F2034-F2033)&gt;1,(LARGE(F2034:$F2034,1)-LARGE(F$2029:$F2034,2))-1,""),"")</f>
        <v/>
      </c>
    </row>
    <row r="2035" spans="1:7">
      <c r="A2035" s="77">
        <f>(SUM(E2029:E2042)/(A2031+14)+SUM(G2029:G2042))</f>
        <v>99</v>
      </c>
      <c r="B2035">
        <v>4000</v>
      </c>
      <c r="C2035">
        <v>4000</v>
      </c>
      <c r="D2035">
        <v>3</v>
      </c>
      <c r="E2035">
        <v>112</v>
      </c>
      <c r="F2035" s="70">
        <v>44544</v>
      </c>
      <c r="G2035">
        <f>IFERROR(IF((F2035-F2034)&gt;1,(LARGE(F2035:$F2035,1)-LARGE(F$2029:$F2035,2))-1,""),"")</f>
        <v>1</v>
      </c>
    </row>
    <row r="2036" spans="1:7">
      <c r="A2036" s="77">
        <f>(SUM(E2036:E2042)/(A2031+7)+SUM(G2036:G2042))</f>
        <v>142.33333333333334</v>
      </c>
      <c r="B2036">
        <v>4000</v>
      </c>
      <c r="C2036">
        <v>4000</v>
      </c>
      <c r="D2036">
        <v>3</v>
      </c>
      <c r="E2036">
        <v>445</v>
      </c>
      <c r="F2036" s="70">
        <v>44545</v>
      </c>
      <c r="G2036" t="str">
        <f>IFERROR(IF((F2036-F2035)&gt;1,(LARGE(F2036:$F2036,1)-LARGE(F$2029:$F2036,2))-1,""),"")</f>
        <v/>
      </c>
    </row>
    <row r="2037" spans="1:7">
      <c r="A2037" s="79" t="s">
        <v>44028</v>
      </c>
      <c r="B2037">
        <v>14110</v>
      </c>
      <c r="C2037">
        <v>14110</v>
      </c>
      <c r="D2037">
        <v>5</v>
      </c>
      <c r="E2037">
        <v>498</v>
      </c>
      <c r="F2037" s="70">
        <v>44546</v>
      </c>
      <c r="G2037" t="str">
        <f>IFERROR(IF((F2037-F2036)&gt;1,(LARGE(F2037:$F2037,1)-LARGE(F$2029:$F2037,2))-1,""),"")</f>
        <v/>
      </c>
    </row>
    <row r="2038" spans="1:7">
      <c r="A2038" s="77">
        <f>(SUM(D2039:D2042)/(A2031+4)+SUM(G2039:G2042))</f>
        <v>4.5</v>
      </c>
      <c r="B2038">
        <v>28480</v>
      </c>
      <c r="C2038">
        <v>28480</v>
      </c>
      <c r="D2038">
        <v>1</v>
      </c>
      <c r="E2038">
        <v>2</v>
      </c>
      <c r="F2038" s="70">
        <v>44547</v>
      </c>
      <c r="G2038" t="str">
        <f>IFERROR(IF((F2038-F2037)&gt;1,(LARGE(F2038:$F2038,1)-LARGE(F$2029:$F2038,2))-1,""),"")</f>
        <v/>
      </c>
    </row>
    <row r="2039" spans="1:7">
      <c r="A2039" s="85" t="s">
        <v>44027</v>
      </c>
      <c r="B2039">
        <v>28480</v>
      </c>
      <c r="C2039">
        <v>28480</v>
      </c>
      <c r="D2039">
        <v>1</v>
      </c>
      <c r="E2039">
        <v>5</v>
      </c>
      <c r="F2039" s="70">
        <v>44549</v>
      </c>
      <c r="G2039">
        <f>IFERROR(IF((F2039-F2038)&gt;1,(LARGE(F2039:$F2039,1)-LARGE(F$2029:$F2039,2))-1,""),"")</f>
        <v>1</v>
      </c>
    </row>
    <row r="2040" spans="1:7">
      <c r="A2040" s="86">
        <f>IF(A2033+A2031&gt;10,"Look Up",AVERAGE(A2035,A2036))</f>
        <v>120.66666666666667</v>
      </c>
      <c r="B2040">
        <v>28000</v>
      </c>
      <c r="C2040">
        <v>28000</v>
      </c>
      <c r="D2040">
        <v>5</v>
      </c>
      <c r="E2040">
        <v>242</v>
      </c>
      <c r="F2040" s="70">
        <v>44550</v>
      </c>
      <c r="G2040" t="str">
        <f>IFERROR(IF((F2040-F2039)&gt;1,(LARGE(F2040:$F2040,1)-LARGE(F$2029:$F2040,2))-1,""),"")</f>
        <v/>
      </c>
    </row>
    <row r="2041" spans="1:7">
      <c r="A2041" s="85" t="s">
        <v>44030</v>
      </c>
      <c r="B2041">
        <v>28480</v>
      </c>
      <c r="C2041">
        <v>28480</v>
      </c>
      <c r="D2041">
        <v>5</v>
      </c>
      <c r="E2041">
        <v>51</v>
      </c>
      <c r="F2041" s="70">
        <v>44552</v>
      </c>
      <c r="G2041">
        <f>IFERROR(IF((F2041-F2040)&gt;1,(LARGE(F2041:$F2041,1)-LARGE(F$2029:$F2041,2))-1,""),"")</f>
        <v>1</v>
      </c>
    </row>
    <row r="2042" spans="1:7">
      <c r="A2042" s="88"/>
      <c r="B2042">
        <v>28480</v>
      </c>
      <c r="C2042">
        <v>28480</v>
      </c>
      <c r="D2042">
        <v>4</v>
      </c>
      <c r="E2042">
        <v>20</v>
      </c>
      <c r="F2042" s="70">
        <v>44553</v>
      </c>
      <c r="G2042" t="str">
        <f>IFERROR(IF((F2042-F2041)&gt;1,(LARGE(F2042:$F2042,1)-LARGE(F$2029:$F2042,2))-1,""),"")</f>
        <v/>
      </c>
    </row>
    <row r="2043" spans="1:7">
      <c r="A2043" s="65">
        <f>VLOOKUP(TradeSheet!A138,TypeIDs!B:C,2,FALSE)</f>
        <v>2454</v>
      </c>
      <c r="B2043" t="s">
        <v>43998</v>
      </c>
      <c r="C2043" t="s">
        <v>43999</v>
      </c>
      <c r="D2043" t="s">
        <v>44000</v>
      </c>
      <c r="E2043" t="s">
        <v>44001</v>
      </c>
      <c r="F2043" t="s">
        <v>44009</v>
      </c>
      <c r="G2043" t="s">
        <v>44008</v>
      </c>
    </row>
    <row r="2044" spans="1:7">
      <c r="A2044" s="65" t="str">
        <f>CONCATENATE(SwaggerURL,input137)</f>
        <v>https://esi.evetech.net/latest/markets/10000021/history/?datasource=tranquility&amp;type_id=2454</v>
      </c>
      <c r="B2044">
        <v>4000</v>
      </c>
      <c r="C2044">
        <v>4000</v>
      </c>
      <c r="D2044">
        <v>2</v>
      </c>
      <c r="E2044">
        <v>7</v>
      </c>
      <c r="F2044" s="70">
        <v>44520</v>
      </c>
      <c r="G2044" t="str">
        <f>IFERROR(IF((F2044-F2043)&gt;1,(LARGE(F2044:$F2044,1)-LARGE(F$2044:$F2044,2))-1,""),"")</f>
        <v/>
      </c>
    </row>
    <row r="2045" spans="1:7">
      <c r="A2045" s="79" t="s">
        <v>44018</v>
      </c>
      <c r="B2045">
        <v>4000</v>
      </c>
      <c r="C2045">
        <v>4000</v>
      </c>
      <c r="D2045">
        <v>1</v>
      </c>
      <c r="E2045">
        <v>2</v>
      </c>
      <c r="F2045" s="70">
        <v>44521</v>
      </c>
      <c r="G2045" t="str">
        <f>IFERROR(IF((F2045-F2044)&gt;1,(LARGE(F2045:$F2045,1)-LARGE(F$2044:$F2045,2))-1,""),"")</f>
        <v/>
      </c>
    </row>
    <row r="2046" spans="1:7">
      <c r="A2046" s="78">
        <f>MAX(0,(CurrentDate-2)-F2057)</f>
        <v>3</v>
      </c>
      <c r="B2046">
        <v>15000</v>
      </c>
      <c r="C2046">
        <v>15000</v>
      </c>
      <c r="D2046">
        <v>1</v>
      </c>
      <c r="E2046">
        <v>5</v>
      </c>
      <c r="F2046" s="70">
        <v>44529</v>
      </c>
      <c r="G2046">
        <f>IFERROR(IF((F2046-F2045)&gt;1,(LARGE(F2046:$F2046,1)-LARGE(F$2044:$F2046,2))-1,""),"")</f>
        <v>7</v>
      </c>
    </row>
    <row r="2047" spans="1:7">
      <c r="A2047" s="79" t="s">
        <v>44026</v>
      </c>
      <c r="B2047">
        <v>15000</v>
      </c>
      <c r="C2047">
        <v>15000</v>
      </c>
      <c r="D2047">
        <v>2</v>
      </c>
      <c r="E2047">
        <v>13</v>
      </c>
      <c r="F2047" s="70">
        <v>44531</v>
      </c>
      <c r="G2047">
        <f>IFERROR(IF((F2047-F2046)&gt;1,(LARGE(F2047:$F2047,1)-LARGE(F$2044:$F2047,2))-1,""),"")</f>
        <v>1</v>
      </c>
    </row>
    <row r="2048" spans="1:7">
      <c r="A2048" s="83">
        <f>SUM(G2051:G2057)</f>
        <v>6</v>
      </c>
      <c r="B2048">
        <v>15000</v>
      </c>
      <c r="C2048">
        <v>15000</v>
      </c>
      <c r="D2048">
        <v>3</v>
      </c>
      <c r="E2048">
        <v>13</v>
      </c>
      <c r="F2048" s="70">
        <v>44535</v>
      </c>
      <c r="G2048">
        <f>IFERROR(IF((F2048-F2047)&gt;1,(LARGE(F2048:$F2048,1)-LARGE(F$2044:$F2048,2))-1,""),"")</f>
        <v>3</v>
      </c>
    </row>
    <row r="2049" spans="1:7">
      <c r="A2049" s="79" t="s">
        <v>44029</v>
      </c>
      <c r="B2049">
        <v>15000</v>
      </c>
      <c r="C2049">
        <v>15000</v>
      </c>
      <c r="D2049">
        <v>1</v>
      </c>
      <c r="E2049">
        <v>4</v>
      </c>
      <c r="F2049" s="70">
        <v>44536</v>
      </c>
      <c r="G2049" t="str">
        <f>IFERROR(IF((F2049-F2048)&gt;1,(LARGE(F2049:$F2049,1)-LARGE(F$2044:$F2049,2))-1,""),"")</f>
        <v/>
      </c>
    </row>
    <row r="2050" spans="1:7">
      <c r="A2050" s="77">
        <f>(SUM(E2044:E2057)/(A2046+14)+SUM(G2044:G2057))</f>
        <v>27.352941176470587</v>
      </c>
      <c r="B2050">
        <v>14850</v>
      </c>
      <c r="C2050">
        <v>14850</v>
      </c>
      <c r="D2050">
        <v>4</v>
      </c>
      <c r="E2050">
        <v>20</v>
      </c>
      <c r="F2050" s="70">
        <v>44539</v>
      </c>
      <c r="G2050">
        <f>IFERROR(IF((F2050-F2049)&gt;1,(LARGE(F2050:$F2050,1)-LARGE(F$2044:$F2050,2))-1,""),"")</f>
        <v>2</v>
      </c>
    </row>
    <row r="2051" spans="1:7">
      <c r="A2051" s="77">
        <f>(SUM(E2051:E2057)/(A2046+7)+SUM(G2051:G2057))</f>
        <v>13.8</v>
      </c>
      <c r="B2051">
        <v>14850</v>
      </c>
      <c r="C2051">
        <v>14850</v>
      </c>
      <c r="D2051">
        <v>1</v>
      </c>
      <c r="E2051">
        <v>8</v>
      </c>
      <c r="F2051" s="70">
        <v>44540</v>
      </c>
      <c r="G2051" t="str">
        <f>IFERROR(IF((F2051-F2050)&gt;1,(LARGE(F2051:$F2051,1)-LARGE(F$2044:$F2051,2))-1,""),"")</f>
        <v/>
      </c>
    </row>
    <row r="2052" spans="1:7">
      <c r="A2052" s="79" t="s">
        <v>44028</v>
      </c>
      <c r="B2052">
        <v>14850</v>
      </c>
      <c r="C2052">
        <v>14850</v>
      </c>
      <c r="D2052">
        <v>1</v>
      </c>
      <c r="E2052">
        <v>4</v>
      </c>
      <c r="F2052" s="70">
        <v>44541</v>
      </c>
      <c r="G2052" t="str">
        <f>IFERROR(IF((F2052-F2051)&gt;1,(LARGE(F2052:$F2052,1)-LARGE(F$2044:$F2052,2))-1,""),"")</f>
        <v/>
      </c>
    </row>
    <row r="2053" spans="1:7">
      <c r="A2053" s="77">
        <f>(SUM(D2054:D2057)/(A2046+4)+SUM(G2054:G2057))</f>
        <v>7.7142857142857144</v>
      </c>
      <c r="B2053">
        <v>14864.29</v>
      </c>
      <c r="C2053">
        <v>14800</v>
      </c>
      <c r="D2053">
        <v>5</v>
      </c>
      <c r="E2053">
        <v>21</v>
      </c>
      <c r="F2053" s="70">
        <v>44542</v>
      </c>
      <c r="G2053" t="str">
        <f>IFERROR(IF((F2053-F2052)&gt;1,(LARGE(F2053:$F2053,1)-LARGE(F$2044:$F2053,2))-1,""),"")</f>
        <v/>
      </c>
    </row>
    <row r="2054" spans="1:7">
      <c r="A2054" s="85" t="s">
        <v>44027</v>
      </c>
      <c r="B2054">
        <v>14850</v>
      </c>
      <c r="C2054">
        <v>14850</v>
      </c>
      <c r="D2054">
        <v>2</v>
      </c>
      <c r="E2054">
        <v>3</v>
      </c>
      <c r="F2054" s="70">
        <v>44545</v>
      </c>
      <c r="G2054">
        <f>IFERROR(IF((F2054-F2053)&gt;1,(LARGE(F2054:$F2054,1)-LARGE(F$2044:$F2054,2))-1,""),"")</f>
        <v>2</v>
      </c>
    </row>
    <row r="2055" spans="1:7">
      <c r="A2055" s="86">
        <f>IF(A2048+A2046&gt;10,"Look Up",AVERAGE(A2050,A2051))</f>
        <v>20.576470588235296</v>
      </c>
      <c r="B2055">
        <v>14865</v>
      </c>
      <c r="C2055">
        <v>14850</v>
      </c>
      <c r="D2055">
        <v>7</v>
      </c>
      <c r="E2055">
        <v>32</v>
      </c>
      <c r="F2055" s="70">
        <v>44548</v>
      </c>
      <c r="G2055">
        <f>IFERROR(IF((F2055-F2054)&gt;1,(LARGE(F2055:$F2055,1)-LARGE(F$2044:$F2055,2))-1,""),"")</f>
        <v>2</v>
      </c>
    </row>
    <row r="2056" spans="1:7">
      <c r="A2056" s="85" t="s">
        <v>44030</v>
      </c>
      <c r="B2056">
        <v>14890</v>
      </c>
      <c r="C2056">
        <v>14890</v>
      </c>
      <c r="D2056">
        <v>1</v>
      </c>
      <c r="E2056">
        <v>5</v>
      </c>
      <c r="F2056" s="70">
        <v>44549</v>
      </c>
      <c r="G2056" t="str">
        <f>IFERROR(IF((F2056-F2055)&gt;1,(LARGE(F2056:$F2056,1)-LARGE(F$2044:$F2056,2))-1,""),"")</f>
        <v/>
      </c>
    </row>
    <row r="2057" spans="1:7">
      <c r="A2057" s="88"/>
      <c r="B2057">
        <v>14874</v>
      </c>
      <c r="C2057">
        <v>14870</v>
      </c>
      <c r="D2057">
        <v>2</v>
      </c>
      <c r="E2057">
        <v>5</v>
      </c>
      <c r="F2057" s="70">
        <v>44552</v>
      </c>
      <c r="G2057">
        <f>IFERROR(IF((F2057-F2056)&gt;1,(LARGE(F2057:$F2057,1)-LARGE(F$2044:$F2057,2))-1,""),"")</f>
        <v>2</v>
      </c>
    </row>
  </sheetData>
  <mergeCells count="1">
    <mergeCell ref="I3:M3"/>
  </mergeCells>
  <phoneticPr fontId="19" type="noConversion"/>
  <pageMargins left="0.7" right="0.7" top="0.75" bottom="0.75" header="0.3" footer="0.3"/>
  <pageSetup orientation="portrait" r:id="rId1"/>
  <tableParts count="13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94"/>
  <sheetViews>
    <sheetView topLeftCell="A22" zoomScale="145" zoomScaleNormal="145" workbookViewId="0">
      <selection activeCell="D28" sqref="D28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6" spans="2:10">
      <c r="B6" t="s">
        <v>42284</v>
      </c>
      <c r="C6" s="2" t="s">
        <v>42285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115" t="s">
        <v>6</v>
      </c>
      <c r="F12" s="115"/>
      <c r="G12" s="115"/>
      <c r="H12" s="115"/>
      <c r="I12" s="115"/>
      <c r="J12" s="115"/>
    </row>
    <row r="13" spans="2:10">
      <c r="C13" s="1">
        <v>35</v>
      </c>
      <c r="E13" s="115"/>
      <c r="F13" s="115"/>
      <c r="G13" s="115"/>
      <c r="H13" s="115"/>
      <c r="I13" s="115"/>
      <c r="J13" s="115"/>
    </row>
    <row r="14" spans="2:10">
      <c r="C14" s="1">
        <v>36</v>
      </c>
      <c r="E14" s="115"/>
      <c r="F14" s="115"/>
      <c r="G14" s="115"/>
      <c r="H14" s="115"/>
      <c r="I14" s="115"/>
      <c r="J14" s="115"/>
    </row>
    <row r="15" spans="2:10">
      <c r="C15" s="1">
        <v>37</v>
      </c>
      <c r="E15" s="115"/>
      <c r="F15" s="115"/>
      <c r="G15" s="115"/>
      <c r="H15" s="115"/>
      <c r="I15" s="115"/>
      <c r="J15" s="115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22037&lt;/volume&gt;&lt;avg&gt;7.50&lt;/avg&gt;&lt;stddev&gt;0.00&lt;/stddev&gt;&lt;median&gt;7.50&lt;/median&gt;&lt;percentile&gt;7.50&lt;/percentile&gt;&lt;max&gt;7.50&lt;/max&gt;&lt;min&gt;7.50&lt;/min&gt;&lt;/sell&gt;&lt;/type&gt;&lt;type id="35"&gt;&lt;buy&gt;&lt;volume&gt;741867632&lt;/volume&gt;&lt;avg&gt;4.35&lt;/avg&gt;&lt;stddev&gt;4.21&lt;/stddev&gt;&lt;median&gt;3.04&lt;/median&gt;&lt;percentile&gt;11.75&lt;/percentile&gt;&lt;max&gt;12.55&lt;/max&gt;&lt;min&gt;3.02&lt;/min&gt;&lt;/buy&gt;&lt;sell&gt;&lt;volume&gt;516198093&lt;/volume&gt;&lt;avg&gt;12.36&lt;/avg&gt;&lt;stddev&gt;3.49&lt;/stddev&gt;&lt;median&gt;12.00&lt;/median&gt;&lt;percentile&gt;11.99&lt;/percentile&gt;&lt;max&gt;20.00&lt;/max&gt;&lt;min&gt;11.99&lt;/min&gt;&lt;/sell&gt;&lt;/type&gt;&lt;type id="36"&gt;&lt;buy&gt;&lt;volume&gt;69308821&lt;/volume&gt;&lt;avg&gt;31.28&lt;/avg&gt;&lt;stddev&gt;4.02&lt;/stddev&gt;&lt;median&gt;31.08&lt;/median&gt;&lt;percentile&gt;40.00&lt;/percentile&gt;&lt;max&gt;40.00&lt;/max&gt;&lt;min&gt;23.54&lt;/min&gt;&lt;/buy&gt;&lt;sell&gt;&lt;volume&gt;22697527&lt;/volume&gt;&lt;avg&gt;73.56&lt;/avg&gt;&lt;stddev&gt;12.70&lt;/stddev&gt;&lt;median&gt;75.00&lt;/median&gt;&lt;percentile&gt;67.92&lt;/percentile&gt;&lt;max&gt;91.01&lt;/max&gt;&lt;min&gt;60.00&lt;/min&gt;&lt;/sell&gt;&lt;/type&gt;&lt;type id="37"&gt;&lt;buy&gt;&lt;volume&gt;59709247&lt;/volume&gt;&lt;avg&gt;44.59&lt;/avg&gt;&lt;stddev&gt;13.66&lt;/stddev&gt;&lt;median&gt;43.10&lt;/median&gt;&lt;percentile&gt;75.35&lt;/percentile&gt;&lt;max&gt;76.50&lt;/max&gt;&lt;min&gt;33.00&lt;/min&gt;&lt;/buy&gt;&lt;sell&gt;&lt;volume&gt;129381386&lt;/volume&gt;&lt;avg&gt;394.54&lt;/avg&gt;&lt;stddev&gt;237.20&lt;/stddev&gt;&lt;median&gt;460.00&lt;/median&gt;&lt;percentile&gt;98.90&lt;/percentile&gt;&lt;max&gt;900.00&lt;/max&gt;&lt;min&gt;98.90&lt;/min&gt;&lt;/sell&gt;&lt;/type&gt;&lt;type id="38"&gt;&lt;buy&gt;&lt;volume&gt;5398795&lt;/volume&gt;&lt;avg&gt;420.21&lt;/avg&gt;&lt;stddev&gt;287.86&lt;/stddev&gt;&lt;median&gt;337.75&lt;/median&gt;&lt;percentile&gt;981.50&lt;/percentile&gt;&lt;max&gt;1001.00&lt;/max&gt;&lt;min&gt;333.50&lt;/min&gt;&lt;/buy&gt;&lt;sell&gt;&lt;volume&gt;3564973&lt;/volume&gt;&lt;avg&gt;1389.89&lt;/avg&gt;&lt;stddev&gt;60.11&lt;/stddev&gt;&lt;median&gt;1409.50&lt;/median&gt;&lt;percentile&gt;1323.00&lt;/percentile&gt;&lt;max&gt;1500.00&lt;/max&gt;&lt;min&gt;1323.00&lt;/min&gt;&lt;/sell&gt;&lt;/type&gt;&lt;/marketstat&gt;&lt;/exec_api&gt;</v>
      </c>
    </row>
    <row r="22" spans="2:11" ht="15" customHeight="1">
      <c r="B22" s="115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115"/>
      <c r="C23">
        <v>12.55</v>
      </c>
      <c r="D23">
        <v>741867632</v>
      </c>
    </row>
    <row r="24" spans="2:11">
      <c r="B24" s="115"/>
      <c r="C24">
        <v>40</v>
      </c>
      <c r="D24">
        <v>69308821</v>
      </c>
    </row>
    <row r="25" spans="2:11">
      <c r="B25" s="115"/>
      <c r="C25">
        <v>76.5</v>
      </c>
      <c r="D25">
        <v>59709247</v>
      </c>
    </row>
    <row r="26" spans="2:11">
      <c r="B26" s="115"/>
      <c r="C26">
        <v>1001</v>
      </c>
      <c r="D26">
        <v>5398795</v>
      </c>
    </row>
    <row r="28" spans="2:11">
      <c r="C28" s="14" t="s">
        <v>40448</v>
      </c>
      <c r="D28" s="14">
        <v>1037022454355</v>
      </c>
    </row>
    <row r="29" spans="2:11">
      <c r="C29" s="14" t="s">
        <v>42282</v>
      </c>
      <c r="D29" s="14" t="s">
        <v>42283</v>
      </c>
      <c r="E29" s="14"/>
      <c r="F29" s="14"/>
      <c r="G29" s="14"/>
      <c r="H29" s="14"/>
      <c r="I29" s="14"/>
      <c r="J29" s="14"/>
      <c r="K29" s="14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  <row r="69" spans="3:4">
      <c r="C69" s="75"/>
      <c r="D69" s="75"/>
    </row>
    <row r="70" spans="3:4">
      <c r="C70" s="75"/>
      <c r="D70" s="75"/>
    </row>
    <row r="71" spans="3:4">
      <c r="C71" s="75"/>
      <c r="D71" s="75"/>
    </row>
    <row r="72" spans="3:4">
      <c r="C72" s="75"/>
      <c r="D72" s="75"/>
    </row>
    <row r="73" spans="3:4">
      <c r="C73" s="75"/>
      <c r="D73" s="75"/>
    </row>
    <row r="74" spans="3:4">
      <c r="C74" s="75"/>
      <c r="D74" s="75"/>
    </row>
    <row r="75" spans="3:4">
      <c r="C75" s="75"/>
      <c r="D75" s="75"/>
    </row>
    <row r="77" spans="3:4">
      <c r="C77" s="75"/>
      <c r="D77" s="75"/>
    </row>
    <row r="78" spans="3:4">
      <c r="C78" s="75"/>
      <c r="D78" s="75"/>
    </row>
    <row r="79" spans="3:4">
      <c r="C79" s="75"/>
      <c r="D79" s="75"/>
    </row>
    <row r="80" spans="3:4">
      <c r="C80" s="75"/>
      <c r="D80" s="75"/>
    </row>
    <row r="81" spans="3:4">
      <c r="C81" s="75"/>
      <c r="D81" s="75"/>
    </row>
    <row r="82" spans="3:4">
      <c r="C82" s="75"/>
      <c r="D82" s="75"/>
    </row>
    <row r="83" spans="3:4">
      <c r="C83" s="75"/>
      <c r="D83" s="75"/>
    </row>
    <row r="84" spans="3:4">
      <c r="C84" s="75"/>
      <c r="D84" s="75"/>
    </row>
    <row r="86" spans="3:4">
      <c r="C86" s="75"/>
      <c r="D86" s="75"/>
    </row>
    <row r="89" spans="3:4">
      <c r="C89" s="75"/>
      <c r="D89" s="75"/>
    </row>
    <row r="92" spans="3:4">
      <c r="C92" s="75"/>
      <c r="D92" s="75"/>
    </row>
    <row r="93" spans="3:4">
      <c r="C93" s="75"/>
      <c r="D93" s="75"/>
    </row>
    <row r="94" spans="3:4">
      <c r="D94" s="75"/>
    </row>
  </sheetData>
  <mergeCells count="2">
    <mergeCell ref="B22:B26"/>
    <mergeCell ref="E12:J15"/>
  </mergeCells>
  <hyperlinks>
    <hyperlink ref="C7" r:id="rId1" xr:uid="{00000000-0004-0000-0000-000000000000}"/>
    <hyperlink ref="C6" r:id="rId2" xr:uid="{BA6EE4CD-C716-49B6-B5AE-6442F5FB33BB}"/>
  </hyperlinks>
  <pageMargins left="0.7" right="0.7" top="0.75" bottom="0.75" header="0.3" footer="0.3"/>
  <pageSetup paperSize="9"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323</vt:i4>
      </vt:variant>
    </vt:vector>
  </HeadingPairs>
  <TitlesOfParts>
    <vt:vector size="329" baseType="lpstr">
      <vt:lpstr>TradeSheet</vt:lpstr>
      <vt:lpstr>Buylist</vt:lpstr>
      <vt:lpstr>TypeIDs</vt:lpstr>
      <vt:lpstr>TargetInput</vt:lpstr>
      <vt:lpstr>AverageVolume</vt:lpstr>
      <vt:lpstr>Tutorial</vt:lpstr>
      <vt:lpstr>CurrentDate</vt:lpstr>
      <vt:lpstr>input001</vt:lpstr>
      <vt:lpstr>input002</vt:lpstr>
      <vt:lpstr>input003</vt:lpstr>
      <vt:lpstr>input004</vt:lpstr>
      <vt:lpstr>input005</vt:lpstr>
      <vt:lpstr>input006</vt:lpstr>
      <vt:lpstr>input007</vt:lpstr>
      <vt:lpstr>input008</vt:lpstr>
      <vt:lpstr>input009</vt:lpstr>
      <vt:lpstr>input010</vt:lpstr>
      <vt:lpstr>input011</vt:lpstr>
      <vt:lpstr>input012</vt:lpstr>
      <vt:lpstr>input013</vt:lpstr>
      <vt:lpstr>input014</vt:lpstr>
      <vt:lpstr>input015</vt:lpstr>
      <vt:lpstr>input016</vt:lpstr>
      <vt:lpstr>input017</vt:lpstr>
      <vt:lpstr>input018</vt:lpstr>
      <vt:lpstr>input019</vt:lpstr>
      <vt:lpstr>input020</vt:lpstr>
      <vt:lpstr>input021</vt:lpstr>
      <vt:lpstr>input022</vt:lpstr>
      <vt:lpstr>input023</vt:lpstr>
      <vt:lpstr>input024</vt:lpstr>
      <vt:lpstr>input025</vt:lpstr>
      <vt:lpstr>input026</vt:lpstr>
      <vt:lpstr>input027</vt:lpstr>
      <vt:lpstr>input028</vt:lpstr>
      <vt:lpstr>input029</vt:lpstr>
      <vt:lpstr>input030</vt:lpstr>
      <vt:lpstr>input031</vt:lpstr>
      <vt:lpstr>input032</vt:lpstr>
      <vt:lpstr>input033</vt:lpstr>
      <vt:lpstr>input034</vt:lpstr>
      <vt:lpstr>input035</vt:lpstr>
      <vt:lpstr>input036</vt:lpstr>
      <vt:lpstr>input037</vt:lpstr>
      <vt:lpstr>input038</vt:lpstr>
      <vt:lpstr>input039</vt:lpstr>
      <vt:lpstr>input040</vt:lpstr>
      <vt:lpstr>input041</vt:lpstr>
      <vt:lpstr>input042</vt:lpstr>
      <vt:lpstr>input043</vt:lpstr>
      <vt:lpstr>input044</vt:lpstr>
      <vt:lpstr>input045</vt:lpstr>
      <vt:lpstr>input046</vt:lpstr>
      <vt:lpstr>input047</vt:lpstr>
      <vt:lpstr>input048</vt:lpstr>
      <vt:lpstr>input049</vt:lpstr>
      <vt:lpstr>input050</vt:lpstr>
      <vt:lpstr>input051</vt:lpstr>
      <vt:lpstr>input052</vt:lpstr>
      <vt:lpstr>input053</vt:lpstr>
      <vt:lpstr>input054</vt:lpstr>
      <vt:lpstr>input055</vt:lpstr>
      <vt:lpstr>input056</vt:lpstr>
      <vt:lpstr>input057</vt:lpstr>
      <vt:lpstr>input058</vt:lpstr>
      <vt:lpstr>input059</vt:lpstr>
      <vt:lpstr>input060</vt:lpstr>
      <vt:lpstr>input061</vt:lpstr>
      <vt:lpstr>input062</vt:lpstr>
      <vt:lpstr>input063</vt:lpstr>
      <vt:lpstr>input064</vt:lpstr>
      <vt:lpstr>input065</vt:lpstr>
      <vt:lpstr>input066</vt:lpstr>
      <vt:lpstr>input067</vt:lpstr>
      <vt:lpstr>input068</vt:lpstr>
      <vt:lpstr>input069</vt:lpstr>
      <vt:lpstr>input070</vt:lpstr>
      <vt:lpstr>input071</vt:lpstr>
      <vt:lpstr>input072</vt:lpstr>
      <vt:lpstr>input073</vt:lpstr>
      <vt:lpstr>input074</vt:lpstr>
      <vt:lpstr>input075</vt:lpstr>
      <vt:lpstr>input076</vt:lpstr>
      <vt:lpstr>input077</vt:lpstr>
      <vt:lpstr>input078</vt:lpstr>
      <vt:lpstr>input079</vt:lpstr>
      <vt:lpstr>input080</vt:lpstr>
      <vt:lpstr>input081</vt:lpstr>
      <vt:lpstr>input082</vt:lpstr>
      <vt:lpstr>input083</vt:lpstr>
      <vt:lpstr>input084</vt:lpstr>
      <vt:lpstr>input085</vt:lpstr>
      <vt:lpstr>input086</vt:lpstr>
      <vt:lpstr>input087</vt:lpstr>
      <vt:lpstr>input088</vt:lpstr>
      <vt:lpstr>input089</vt:lpstr>
      <vt:lpstr>input090</vt:lpstr>
      <vt:lpstr>input091</vt:lpstr>
      <vt:lpstr>input092</vt:lpstr>
      <vt:lpstr>input093</vt:lpstr>
      <vt:lpstr>input094</vt:lpstr>
      <vt:lpstr>input095</vt:lpstr>
      <vt:lpstr>input096</vt:lpstr>
      <vt:lpstr>input097</vt:lpstr>
      <vt:lpstr>input098</vt:lpstr>
      <vt:lpstr>input099</vt:lpstr>
      <vt:lpstr>input100</vt:lpstr>
      <vt:lpstr>input101</vt:lpstr>
      <vt:lpstr>input102</vt:lpstr>
      <vt:lpstr>input103</vt:lpstr>
      <vt:lpstr>input104</vt:lpstr>
      <vt:lpstr>input105</vt:lpstr>
      <vt:lpstr>input106</vt:lpstr>
      <vt:lpstr>input107</vt:lpstr>
      <vt:lpstr>input108</vt:lpstr>
      <vt:lpstr>input109</vt:lpstr>
      <vt:lpstr>input110</vt:lpstr>
      <vt:lpstr>input111</vt:lpstr>
      <vt:lpstr>input112</vt:lpstr>
      <vt:lpstr>input113</vt:lpstr>
      <vt:lpstr>input114</vt:lpstr>
      <vt:lpstr>input115</vt:lpstr>
      <vt:lpstr>input116</vt:lpstr>
      <vt:lpstr>input117</vt:lpstr>
      <vt:lpstr>input118</vt:lpstr>
      <vt:lpstr>input119</vt:lpstr>
      <vt:lpstr>input120</vt:lpstr>
      <vt:lpstr>input121</vt:lpstr>
      <vt:lpstr>input122</vt:lpstr>
      <vt:lpstr>input123</vt:lpstr>
      <vt:lpstr>input124</vt:lpstr>
      <vt:lpstr>input125</vt:lpstr>
      <vt:lpstr>input126</vt:lpstr>
      <vt:lpstr>input127</vt:lpstr>
      <vt:lpstr>input128</vt:lpstr>
      <vt:lpstr>input129</vt:lpstr>
      <vt:lpstr>input130</vt:lpstr>
      <vt:lpstr>input131</vt:lpstr>
      <vt:lpstr>input132</vt:lpstr>
      <vt:lpstr>input133</vt:lpstr>
      <vt:lpstr>input134</vt:lpstr>
      <vt:lpstr>input135</vt:lpstr>
      <vt:lpstr>input136</vt:lpstr>
      <vt:lpstr>input137</vt:lpstr>
      <vt:lpstr>Jita</vt:lpstr>
      <vt:lpstr>result100</vt:lpstr>
      <vt:lpstr>result101</vt:lpstr>
      <vt:lpstr>result102</vt:lpstr>
      <vt:lpstr>result103</vt:lpstr>
      <vt:lpstr>result104</vt:lpstr>
      <vt:lpstr>result105</vt:lpstr>
      <vt:lpstr>result106</vt:lpstr>
      <vt:lpstr>result107</vt:lpstr>
      <vt:lpstr>result108</vt:lpstr>
      <vt:lpstr>result109</vt:lpstr>
      <vt:lpstr>result110</vt:lpstr>
      <vt:lpstr>result111</vt:lpstr>
      <vt:lpstr>result112</vt:lpstr>
      <vt:lpstr>result113</vt:lpstr>
      <vt:lpstr>result114</vt:lpstr>
      <vt:lpstr>result115</vt:lpstr>
      <vt:lpstr>result116</vt:lpstr>
      <vt:lpstr>result117</vt:lpstr>
      <vt:lpstr>result118</vt:lpstr>
      <vt:lpstr>result119</vt:lpstr>
      <vt:lpstr>result120</vt:lpstr>
      <vt:lpstr>result121</vt:lpstr>
      <vt:lpstr>result122</vt:lpstr>
      <vt:lpstr>result123</vt:lpstr>
      <vt:lpstr>result124</vt:lpstr>
      <vt:lpstr>result125</vt:lpstr>
      <vt:lpstr>result126</vt:lpstr>
      <vt:lpstr>result127</vt:lpstr>
      <vt:lpstr>result128</vt:lpstr>
      <vt:lpstr>result129</vt:lpstr>
      <vt:lpstr>result130</vt:lpstr>
      <vt:lpstr>result131</vt:lpstr>
      <vt:lpstr>result132</vt:lpstr>
      <vt:lpstr>result133</vt:lpstr>
      <vt:lpstr>result134</vt:lpstr>
      <vt:lpstr>result135</vt:lpstr>
      <vt:lpstr>result136</vt:lpstr>
      <vt:lpstr>result137</vt:lpstr>
      <vt:lpstr>ShippingCost</vt:lpstr>
      <vt:lpstr>swag026</vt:lpstr>
      <vt:lpstr>SwaggerURL</vt:lpstr>
      <vt:lpstr>swagURL001</vt:lpstr>
      <vt:lpstr>swagURL002</vt:lpstr>
      <vt:lpstr>swagURL003</vt:lpstr>
      <vt:lpstr>swagURL004</vt:lpstr>
      <vt:lpstr>swagURL005</vt:lpstr>
      <vt:lpstr>swagURL006</vt:lpstr>
      <vt:lpstr>swagURL007</vt:lpstr>
      <vt:lpstr>swagURL008</vt:lpstr>
      <vt:lpstr>swagURL009</vt:lpstr>
      <vt:lpstr>swagURL010</vt:lpstr>
      <vt:lpstr>swagURL011</vt:lpstr>
      <vt:lpstr>swagURL012</vt:lpstr>
      <vt:lpstr>swagURL013</vt:lpstr>
      <vt:lpstr>swagURL014</vt:lpstr>
      <vt:lpstr>swagURL015</vt:lpstr>
      <vt:lpstr>swagURL016</vt:lpstr>
      <vt:lpstr>swagURL017</vt:lpstr>
      <vt:lpstr>swagURL018</vt:lpstr>
      <vt:lpstr>swagURL019</vt:lpstr>
      <vt:lpstr>swagURL020</vt:lpstr>
      <vt:lpstr>swagURL021</vt:lpstr>
      <vt:lpstr>swagURL022</vt:lpstr>
      <vt:lpstr>swagURL023</vt:lpstr>
      <vt:lpstr>swagURL024</vt:lpstr>
      <vt:lpstr>swagURL025</vt:lpstr>
      <vt:lpstr>swagURL026</vt:lpstr>
      <vt:lpstr>swagURL027</vt:lpstr>
      <vt:lpstr>swagURL028</vt:lpstr>
      <vt:lpstr>swagURL029</vt:lpstr>
      <vt:lpstr>swagURL030</vt:lpstr>
      <vt:lpstr>swagURL031</vt:lpstr>
      <vt:lpstr>swagURL032</vt:lpstr>
      <vt:lpstr>swagURL033</vt:lpstr>
      <vt:lpstr>swagURL034</vt:lpstr>
      <vt:lpstr>swagURL035</vt:lpstr>
      <vt:lpstr>swagURL036</vt:lpstr>
      <vt:lpstr>swagURL037</vt:lpstr>
      <vt:lpstr>swagURL038</vt:lpstr>
      <vt:lpstr>swagURL039</vt:lpstr>
      <vt:lpstr>swagURL040</vt:lpstr>
      <vt:lpstr>swagURL041</vt:lpstr>
      <vt:lpstr>swagURL042</vt:lpstr>
      <vt:lpstr>swagURL043</vt:lpstr>
      <vt:lpstr>swagURL044</vt:lpstr>
      <vt:lpstr>swagURL045</vt:lpstr>
      <vt:lpstr>swagURL046</vt:lpstr>
      <vt:lpstr>swagURL047</vt:lpstr>
      <vt:lpstr>swagURL048</vt:lpstr>
      <vt:lpstr>swagURL049</vt:lpstr>
      <vt:lpstr>swagURL050</vt:lpstr>
      <vt:lpstr>swagURL051</vt:lpstr>
      <vt:lpstr>swagURL052</vt:lpstr>
      <vt:lpstr>swagURL053</vt:lpstr>
      <vt:lpstr>swagURL054</vt:lpstr>
      <vt:lpstr>swagURL055</vt:lpstr>
      <vt:lpstr>swagURL056</vt:lpstr>
      <vt:lpstr>swagURL057</vt:lpstr>
      <vt:lpstr>swagURL058</vt:lpstr>
      <vt:lpstr>swagURL059</vt:lpstr>
      <vt:lpstr>swagURL060</vt:lpstr>
      <vt:lpstr>swagURL061</vt:lpstr>
      <vt:lpstr>swagURL062</vt:lpstr>
      <vt:lpstr>swagURL063</vt:lpstr>
      <vt:lpstr>swagURL064</vt:lpstr>
      <vt:lpstr>swagURL065</vt:lpstr>
      <vt:lpstr>swagURL066</vt:lpstr>
      <vt:lpstr>swagURL067</vt:lpstr>
      <vt:lpstr>swagURL068</vt:lpstr>
      <vt:lpstr>swagURL069</vt:lpstr>
      <vt:lpstr>swagURL070</vt:lpstr>
      <vt:lpstr>swagURL071</vt:lpstr>
      <vt:lpstr>swagURL072</vt:lpstr>
      <vt:lpstr>swagURL073</vt:lpstr>
      <vt:lpstr>swagURL074</vt:lpstr>
      <vt:lpstr>swagURL075</vt:lpstr>
      <vt:lpstr>swagURL076</vt:lpstr>
      <vt:lpstr>swagURL077</vt:lpstr>
      <vt:lpstr>swagURL078</vt:lpstr>
      <vt:lpstr>swagURL079</vt:lpstr>
      <vt:lpstr>swagURL080</vt:lpstr>
      <vt:lpstr>swagURL081</vt:lpstr>
      <vt:lpstr>swagURL082</vt:lpstr>
      <vt:lpstr>swagURL083</vt:lpstr>
      <vt:lpstr>swagURL084</vt:lpstr>
      <vt:lpstr>swagURL085</vt:lpstr>
      <vt:lpstr>swagURL086</vt:lpstr>
      <vt:lpstr>swagURL087</vt:lpstr>
      <vt:lpstr>swagURL088</vt:lpstr>
      <vt:lpstr>swagURL089</vt:lpstr>
      <vt:lpstr>swagURL090</vt:lpstr>
      <vt:lpstr>swagURL091</vt:lpstr>
      <vt:lpstr>swagURL092</vt:lpstr>
      <vt:lpstr>swagURL093</vt:lpstr>
      <vt:lpstr>swagURL094</vt:lpstr>
      <vt:lpstr>swagURL095</vt:lpstr>
      <vt:lpstr>swagURL096</vt:lpstr>
      <vt:lpstr>swagURL097</vt:lpstr>
      <vt:lpstr>swagURL098</vt:lpstr>
      <vt:lpstr>swagURL099</vt:lpstr>
      <vt:lpstr>swagURL100</vt:lpstr>
      <vt:lpstr>swagurl101</vt:lpstr>
      <vt:lpstr>swagurl102</vt:lpstr>
      <vt:lpstr>swagurl103</vt:lpstr>
      <vt:lpstr>swagurl104</vt:lpstr>
      <vt:lpstr>swagurl105</vt:lpstr>
      <vt:lpstr>swagurl106</vt:lpstr>
      <vt:lpstr>swagurl107</vt:lpstr>
      <vt:lpstr>swagurl108</vt:lpstr>
      <vt:lpstr>swagurl109</vt:lpstr>
      <vt:lpstr>swagurl110</vt:lpstr>
      <vt:lpstr>swagurl111</vt:lpstr>
      <vt:lpstr>swagurl112</vt:lpstr>
      <vt:lpstr>swagurl113</vt:lpstr>
      <vt:lpstr>swagurl114</vt:lpstr>
      <vt:lpstr>swagurl115</vt:lpstr>
      <vt:lpstr>swagurl116</vt:lpstr>
      <vt:lpstr>swagurl117</vt:lpstr>
      <vt:lpstr>swagurl118</vt:lpstr>
      <vt:lpstr>swagurl119</vt:lpstr>
      <vt:lpstr>swagurl120</vt:lpstr>
      <vt:lpstr>swagurl121</vt:lpstr>
      <vt:lpstr>swagurl122</vt:lpstr>
      <vt:lpstr>swagurl123</vt:lpstr>
      <vt:lpstr>swagurl124</vt:lpstr>
      <vt:lpstr>swagurl125</vt:lpstr>
      <vt:lpstr>swagurl126</vt:lpstr>
      <vt:lpstr>swagurl127</vt:lpstr>
      <vt:lpstr>swagurl128</vt:lpstr>
      <vt:lpstr>swagurl129</vt:lpstr>
      <vt:lpstr>swagurl130</vt:lpstr>
      <vt:lpstr>swagurl131</vt:lpstr>
      <vt:lpstr>swagurl132</vt:lpstr>
      <vt:lpstr>swagurl133</vt:lpstr>
      <vt:lpstr>swagurl134</vt:lpstr>
      <vt:lpstr>swagurl135</vt:lpstr>
      <vt:lpstr>swagurl136</vt:lpstr>
      <vt:lpstr>swagurl137</vt:lpstr>
      <vt:lpstr>swagURL3</vt:lpstr>
      <vt:lpstr>Target</vt:lpstr>
      <vt:lpstr>TaxRate</vt:lpstr>
      <vt:lpstr>TimeZone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2022-04-27T22:45:50Z</dcterms:modified>
</cp:coreProperties>
</file>